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225" windowWidth="18945" windowHeight="10890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Pricing'!$O$37:$O$52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Settings'!$D$8:$D$8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ontribute">Contribution!$C$2</definedName>
    <definedName name="Currency">'General Settings'!$D$13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Settings'!$D$14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rstLiborFixingDate">'General Settings'!$D$6</definedName>
    <definedName name="FixedLegBDC" localSheetId="3">'1M Pricing'!$P$35</definedName>
    <definedName name="FixedLegBDC" localSheetId="6">'1Y Pricing'!$P$35</definedName>
    <definedName name="FixedLegBDC" localSheetId="4">'3M Pricing'!$P$35</definedName>
    <definedName name="FixedLegBDC" localSheetId="5">'6M Pricing'!$P$35</definedName>
    <definedName name="FixedLegBDC" localSheetId="8">'STD Pricing'!$N$35</definedName>
    <definedName name="FixedLegDayCounter" localSheetId="3">'1M Pricing'!$Q$35</definedName>
    <definedName name="FixedLegDayCounter" localSheetId="6">'1Y Pricing'!$Q$35</definedName>
    <definedName name="FixedLegDayCounter" localSheetId="4">'3M Pricing'!$Q$35</definedName>
    <definedName name="FixedLegDayCounter" localSheetId="5">'6M Pricing'!$Q$35</definedName>
    <definedName name="FixedLegDayCounter" localSheetId="8">'STD Pricing'!$O$35</definedName>
    <definedName name="FixedLegTenor" localSheetId="3">'1M Pricing'!$O$35</definedName>
    <definedName name="FixedLegTenor" localSheetId="6">'1Y Pricing'!$O$35</definedName>
    <definedName name="FixedLegTenor" localSheetId="4">'3M Pricing'!$O$35</definedName>
    <definedName name="FixedLegTenor" localSheetId="5">'6M Pricing'!$O$35</definedName>
    <definedName name="FixedLegTenor" localSheetId="8">'STD Pricing'!$M$35</definedName>
    <definedName name="FuturesRollDays">'General Settings'!$D$17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Settings'!$D$15</definedName>
    <definedName name="InterpolationType">'General Settings'!$D$22</definedName>
    <definedName name="JoinCalendar">'General Settings'!$D$21</definedName>
    <definedName name="LiborCalendar">'General Settings'!$D$19</definedName>
    <definedName name="LocalCalendar">'General Settings'!$D$18</definedName>
    <definedName name="OvernightIndex" localSheetId="7">'ON Pricing'!$D$3</definedName>
    <definedName name="SettlementDays">'General Settings'!$D$16</definedName>
    <definedName name="SourceAlias" localSheetId="1">Contribution!$D$2</definedName>
    <definedName name="SourceAlias" localSheetId="2">'Contribution (2)'!$D$2</definedName>
    <definedName name="SwapFixingDate">'General Settings'!$D$7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D21" i="2" l="1"/>
  <c r="AN34" i="23" l="1"/>
  <c r="AM34" i="23"/>
  <c r="AF34" i="23"/>
  <c r="AJ33" i="23"/>
  <c r="AE34" i="23"/>
  <c r="AI33" i="23"/>
  <c r="AL34" i="23"/>
  <c r="AD34" i="23"/>
  <c r="AH33" i="23"/>
  <c r="AK34" i="23"/>
  <c r="AC34" i="23"/>
  <c r="AG33" i="23"/>
  <c r="AJ34" i="23"/>
  <c r="AN33" i="23"/>
  <c r="AF33" i="23"/>
  <c r="AI34" i="23"/>
  <c r="AM33" i="23"/>
  <c r="AE33" i="23"/>
  <c r="AH34" i="23"/>
  <c r="AL33" i="23"/>
  <c r="AD33" i="23"/>
  <c r="AG34" i="23"/>
  <c r="AK33" i="23"/>
  <c r="AC33" i="23"/>
  <c r="AN25" i="23"/>
  <c r="AF25" i="23"/>
  <c r="AM25" i="23"/>
  <c r="AE25" i="23"/>
  <c r="AL25" i="23"/>
  <c r="AD25" i="23"/>
  <c r="AK25" i="23"/>
  <c r="AC25" i="23"/>
  <c r="AJ25" i="23"/>
  <c r="AI25" i="23"/>
  <c r="AH25" i="23"/>
  <c r="AG25" i="23"/>
  <c r="Z34" i="23" l="1"/>
  <c r="AA34" i="23" s="1"/>
  <c r="Z33" i="23"/>
  <c r="AA33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5" i="23"/>
  <c r="AA25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B26" i="23" a="1"/>
  <c r="B24" i="23" a="1"/>
  <c r="AA24" i="7"/>
  <c r="Z24" i="7"/>
  <c r="Z25" i="7"/>
  <c r="AL33" i="7"/>
  <c r="AK33" i="7"/>
  <c r="AL24" i="7"/>
  <c r="AK24" i="7"/>
  <c r="F33" i="7"/>
  <c r="E33" i="7"/>
  <c r="D33" i="7"/>
  <c r="C33" i="7"/>
  <c r="F24" i="7"/>
  <c r="E24" i="7"/>
  <c r="D24" i="7"/>
  <c r="C24" i="7"/>
  <c r="B26" i="7" a="1"/>
  <c r="B24" i="7" a="1"/>
  <c r="AN38" i="23" l="1"/>
  <c r="AM38" i="23"/>
  <c r="AN37" i="23"/>
  <c r="AM37" i="23"/>
  <c r="AN36" i="23"/>
  <c r="AM36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5" i="7" a="1"/>
  <c r="H36" i="7"/>
  <c r="H37" i="7"/>
  <c r="H38" i="7"/>
  <c r="Z7" i="23"/>
  <c r="AA7" i="23" s="1"/>
  <c r="Z38" i="7"/>
  <c r="AA38" i="7" s="1"/>
  <c r="Z37" i="7"/>
  <c r="AA37" i="7" s="1"/>
  <c r="Z36" i="7"/>
  <c r="AA36" i="7" s="1"/>
  <c r="Z34" i="7"/>
  <c r="AA34" i="7" s="1"/>
  <c r="Z32" i="7"/>
  <c r="AA32" i="7" s="1"/>
  <c r="Z31" i="7"/>
  <c r="AA31" i="7" s="1"/>
  <c r="Z30" i="7"/>
  <c r="AA30" i="7" s="1"/>
  <c r="Z29" i="7"/>
  <c r="AA29" i="7" s="1"/>
  <c r="Z28" i="7"/>
  <c r="AA28" i="7" s="1"/>
  <c r="Z27" i="7"/>
  <c r="AA27" i="7" s="1"/>
  <c r="Z26" i="7"/>
  <c r="AA26" i="7" s="1"/>
  <c r="AA25" i="7"/>
  <c r="Z23" i="7"/>
  <c r="AA23" i="7" s="1"/>
  <c r="Z22" i="7"/>
  <c r="AA22" i="7" s="1"/>
  <c r="Z21" i="7"/>
  <c r="AA21" i="7" s="1"/>
  <c r="Z20" i="7"/>
  <c r="AA20" i="7" s="1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AA13" i="7" s="1"/>
  <c r="Z12" i="7"/>
  <c r="AA12" i="7" s="1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5" i="24"/>
  <c r="D2" i="24"/>
  <c r="K52" i="19"/>
  <c r="K22" i="19"/>
  <c r="K43" i="19"/>
  <c r="K58" i="19"/>
  <c r="K19" i="19"/>
  <c r="K55" i="19"/>
  <c r="K62" i="19"/>
  <c r="K23" i="19"/>
  <c r="K49" i="19"/>
  <c r="K38" i="19"/>
  <c r="K51" i="19"/>
  <c r="K45" i="19"/>
  <c r="K63" i="19"/>
  <c r="K53" i="19"/>
  <c r="K12" i="19"/>
  <c r="K40" i="19"/>
  <c r="K15" i="19"/>
  <c r="K44" i="19"/>
  <c r="K64" i="19"/>
  <c r="K59" i="19"/>
  <c r="K16" i="19"/>
  <c r="K54" i="19"/>
  <c r="K39" i="19"/>
  <c r="K20" i="19"/>
  <c r="K50" i="19"/>
  <c r="K56" i="19"/>
  <c r="K46" i="19"/>
  <c r="K36" i="19"/>
  <c r="K42" i="19"/>
  <c r="K18" i="19"/>
  <c r="K21" i="19"/>
  <c r="K57" i="19"/>
  <c r="K61" i="19"/>
  <c r="K69" i="19"/>
  <c r="K66" i="19"/>
  <c r="D3" i="24"/>
  <c r="K70" i="24"/>
  <c r="K47" i="19"/>
  <c r="K67" i="19"/>
  <c r="K70" i="19"/>
  <c r="K9" i="19"/>
  <c r="E9" i="19" s="1"/>
  <c r="K14" i="19"/>
  <c r="K65" i="19"/>
  <c r="F9" i="19"/>
  <c r="K41" i="24"/>
  <c r="K64" i="24"/>
  <c r="K59" i="24"/>
  <c r="K61" i="24"/>
  <c r="K17" i="19"/>
  <c r="K48" i="19"/>
  <c r="K49" i="24"/>
  <c r="K60" i="19"/>
  <c r="K37" i="19"/>
  <c r="K46" i="24"/>
  <c r="K44" i="24"/>
  <c r="K68" i="19"/>
  <c r="K54" i="24"/>
  <c r="K52" i="24"/>
  <c r="K41" i="19"/>
  <c r="K13" i="19"/>
  <c r="K39" i="24"/>
  <c r="K60" i="24"/>
  <c r="K10" i="19"/>
  <c r="K11" i="19"/>
  <c r="K62" i="24"/>
  <c r="K51" i="24"/>
  <c r="K69" i="24"/>
  <c r="K65" i="24"/>
  <c r="K53" i="24"/>
  <c r="K43" i="24"/>
  <c r="K48" i="24"/>
  <c r="K56" i="24"/>
  <c r="K50" i="24"/>
  <c r="K42" i="24"/>
  <c r="K57" i="24"/>
  <c r="K67" i="24"/>
  <c r="K35" i="24"/>
  <c r="K45" i="24"/>
  <c r="K66" i="24"/>
  <c r="K63" i="24"/>
  <c r="K40" i="24"/>
  <c r="K68" i="24"/>
  <c r="K58" i="24"/>
  <c r="K47" i="24"/>
  <c r="K55" i="24"/>
  <c r="Z22" i="23" l="1"/>
  <c r="AA22" i="23" s="1"/>
  <c r="Z14" i="23"/>
  <c r="AA14" i="23" s="1"/>
  <c r="Z6" i="23"/>
  <c r="AA6" i="23" s="1"/>
  <c r="Z38" i="23"/>
  <c r="AA38" i="23" s="1"/>
  <c r="Z20" i="23"/>
  <c r="AA20" i="23" s="1"/>
  <c r="Z12" i="23"/>
  <c r="AA12" i="23" s="1"/>
  <c r="Z21" i="23"/>
  <c r="AA21" i="23" s="1"/>
  <c r="Z13" i="23"/>
  <c r="AA13" i="23" s="1"/>
  <c r="Z37" i="23"/>
  <c r="AA37" i="23" s="1"/>
  <c r="Z19" i="23"/>
  <c r="AA19" i="23" s="1"/>
  <c r="Z11" i="23"/>
  <c r="AA11" i="23" s="1"/>
  <c r="Z36" i="23"/>
  <c r="AA36" i="23" s="1"/>
  <c r="Z18" i="23"/>
  <c r="AA18" i="23" s="1"/>
  <c r="Z10" i="23"/>
  <c r="AA10" i="23" s="1"/>
  <c r="Z26" i="23"/>
  <c r="AA26" i="23" s="1"/>
  <c r="Z17" i="23"/>
  <c r="AA17" i="23" s="1"/>
  <c r="Z9" i="23"/>
  <c r="AA9" i="23" s="1"/>
  <c r="Z24" i="23"/>
  <c r="AA24" i="23" s="1"/>
  <c r="Z16" i="23"/>
  <c r="AA16" i="23" s="1"/>
  <c r="Z8" i="23"/>
  <c r="AA8" i="23" s="1"/>
  <c r="Z23" i="23"/>
  <c r="AA23" i="23" s="1"/>
  <c r="Z15" i="23"/>
  <c r="AA15" i="23" s="1"/>
  <c r="F2" i="14"/>
  <c r="E37" i="19"/>
  <c r="F16" i="19"/>
  <c r="F15" i="19"/>
  <c r="E11" i="19"/>
  <c r="E36" i="19"/>
  <c r="E18" i="19"/>
  <c r="E19" i="19"/>
  <c r="E20" i="19"/>
  <c r="E38" i="19"/>
  <c r="M26" i="14"/>
  <c r="E17" i="19"/>
  <c r="F18" i="19"/>
  <c r="F10" i="19"/>
  <c r="E13" i="19"/>
  <c r="E16" i="19"/>
  <c r="E22" i="19"/>
  <c r="F23" i="19"/>
  <c r="F21" i="19"/>
  <c r="F17" i="19"/>
  <c r="M9" i="14"/>
  <c r="F12" i="19"/>
  <c r="F11" i="19"/>
  <c r="E23" i="19"/>
  <c r="E21" i="19"/>
  <c r="F19" i="19"/>
  <c r="F22" i="19"/>
  <c r="E14" i="19"/>
  <c r="F13" i="19"/>
  <c r="E10" i="19"/>
  <c r="E15" i="19"/>
  <c r="E12" i="19"/>
  <c r="F20" i="19"/>
  <c r="F14" i="19"/>
  <c r="C2" i="23" l="1"/>
  <c r="AJ38" i="23" l="1"/>
  <c r="AI38" i="23"/>
  <c r="AH38" i="23"/>
  <c r="AG38" i="23"/>
  <c r="AF38" i="23"/>
  <c r="AE38" i="23"/>
  <c r="AD38" i="23"/>
  <c r="AC38" i="23"/>
  <c r="AJ37" i="23"/>
  <c r="AI37" i="23"/>
  <c r="AH37" i="23"/>
  <c r="AG37" i="23"/>
  <c r="AF37" i="23"/>
  <c r="AE37" i="23"/>
  <c r="AD37" i="23"/>
  <c r="AC37" i="23"/>
  <c r="AJ36" i="23"/>
  <c r="AI36" i="23"/>
  <c r="AH36" i="23"/>
  <c r="AG36" i="23"/>
  <c r="AF36" i="23"/>
  <c r="AE36" i="23"/>
  <c r="AD36" i="23"/>
  <c r="AC36" i="23"/>
  <c r="AL32" i="23"/>
  <c r="AK32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5" i="21"/>
  <c r="J20" i="21"/>
  <c r="J19" i="21"/>
  <c r="J18" i="21"/>
  <c r="J17" i="21"/>
  <c r="J16" i="21"/>
  <c r="J15" i="21"/>
  <c r="J14" i="21"/>
  <c r="J13" i="21"/>
  <c r="J12" i="21"/>
  <c r="J11" i="21"/>
  <c r="J10" i="21"/>
  <c r="H36" i="19" l="1"/>
  <c r="H37" i="19"/>
  <c r="H38" i="19"/>
  <c r="H70" i="19" l="1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5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5" i="17"/>
  <c r="E54" i="19"/>
  <c r="F37" i="19"/>
  <c r="F38" i="19"/>
  <c r="F36" i="19"/>
  <c r="F44" i="19"/>
  <c r="F54" i="19"/>
  <c r="F46" i="19"/>
  <c r="V6" i="7" l="1" a="1"/>
  <c r="V6" i="23" a="1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3" i="14"/>
  <c r="J42" i="14"/>
  <c r="J41" i="14"/>
  <c r="J40" i="14"/>
  <c r="J39" i="14"/>
  <c r="J35" i="14"/>
  <c r="J44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5" i="2"/>
  <c r="E50" i="19"/>
  <c r="E61" i="19"/>
  <c r="F57" i="19"/>
  <c r="E69" i="19"/>
  <c r="E53" i="19"/>
  <c r="F68" i="19"/>
  <c r="F59" i="19"/>
  <c r="E63" i="19"/>
  <c r="F40" i="19"/>
  <c r="E51" i="19"/>
  <c r="F50" i="19"/>
  <c r="F63" i="19"/>
  <c r="E58" i="19"/>
  <c r="E48" i="19"/>
  <c r="E42" i="19"/>
  <c r="E67" i="19"/>
  <c r="F67" i="19"/>
  <c r="F64" i="19"/>
  <c r="F65" i="19"/>
  <c r="F66" i="19"/>
  <c r="E70" i="19"/>
  <c r="F58" i="19"/>
  <c r="E52" i="19"/>
  <c r="E57" i="19"/>
  <c r="E64" i="19"/>
  <c r="F55" i="19"/>
  <c r="E65" i="19"/>
  <c r="E49" i="19"/>
  <c r="E68" i="19"/>
  <c r="F47" i="19"/>
  <c r="E66" i="19"/>
  <c r="E45" i="19"/>
  <c r="E41" i="19"/>
  <c r="F42" i="19"/>
  <c r="F45" i="19"/>
  <c r="F56" i="19"/>
  <c r="E56" i="19"/>
  <c r="F62" i="19"/>
  <c r="F69" i="19"/>
  <c r="F49" i="19"/>
  <c r="E59" i="19"/>
  <c r="E46" i="19"/>
  <c r="E39" i="19"/>
  <c r="E44" i="19"/>
  <c r="F43" i="19"/>
  <c r="E47" i="19"/>
  <c r="F51" i="19"/>
  <c r="F41" i="19"/>
  <c r="F70" i="19"/>
  <c r="F61" i="19"/>
  <c r="E62" i="19"/>
  <c r="E43" i="19"/>
  <c r="E60" i="19"/>
  <c r="F48" i="19"/>
  <c r="F52" i="19"/>
  <c r="F39" i="19"/>
  <c r="F60" i="19"/>
  <c r="F53" i="19"/>
  <c r="E55" i="19"/>
  <c r="E40" i="19"/>
  <c r="V46" i="23" l="1"/>
  <c r="V8" i="23"/>
  <c r="V16" i="23"/>
  <c r="V24" i="23"/>
  <c r="V32" i="23"/>
  <c r="W32" i="23" s="1"/>
  <c r="X32" i="23" s="1"/>
  <c r="V40" i="23"/>
  <c r="V49" i="23"/>
  <c r="V58" i="23"/>
  <c r="V67" i="23"/>
  <c r="V9" i="23"/>
  <c r="V17" i="23"/>
  <c r="V25" i="23"/>
  <c r="W25" i="23" s="1"/>
  <c r="X25" i="23" s="1"/>
  <c r="V33" i="23"/>
  <c r="W33" i="23" s="1"/>
  <c r="V41" i="23"/>
  <c r="V50" i="23"/>
  <c r="V59" i="23"/>
  <c r="V68" i="23"/>
  <c r="V10" i="23"/>
  <c r="V18" i="23"/>
  <c r="V26" i="23"/>
  <c r="W26" i="23" s="1"/>
  <c r="X26" i="23" s="1"/>
  <c r="V34" i="23"/>
  <c r="W34" i="23" s="1"/>
  <c r="V42" i="23"/>
  <c r="V51" i="23"/>
  <c r="V60" i="23"/>
  <c r="V69" i="23"/>
  <c r="V11" i="23"/>
  <c r="V19" i="23"/>
  <c r="V27" i="23"/>
  <c r="W27" i="23" s="1"/>
  <c r="V35" i="23"/>
  <c r="V43" i="23"/>
  <c r="V52" i="23"/>
  <c r="V61" i="23"/>
  <c r="V12" i="23"/>
  <c r="V28" i="23"/>
  <c r="W28" i="23" s="1"/>
  <c r="V36" i="23"/>
  <c r="V44" i="23"/>
  <c r="V53" i="23"/>
  <c r="V63" i="23"/>
  <c r="V13" i="23"/>
  <c r="V21" i="23"/>
  <c r="V29" i="23"/>
  <c r="W29" i="23" s="1"/>
  <c r="X29" i="23" s="1"/>
  <c r="V45" i="23"/>
  <c r="V55" i="23"/>
  <c r="V64" i="23"/>
  <c r="V37" i="23"/>
  <c r="V20" i="23"/>
  <c r="V15" i="23"/>
  <c r="V48" i="23"/>
  <c r="V31" i="23"/>
  <c r="W31" i="23" s="1"/>
  <c r="X31" i="23" s="1"/>
  <c r="V6" i="23"/>
  <c r="V47" i="23"/>
  <c r="V22" i="23"/>
  <c r="V56" i="23"/>
  <c r="V38" i="23"/>
  <c r="V7" i="23"/>
  <c r="W7" i="23" s="1"/>
  <c r="X7" i="23" s="1"/>
  <c r="V39" i="23"/>
  <c r="V23" i="23"/>
  <c r="V57" i="23"/>
  <c r="V30" i="23"/>
  <c r="W30" i="23" s="1"/>
  <c r="V65" i="23"/>
  <c r="V66" i="23"/>
  <c r="V14" i="23"/>
  <c r="V70" i="23"/>
  <c r="V62" i="23"/>
  <c r="V54" i="23"/>
  <c r="V54" i="7"/>
  <c r="V10" i="7"/>
  <c r="V18" i="7"/>
  <c r="V26" i="7"/>
  <c r="W26" i="7" s="1"/>
  <c r="V34" i="7"/>
  <c r="W34" i="7" s="1"/>
  <c r="V42" i="7"/>
  <c r="V50" i="7"/>
  <c r="V59" i="7"/>
  <c r="V68" i="7"/>
  <c r="V11" i="7"/>
  <c r="V19" i="7"/>
  <c r="V27" i="7"/>
  <c r="W27" i="7" s="1"/>
  <c r="V35" i="7"/>
  <c r="V43" i="7"/>
  <c r="V51" i="7"/>
  <c r="V60" i="7"/>
  <c r="V69" i="7"/>
  <c r="V12" i="7"/>
  <c r="V20" i="7"/>
  <c r="V28" i="7"/>
  <c r="W28" i="7" s="1"/>
  <c r="V36" i="7"/>
  <c r="V44" i="7"/>
  <c r="V52" i="7"/>
  <c r="V61" i="7"/>
  <c r="V46" i="7"/>
  <c r="V7" i="7"/>
  <c r="V15" i="7"/>
  <c r="V21" i="7"/>
  <c r="V6" i="7"/>
  <c r="V30" i="7"/>
  <c r="W30" i="7" s="1"/>
  <c r="V55" i="7"/>
  <c r="V13" i="7"/>
  <c r="V29" i="7"/>
  <c r="W29" i="7" s="1"/>
  <c r="V37" i="7"/>
  <c r="V45" i="7"/>
  <c r="V53" i="7"/>
  <c r="V63" i="7"/>
  <c r="V14" i="7"/>
  <c r="V22" i="7"/>
  <c r="V38" i="7"/>
  <c r="V64" i="7"/>
  <c r="V23" i="7"/>
  <c r="V41" i="7"/>
  <c r="V66" i="7"/>
  <c r="V9" i="7"/>
  <c r="V17" i="7"/>
  <c r="V65" i="7"/>
  <c r="V24" i="7"/>
  <c r="V47" i="7"/>
  <c r="V67" i="7"/>
  <c r="V8" i="7"/>
  <c r="W8" i="7" s="1"/>
  <c r="V56" i="7"/>
  <c r="V57" i="7"/>
  <c r="V16" i="7"/>
  <c r="V39" i="7"/>
  <c r="V58" i="7"/>
  <c r="V25" i="7"/>
  <c r="W25" i="7" s="1"/>
  <c r="V48" i="7"/>
  <c r="V31" i="7"/>
  <c r="W31" i="7" s="1"/>
  <c r="V49" i="7"/>
  <c r="V32" i="7"/>
  <c r="W32" i="7" s="1"/>
  <c r="V33" i="7"/>
  <c r="W33" i="7" s="1"/>
  <c r="V40" i="7"/>
  <c r="V70" i="7"/>
  <c r="V62" i="7"/>
  <c r="W7" i="7"/>
  <c r="X27" i="23"/>
  <c r="X30" i="23"/>
  <c r="X28" i="23"/>
  <c r="W24" i="23"/>
  <c r="X24" i="23" s="1"/>
  <c r="W6" i="23"/>
  <c r="X6" i="23" s="1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8" i="7"/>
  <c r="AI38" i="7"/>
  <c r="AJ37" i="7"/>
  <c r="AI37" i="7"/>
  <c r="AJ36" i="7"/>
  <c r="AI36" i="7"/>
  <c r="AG37" i="7"/>
  <c r="AH38" i="7"/>
  <c r="AG38" i="7"/>
  <c r="AG36" i="7"/>
  <c r="AH37" i="7"/>
  <c r="AH36" i="7"/>
  <c r="AE38" i="7"/>
  <c r="AE37" i="7"/>
  <c r="AE36" i="7"/>
  <c r="AF38" i="7"/>
  <c r="AF37" i="7"/>
  <c r="AF36" i="7"/>
  <c r="AC36" i="7"/>
  <c r="AD36" i="7"/>
  <c r="AC37" i="7"/>
  <c r="AD37" i="7"/>
  <c r="AL28" i="7"/>
  <c r="AK31" i="7"/>
  <c r="AL27" i="7"/>
  <c r="AK30" i="7"/>
  <c r="AK29" i="7"/>
  <c r="AL34" i="7"/>
  <c r="AK28" i="7"/>
  <c r="AK27" i="7"/>
  <c r="AL31" i="7"/>
  <c r="AL30" i="7"/>
  <c r="AK34" i="7"/>
  <c r="AL29" i="7"/>
  <c r="AK32" i="7"/>
  <c r="AL32" i="7"/>
  <c r="AK26" i="7"/>
  <c r="AL26" i="7"/>
  <c r="W24" i="7" l="1"/>
  <c r="X24" i="7" s="1"/>
  <c r="W8" i="23"/>
  <c r="F2" i="21"/>
  <c r="AK37" i="23"/>
  <c r="AK36" i="23"/>
  <c r="AK38" i="23"/>
  <c r="M18" i="21"/>
  <c r="M11" i="21"/>
  <c r="M26" i="21"/>
  <c r="M12" i="21"/>
  <c r="M16" i="21"/>
  <c r="M10" i="21"/>
  <c r="M9" i="21"/>
  <c r="M14" i="21"/>
  <c r="M13" i="21"/>
  <c r="M20" i="21"/>
  <c r="M15" i="21"/>
  <c r="M17" i="21"/>
  <c r="M19" i="21"/>
  <c r="X8" i="23" l="1"/>
  <c r="F3" i="21"/>
  <c r="D2" i="19"/>
  <c r="F2" i="18"/>
  <c r="F2" i="17"/>
  <c r="AL38" i="23"/>
  <c r="AL36" i="23"/>
  <c r="AL37" i="23"/>
  <c r="B1" i="2"/>
  <c r="M20" i="18"/>
  <c r="M11" i="17"/>
  <c r="M13" i="17"/>
  <c r="M12" i="17"/>
  <c r="M14" i="18"/>
  <c r="M9" i="17"/>
  <c r="M17" i="17"/>
  <c r="M20" i="17"/>
  <c r="M18" i="17"/>
  <c r="M13" i="18"/>
  <c r="M12" i="18"/>
  <c r="M19" i="17"/>
  <c r="M18" i="18"/>
  <c r="M26" i="18"/>
  <c r="M14" i="17"/>
  <c r="M10" i="17"/>
  <c r="M15" i="17"/>
  <c r="M15" i="18"/>
  <c r="M16" i="17"/>
  <c r="M9" i="18"/>
  <c r="M19" i="18"/>
  <c r="M11" i="18"/>
  <c r="M10" i="18"/>
  <c r="M17" i="18"/>
  <c r="D5" i="2"/>
  <c r="D6" i="2" s="1"/>
  <c r="D7" i="2" s="1"/>
  <c r="M16" i="18"/>
  <c r="D70" i="24" l="1"/>
  <c r="D62" i="24"/>
  <c r="D54" i="24"/>
  <c r="D46" i="24"/>
  <c r="D35" i="24"/>
  <c r="F65" i="21"/>
  <c r="F57" i="21"/>
  <c r="F49" i="21"/>
  <c r="F41" i="21"/>
  <c r="F70" i="18"/>
  <c r="F62" i="18"/>
  <c r="F54" i="18"/>
  <c r="F46" i="18"/>
  <c r="F35" i="18"/>
  <c r="F67" i="17"/>
  <c r="F59" i="17"/>
  <c r="F51" i="17"/>
  <c r="F43" i="17"/>
  <c r="F64" i="14"/>
  <c r="F56" i="14"/>
  <c r="F48" i="14"/>
  <c r="F40" i="14"/>
  <c r="D69" i="24"/>
  <c r="D61" i="24"/>
  <c r="D53" i="24"/>
  <c r="D45" i="24"/>
  <c r="F64" i="21"/>
  <c r="F56" i="21"/>
  <c r="F48" i="21"/>
  <c r="F40" i="21"/>
  <c r="F69" i="18"/>
  <c r="F61" i="18"/>
  <c r="F53" i="18"/>
  <c r="F45" i="18"/>
  <c r="F66" i="17"/>
  <c r="F58" i="17"/>
  <c r="F50" i="17"/>
  <c r="F42" i="17"/>
  <c r="F63" i="14"/>
  <c r="F55" i="14"/>
  <c r="F47" i="14"/>
  <c r="F39" i="14"/>
  <c r="D68" i="24"/>
  <c r="D60" i="24"/>
  <c r="D52" i="24"/>
  <c r="D44" i="24"/>
  <c r="F63" i="21"/>
  <c r="F55" i="21"/>
  <c r="F47" i="21"/>
  <c r="F39" i="21"/>
  <c r="F68" i="18"/>
  <c r="F60" i="18"/>
  <c r="F52" i="18"/>
  <c r="F44" i="18"/>
  <c r="F65" i="17"/>
  <c r="F57" i="17"/>
  <c r="F49" i="17"/>
  <c r="F41" i="17"/>
  <c r="F70" i="14"/>
  <c r="F62" i="14"/>
  <c r="F54" i="14"/>
  <c r="F46" i="14"/>
  <c r="F35" i="14"/>
  <c r="D67" i="24"/>
  <c r="D59" i="24"/>
  <c r="D51" i="24"/>
  <c r="D43" i="24"/>
  <c r="F70" i="21"/>
  <c r="F62" i="21"/>
  <c r="F54" i="21"/>
  <c r="F46" i="21"/>
  <c r="F35" i="21"/>
  <c r="F67" i="18"/>
  <c r="F59" i="18"/>
  <c r="F51" i="18"/>
  <c r="F43" i="18"/>
  <c r="F64" i="17"/>
  <c r="F56" i="17"/>
  <c r="F48" i="17"/>
  <c r="F40" i="17"/>
  <c r="F69" i="14"/>
  <c r="F61" i="14"/>
  <c r="F53" i="14"/>
  <c r="F45" i="14"/>
  <c r="D66" i="24"/>
  <c r="D65" i="24"/>
  <c r="D49" i="24"/>
  <c r="F68" i="21"/>
  <c r="F52" i="21"/>
  <c r="F65" i="18"/>
  <c r="F49" i="18"/>
  <c r="F62" i="17"/>
  <c r="F46" i="17"/>
  <c r="F59" i="14"/>
  <c r="F43" i="14"/>
  <c r="D64" i="24"/>
  <c r="D48" i="24"/>
  <c r="F67" i="21"/>
  <c r="F51" i="21"/>
  <c r="F64" i="18"/>
  <c r="F48" i="18"/>
  <c r="F61" i="17"/>
  <c r="F45" i="17"/>
  <c r="F58" i="14"/>
  <c r="F42" i="14"/>
  <c r="D63" i="24"/>
  <c r="D47" i="24"/>
  <c r="F66" i="21"/>
  <c r="F50" i="21"/>
  <c r="F63" i="18"/>
  <c r="F47" i="18"/>
  <c r="F60" i="17"/>
  <c r="F44" i="17"/>
  <c r="F57" i="14"/>
  <c r="F41" i="14"/>
  <c r="D58" i="24"/>
  <c r="D42" i="24"/>
  <c r="F61" i="21"/>
  <c r="F45" i="21"/>
  <c r="F58" i="18"/>
  <c r="F42" i="18"/>
  <c r="F55" i="17"/>
  <c r="F39" i="17"/>
  <c r="F68" i="14"/>
  <c r="F52" i="14"/>
  <c r="D57" i="24"/>
  <c r="D41" i="24"/>
  <c r="F60" i="21"/>
  <c r="F44" i="21"/>
  <c r="F57" i="18"/>
  <c r="F41" i="18"/>
  <c r="F70" i="17"/>
  <c r="F54" i="17"/>
  <c r="F35" i="17"/>
  <c r="F67" i="14"/>
  <c r="F51" i="14"/>
  <c r="D56" i="24"/>
  <c r="D40" i="24"/>
  <c r="D55" i="24"/>
  <c r="F42" i="21"/>
  <c r="F40" i="18"/>
  <c r="F47" i="17"/>
  <c r="F49" i="14"/>
  <c r="D50" i="24"/>
  <c r="F39" i="18"/>
  <c r="F44" i="14"/>
  <c r="D39" i="24"/>
  <c r="F69" i="21"/>
  <c r="F69" i="17"/>
  <c r="F59" i="21"/>
  <c r="F66" i="18"/>
  <c r="F68" i="17"/>
  <c r="F66" i="14"/>
  <c r="F58" i="21"/>
  <c r="F56" i="18"/>
  <c r="F65" i="14"/>
  <c r="F53" i="21"/>
  <c r="F53" i="17"/>
  <c r="F50" i="18"/>
  <c r="F50" i="14"/>
  <c r="F63" i="17"/>
  <c r="F55" i="18"/>
  <c r="F60" i="14"/>
  <c r="F43" i="21"/>
  <c r="F52" i="17"/>
  <c r="F13" i="21"/>
  <c r="F16" i="18"/>
  <c r="F18" i="17"/>
  <c r="F10" i="17"/>
  <c r="F15" i="14"/>
  <c r="F14" i="21"/>
  <c r="F9" i="18"/>
  <c r="F17" i="18"/>
  <c r="F17" i="17"/>
  <c r="F9" i="17"/>
  <c r="F14" i="14"/>
  <c r="F15" i="21"/>
  <c r="F10" i="18"/>
  <c r="F18" i="18"/>
  <c r="F16" i="17"/>
  <c r="F13" i="14"/>
  <c r="F16" i="21"/>
  <c r="F11" i="18"/>
  <c r="F19" i="18"/>
  <c r="F15" i="17"/>
  <c r="F20" i="14"/>
  <c r="F12" i="14"/>
  <c r="F10" i="21"/>
  <c r="F13" i="18"/>
  <c r="F13" i="17"/>
  <c r="F10" i="14"/>
  <c r="F11" i="21"/>
  <c r="F14" i="18"/>
  <c r="F12" i="17"/>
  <c r="F9" i="14"/>
  <c r="F12" i="21"/>
  <c r="F15" i="18"/>
  <c r="F11" i="17"/>
  <c r="F17" i="21"/>
  <c r="F20" i="18"/>
  <c r="F19" i="14"/>
  <c r="F18" i="21"/>
  <c r="F18" i="14"/>
  <c r="F9" i="21"/>
  <c r="F20" i="17"/>
  <c r="F19" i="21"/>
  <c r="F12" i="18"/>
  <c r="F19" i="17"/>
  <c r="F17" i="14"/>
  <c r="F20" i="21"/>
  <c r="F16" i="14"/>
  <c r="F11" i="14"/>
  <c r="F14" i="17"/>
  <c r="D43" i="19"/>
  <c r="D51" i="19"/>
  <c r="D59" i="19"/>
  <c r="D67" i="19"/>
  <c r="D13" i="19"/>
  <c r="D21" i="19"/>
  <c r="D36" i="19"/>
  <c r="D44" i="19"/>
  <c r="D52" i="19"/>
  <c r="D60" i="19"/>
  <c r="D68" i="19"/>
  <c r="D14" i="19"/>
  <c r="D22" i="19"/>
  <c r="D37" i="19"/>
  <c r="D45" i="19"/>
  <c r="D53" i="19"/>
  <c r="D61" i="19"/>
  <c r="D69" i="19"/>
  <c r="D15" i="19"/>
  <c r="D23" i="19"/>
  <c r="D38" i="19"/>
  <c r="D46" i="19"/>
  <c r="D54" i="19"/>
  <c r="D62" i="19"/>
  <c r="D70" i="19"/>
  <c r="D16" i="19"/>
  <c r="D40" i="19"/>
  <c r="D56" i="19"/>
  <c r="D10" i="19"/>
  <c r="D41" i="19"/>
  <c r="D57" i="19"/>
  <c r="D11" i="19"/>
  <c r="D42" i="19"/>
  <c r="D58" i="19"/>
  <c r="D12" i="19"/>
  <c r="D47" i="19"/>
  <c r="D63" i="19"/>
  <c r="D17" i="19"/>
  <c r="D48" i="19"/>
  <c r="D64" i="19"/>
  <c r="D18" i="19"/>
  <c r="D49" i="19"/>
  <c r="D9" i="19"/>
  <c r="D19" i="19"/>
  <c r="D20" i="19"/>
  <c r="D39" i="19"/>
  <c r="D50" i="19"/>
  <c r="D66" i="19"/>
  <c r="D55" i="19"/>
  <c r="D65" i="19"/>
  <c r="F3" i="18"/>
  <c r="F3" i="17"/>
  <c r="F3" i="14"/>
  <c r="D26" i="21" a="1"/>
  <c r="C24" i="18"/>
  <c r="E40" i="24"/>
  <c r="C24" i="14"/>
  <c r="D26" i="18" a="1"/>
  <c r="D26" i="14" a="1"/>
  <c r="G9" i="14"/>
  <c r="C24" i="21"/>
  <c r="D26" i="17" a="1"/>
  <c r="C24" i="17"/>
  <c r="D30" i="17" l="1"/>
  <c r="D33" i="17"/>
  <c r="D32" i="17"/>
  <c r="J32" i="17" s="1"/>
  <c r="D26" i="17"/>
  <c r="J26" i="17" s="1"/>
  <c r="D34" i="17"/>
  <c r="J34" i="17" s="1"/>
  <c r="D29" i="17"/>
  <c r="J29" i="17" s="1"/>
  <c r="D31" i="17"/>
  <c r="D27" i="17"/>
  <c r="J27" i="17" s="1"/>
  <c r="D28" i="17"/>
  <c r="K28" i="17" s="1"/>
  <c r="D28" i="18"/>
  <c r="D31" i="18"/>
  <c r="D26" i="18"/>
  <c r="D34" i="18"/>
  <c r="D30" i="18"/>
  <c r="D29" i="18"/>
  <c r="D32" i="18"/>
  <c r="D33" i="18"/>
  <c r="D27" i="18"/>
  <c r="D29" i="14"/>
  <c r="B29" i="23" s="1"/>
  <c r="D32" i="14"/>
  <c r="B32" i="23" s="1"/>
  <c r="D26" i="14"/>
  <c r="B26" i="23" s="1"/>
  <c r="D34" i="14"/>
  <c r="B34" i="23" s="1"/>
  <c r="D27" i="14"/>
  <c r="B27" i="7" s="1"/>
  <c r="D28" i="14"/>
  <c r="B28" i="23" s="1"/>
  <c r="D30" i="14"/>
  <c r="D31" i="14"/>
  <c r="B31" i="23" s="1"/>
  <c r="D33" i="14"/>
  <c r="D33" i="21"/>
  <c r="J33" i="21" s="1"/>
  <c r="D32" i="21"/>
  <c r="D27" i="21"/>
  <c r="D26" i="21"/>
  <c r="D34" i="21"/>
  <c r="D28" i="21"/>
  <c r="D29" i="21"/>
  <c r="D30" i="21"/>
  <c r="D31" i="21"/>
  <c r="B30" i="23"/>
  <c r="B33" i="7"/>
  <c r="D24" i="14"/>
  <c r="K33" i="17"/>
  <c r="J33" i="17"/>
  <c r="J33" i="18"/>
  <c r="B31" i="7"/>
  <c r="D24" i="17"/>
  <c r="J24" i="17" s="1"/>
  <c r="D24" i="18"/>
  <c r="J24" i="18" s="1"/>
  <c r="D24" i="21"/>
  <c r="J24" i="21" s="1"/>
  <c r="H9" i="14"/>
  <c r="G26" i="18"/>
  <c r="G27" i="21"/>
  <c r="G29" i="17"/>
  <c r="G33" i="17"/>
  <c r="G34" i="17"/>
  <c r="F40" i="24"/>
  <c r="G29" i="18"/>
  <c r="G28" i="17"/>
  <c r="H26" i="18"/>
  <c r="G32" i="17"/>
  <c r="C25" i="17"/>
  <c r="H33" i="17"/>
  <c r="F29" i="18"/>
  <c r="G31" i="17"/>
  <c r="G33" i="14"/>
  <c r="G26" i="21"/>
  <c r="G30" i="18"/>
  <c r="C25" i="18"/>
  <c r="F26" i="18"/>
  <c r="G31" i="21"/>
  <c r="G30" i="21"/>
  <c r="G32" i="18"/>
  <c r="G34" i="21"/>
  <c r="G33" i="21"/>
  <c r="G27" i="17"/>
  <c r="G29" i="21"/>
  <c r="C25" i="14"/>
  <c r="G30" i="17"/>
  <c r="C25" i="21"/>
  <c r="G32" i="21"/>
  <c r="G26" i="17"/>
  <c r="G28" i="21"/>
  <c r="G27" i="18"/>
  <c r="H27" i="18" s="1"/>
  <c r="G31" i="18"/>
  <c r="G28" i="18"/>
  <c r="F28" i="18" s="1"/>
  <c r="G34" i="18"/>
  <c r="H34" i="18" s="1"/>
  <c r="G33" i="18"/>
  <c r="F27" i="18"/>
  <c r="H33" i="14"/>
  <c r="H30" i="18"/>
  <c r="B29" i="7" l="1"/>
  <c r="J28" i="17"/>
  <c r="B28" i="7"/>
  <c r="B34" i="7"/>
  <c r="B27" i="23"/>
  <c r="D25" i="14"/>
  <c r="J25" i="14" s="1"/>
  <c r="J33" i="14"/>
  <c r="B26" i="7"/>
  <c r="J32" i="18"/>
  <c r="J29" i="18"/>
  <c r="B33" i="23"/>
  <c r="J28" i="18"/>
  <c r="J31" i="18"/>
  <c r="B32" i="7"/>
  <c r="B30" i="7"/>
  <c r="J34" i="18"/>
  <c r="J30" i="18"/>
  <c r="J27" i="18"/>
  <c r="J26" i="18"/>
  <c r="D25" i="18"/>
  <c r="J25" i="18" s="1"/>
  <c r="D25" i="17"/>
  <c r="J25" i="17" s="1"/>
  <c r="D25" i="21"/>
  <c r="J25" i="21" s="1"/>
  <c r="J24" i="14"/>
  <c r="B24" i="23"/>
  <c r="B24" i="7"/>
  <c r="J29" i="21"/>
  <c r="J32" i="21"/>
  <c r="J30" i="21"/>
  <c r="J27" i="21"/>
  <c r="J26" i="21"/>
  <c r="J34" i="21"/>
  <c r="J31" i="21"/>
  <c r="J28" i="21"/>
  <c r="K32" i="17"/>
  <c r="K27" i="17"/>
  <c r="K30" i="17"/>
  <c r="J30" i="17"/>
  <c r="K26" i="17"/>
  <c r="K31" i="17"/>
  <c r="J31" i="17"/>
  <c r="K29" i="17"/>
  <c r="K34" i="17"/>
  <c r="X27" i="7"/>
  <c r="X31" i="7"/>
  <c r="X32" i="7"/>
  <c r="X30" i="7"/>
  <c r="X29" i="7"/>
  <c r="X34" i="7"/>
  <c r="X26" i="7"/>
  <c r="X28" i="7"/>
  <c r="D14" i="2"/>
  <c r="AK25" i="7"/>
  <c r="F31" i="18"/>
  <c r="M53" i="14"/>
  <c r="M51" i="14"/>
  <c r="M55" i="14"/>
  <c r="M40" i="14"/>
  <c r="M61" i="17"/>
  <c r="M59" i="17"/>
  <c r="M43" i="17"/>
  <c r="M65" i="17"/>
  <c r="M69" i="18"/>
  <c r="M67" i="18"/>
  <c r="M65" i="18"/>
  <c r="M47" i="18"/>
  <c r="M46" i="21"/>
  <c r="M44" i="21"/>
  <c r="M42" i="21"/>
  <c r="M55" i="21"/>
  <c r="H30" i="17"/>
  <c r="F28" i="21"/>
  <c r="M10" i="14"/>
  <c r="F34" i="21"/>
  <c r="F29" i="21"/>
  <c r="H27" i="17"/>
  <c r="H26" i="17"/>
  <c r="M45" i="14"/>
  <c r="M42" i="14"/>
  <c r="M63" i="14"/>
  <c r="M53" i="17"/>
  <c r="M56" i="17"/>
  <c r="M64" i="17"/>
  <c r="M59" i="18"/>
  <c r="M39" i="18"/>
  <c r="M67" i="21"/>
  <c r="M65" i="21"/>
  <c r="M17" i="14"/>
  <c r="M19" i="14"/>
  <c r="H30" i="21"/>
  <c r="F33" i="21"/>
  <c r="M35" i="14"/>
  <c r="M58" i="17"/>
  <c r="M63" i="17"/>
  <c r="M51" i="18"/>
  <c r="M40" i="18"/>
  <c r="M59" i="21"/>
  <c r="M57" i="21"/>
  <c r="F29" i="17"/>
  <c r="F33" i="18"/>
  <c r="F30" i="17"/>
  <c r="M60" i="14"/>
  <c r="M70" i="17"/>
  <c r="M50" i="17"/>
  <c r="M35" i="17"/>
  <c r="M41" i="18"/>
  <c r="M53" i="21"/>
  <c r="M40" i="21"/>
  <c r="M11" i="14"/>
  <c r="H29" i="18"/>
  <c r="M54" i="14"/>
  <c r="M65" i="14"/>
  <c r="M39" i="14"/>
  <c r="M60" i="17"/>
  <c r="M70" i="18"/>
  <c r="M64" i="18"/>
  <c r="M35" i="18"/>
  <c r="M56" i="21"/>
  <c r="F33" i="17"/>
  <c r="M44" i="14"/>
  <c r="M54" i="17"/>
  <c r="M41" i="17"/>
  <c r="M60" i="18"/>
  <c r="M68" i="21"/>
  <c r="M35" i="21"/>
  <c r="M67" i="14"/>
  <c r="M44" i="17"/>
  <c r="M54" i="18"/>
  <c r="M50" i="18"/>
  <c r="M48" i="21"/>
  <c r="M61" i="14"/>
  <c r="M41" i="14"/>
  <c r="M67" i="17"/>
  <c r="M46" i="18"/>
  <c r="M52" i="21"/>
  <c r="M18" i="14"/>
  <c r="G18" i="14" s="1"/>
  <c r="H26" i="21"/>
  <c r="H27" i="21"/>
  <c r="H32" i="18"/>
  <c r="M43" i="14"/>
  <c r="M66" i="17"/>
  <c r="M61" i="18"/>
  <c r="M57" i="18"/>
  <c r="M69" i="21"/>
  <c r="M47" i="21"/>
  <c r="H33" i="18"/>
  <c r="M20" i="14"/>
  <c r="G20" i="14" s="1"/>
  <c r="G39" i="14"/>
  <c r="M70" i="14"/>
  <c r="M66" i="14"/>
  <c r="M47" i="14"/>
  <c r="M45" i="17"/>
  <c r="M39" i="17"/>
  <c r="M53" i="18"/>
  <c r="M49" i="18"/>
  <c r="M61" i="21"/>
  <c r="M39" i="21"/>
  <c r="F34" i="18"/>
  <c r="H31" i="21"/>
  <c r="H20" i="14"/>
  <c r="F33" i="14"/>
  <c r="M62" i="14"/>
  <c r="M50" i="14"/>
  <c r="M68" i="17"/>
  <c r="M43" i="18"/>
  <c r="M51" i="21"/>
  <c r="F32" i="18"/>
  <c r="M12" i="14"/>
  <c r="F32" i="21"/>
  <c r="G11" i="14"/>
  <c r="M52" i="14"/>
  <c r="M62" i="17"/>
  <c r="M57" i="17"/>
  <c r="M66" i="18"/>
  <c r="M45" i="21"/>
  <c r="F32" i="17"/>
  <c r="F28" i="17"/>
  <c r="H31" i="18"/>
  <c r="B25" i="14"/>
  <c r="M46" i="14"/>
  <c r="M52" i="17"/>
  <c r="M47" i="17"/>
  <c r="M48" i="18"/>
  <c r="F26" i="21"/>
  <c r="F26" i="17"/>
  <c r="M69" i="14"/>
  <c r="M40" i="17"/>
  <c r="G40" i="17" s="1"/>
  <c r="M63" i="18"/>
  <c r="H33" i="21"/>
  <c r="H28" i="18"/>
  <c r="M55" i="17"/>
  <c r="M50" i="21"/>
  <c r="F30" i="21"/>
  <c r="G12" i="14"/>
  <c r="H12" i="14" s="1"/>
  <c r="F30" i="18"/>
  <c r="M68" i="14"/>
  <c r="H34" i="17"/>
  <c r="M58" i="14"/>
  <c r="M45" i="18"/>
  <c r="M56" i="18"/>
  <c r="M49" i="21"/>
  <c r="M15" i="14"/>
  <c r="B24" i="14"/>
  <c r="M68" i="18"/>
  <c r="M41" i="21"/>
  <c r="F31" i="21"/>
  <c r="H11" i="14"/>
  <c r="M48" i="14"/>
  <c r="M58" i="18"/>
  <c r="M64" i="21"/>
  <c r="M49" i="17"/>
  <c r="M58" i="21"/>
  <c r="H29" i="21"/>
  <c r="M69" i="17"/>
  <c r="M54" i="21"/>
  <c r="H34" i="21"/>
  <c r="M51" i="17"/>
  <c r="H29" i="17"/>
  <c r="G10" i="14"/>
  <c r="M48" i="17"/>
  <c r="M43" i="21"/>
  <c r="H32" i="17"/>
  <c r="F27" i="17"/>
  <c r="H10" i="14"/>
  <c r="M62" i="18"/>
  <c r="M66" i="21"/>
  <c r="F31" i="17"/>
  <c r="G19" i="14"/>
  <c r="H19" i="14" s="1"/>
  <c r="M64" i="14"/>
  <c r="M62" i="21"/>
  <c r="M16" i="14"/>
  <c r="M56" i="14"/>
  <c r="M44" i="18"/>
  <c r="M14" i="14"/>
  <c r="G17" i="14"/>
  <c r="H17" i="14" s="1"/>
  <c r="M13" i="14"/>
  <c r="M46" i="17"/>
  <c r="H32" i="21"/>
  <c r="F34" i="17"/>
  <c r="M55" i="18"/>
  <c r="M57" i="14"/>
  <c r="M70" i="21"/>
  <c r="H28" i="17"/>
  <c r="H31" i="17"/>
  <c r="M49" i="14"/>
  <c r="M52" i="18"/>
  <c r="M60" i="21"/>
  <c r="H28" i="21"/>
  <c r="H18" i="14"/>
  <c r="M59" i="14"/>
  <c r="M42" i="17"/>
  <c r="M42" i="18"/>
  <c r="M63" i="21"/>
  <c r="F27" i="21"/>
  <c r="G39" i="17"/>
  <c r="H39" i="17" s="1"/>
  <c r="G15" i="14"/>
  <c r="H15" i="14"/>
  <c r="G16" i="14"/>
  <c r="H16" i="14"/>
  <c r="G14" i="14"/>
  <c r="H14" i="14" s="1"/>
  <c r="G13" i="14"/>
  <c r="H13" i="14"/>
  <c r="B25" i="7" l="1"/>
  <c r="P6" i="23" a="1"/>
  <c r="P31" i="23" s="1"/>
  <c r="P6" i="7" a="1"/>
  <c r="P55" i="7" s="1"/>
  <c r="B25" i="23"/>
  <c r="M6" i="23" a="1"/>
  <c r="M26" i="23" s="1"/>
  <c r="S6" i="23" a="1"/>
  <c r="S64" i="23" s="1"/>
  <c r="M6" i="7" a="1"/>
  <c r="M30" i="7" s="1"/>
  <c r="S6" i="7" a="1"/>
  <c r="P25" i="23"/>
  <c r="P6" i="23"/>
  <c r="Q6" i="23" s="1"/>
  <c r="R6" i="23" s="1"/>
  <c r="X25" i="7"/>
  <c r="AL25" i="7"/>
  <c r="AE29" i="23"/>
  <c r="AE9" i="23"/>
  <c r="AG30" i="23"/>
  <c r="AI29" i="23"/>
  <c r="AI30" i="23"/>
  <c r="AG32" i="23"/>
  <c r="AG27" i="23"/>
  <c r="AI28" i="23"/>
  <c r="AE26" i="23"/>
  <c r="AG29" i="23"/>
  <c r="AE28" i="23"/>
  <c r="AG26" i="23"/>
  <c r="AE27" i="23"/>
  <c r="AG31" i="23"/>
  <c r="AE31" i="23"/>
  <c r="AI27" i="23"/>
  <c r="AI31" i="23"/>
  <c r="AE30" i="23"/>
  <c r="AE32" i="23"/>
  <c r="AI26" i="23"/>
  <c r="AI32" i="23"/>
  <c r="AG28" i="23"/>
  <c r="H40" i="17"/>
  <c r="H39" i="14"/>
  <c r="G35" i="14"/>
  <c r="G41" i="17"/>
  <c r="G39" i="18"/>
  <c r="P47" i="23" l="1"/>
  <c r="P17" i="23"/>
  <c r="P22" i="7"/>
  <c r="Q22" i="7" s="1"/>
  <c r="R22" i="7" s="1"/>
  <c r="P19" i="23"/>
  <c r="P20" i="23"/>
  <c r="P16" i="23"/>
  <c r="P23" i="7"/>
  <c r="Q23" i="7" s="1"/>
  <c r="R23" i="7" s="1"/>
  <c r="P30" i="23"/>
  <c r="P12" i="23"/>
  <c r="P8" i="23"/>
  <c r="Q8" i="23" s="1"/>
  <c r="R8" i="23" s="1"/>
  <c r="P52" i="23"/>
  <c r="P18" i="23"/>
  <c r="P15" i="23"/>
  <c r="P54" i="23"/>
  <c r="P27" i="23"/>
  <c r="P24" i="23"/>
  <c r="P6" i="7"/>
  <c r="Q6" i="7" s="1"/>
  <c r="P11" i="23"/>
  <c r="P26" i="23"/>
  <c r="P23" i="23"/>
  <c r="Q23" i="23" s="1"/>
  <c r="R23" i="23" s="1"/>
  <c r="P29" i="23"/>
  <c r="P10" i="23"/>
  <c r="P7" i="23"/>
  <c r="Q7" i="23" s="1"/>
  <c r="R7" i="23" s="1"/>
  <c r="P11" i="7"/>
  <c r="P19" i="7"/>
  <c r="P43" i="7"/>
  <c r="P33" i="7"/>
  <c r="P25" i="7"/>
  <c r="P14" i="23"/>
  <c r="P22" i="23"/>
  <c r="Q22" i="23" s="1"/>
  <c r="R22" i="23" s="1"/>
  <c r="P9" i="23"/>
  <c r="P26" i="7"/>
  <c r="P40" i="7"/>
  <c r="P37" i="7"/>
  <c r="Q37" i="7" s="1"/>
  <c r="P29" i="7"/>
  <c r="P32" i="7"/>
  <c r="P10" i="7"/>
  <c r="P18" i="7"/>
  <c r="P24" i="7"/>
  <c r="P55" i="23"/>
  <c r="P45" i="23"/>
  <c r="P36" i="7"/>
  <c r="P14" i="7"/>
  <c r="P47" i="7"/>
  <c r="P46" i="23"/>
  <c r="P44" i="7"/>
  <c r="P38" i="7"/>
  <c r="Q38" i="7" s="1"/>
  <c r="P39" i="7"/>
  <c r="P28" i="23"/>
  <c r="P30" i="7"/>
  <c r="P41" i="7"/>
  <c r="P31" i="7"/>
  <c r="P65" i="23"/>
  <c r="P60" i="7"/>
  <c r="P66" i="7"/>
  <c r="P54" i="7"/>
  <c r="P49" i="7"/>
  <c r="P48" i="7"/>
  <c r="M9" i="23"/>
  <c r="P52" i="7"/>
  <c r="P64" i="23"/>
  <c r="P69" i="23"/>
  <c r="P68" i="23"/>
  <c r="P67" i="23"/>
  <c r="P66" i="23"/>
  <c r="P51" i="7"/>
  <c r="P62" i="23"/>
  <c r="P61" i="23"/>
  <c r="P63" i="23"/>
  <c r="P60" i="23"/>
  <c r="P59" i="23"/>
  <c r="P58" i="23"/>
  <c r="P57" i="23"/>
  <c r="P21" i="7"/>
  <c r="Q21" i="7" s="1"/>
  <c r="R21" i="7" s="1"/>
  <c r="P59" i="7"/>
  <c r="P70" i="7"/>
  <c r="P67" i="7"/>
  <c r="P27" i="7"/>
  <c r="P17" i="7"/>
  <c r="P16" i="7"/>
  <c r="P15" i="7"/>
  <c r="P70" i="23"/>
  <c r="P43" i="23"/>
  <c r="P53" i="23"/>
  <c r="P51" i="23"/>
  <c r="P50" i="23"/>
  <c r="P49" i="23"/>
  <c r="P48" i="23"/>
  <c r="P62" i="7"/>
  <c r="P50" i="7"/>
  <c r="P34" i="7"/>
  <c r="P45" i="7"/>
  <c r="P53" i="7"/>
  <c r="P13" i="7"/>
  <c r="P9" i="7"/>
  <c r="P8" i="7"/>
  <c r="Q8" i="7" s="1"/>
  <c r="P7" i="7"/>
  <c r="Q7" i="7" s="1"/>
  <c r="R7" i="7" s="1"/>
  <c r="P37" i="23"/>
  <c r="Q37" i="23" s="1"/>
  <c r="R37" i="23" s="1"/>
  <c r="P38" i="23"/>
  <c r="Q38" i="23" s="1"/>
  <c r="R38" i="23" s="1"/>
  <c r="P13" i="23"/>
  <c r="P44" i="23"/>
  <c r="P42" i="23"/>
  <c r="P41" i="23"/>
  <c r="P40" i="23"/>
  <c r="P39" i="23"/>
  <c r="P35" i="7"/>
  <c r="P12" i="7"/>
  <c r="P69" i="7"/>
  <c r="P20" i="7"/>
  <c r="P42" i="7"/>
  <c r="P65" i="7"/>
  <c r="P64" i="7"/>
  <c r="P63" i="7"/>
  <c r="M15" i="23"/>
  <c r="P21" i="23"/>
  <c r="Q21" i="23" s="1"/>
  <c r="R21" i="23" s="1"/>
  <c r="P56" i="23"/>
  <c r="P35" i="23"/>
  <c r="P36" i="23"/>
  <c r="Q36" i="23" s="1"/>
  <c r="R36" i="23" s="1"/>
  <c r="P34" i="23"/>
  <c r="P33" i="23"/>
  <c r="P32" i="23"/>
  <c r="P61" i="7"/>
  <c r="P46" i="7"/>
  <c r="P58" i="7"/>
  <c r="P68" i="7"/>
  <c r="P28" i="7"/>
  <c r="P57" i="7"/>
  <c r="P56" i="7"/>
  <c r="M18" i="23"/>
  <c r="M46" i="23"/>
  <c r="M42" i="23"/>
  <c r="M64" i="23"/>
  <c r="M50" i="23"/>
  <c r="M48" i="23"/>
  <c r="M37" i="23"/>
  <c r="N37" i="23" s="1"/>
  <c r="O37" i="23" s="1"/>
  <c r="M27" i="23"/>
  <c r="M17" i="23"/>
  <c r="M54" i="23"/>
  <c r="M40" i="23"/>
  <c r="M41" i="23"/>
  <c r="M39" i="23"/>
  <c r="M28" i="23"/>
  <c r="M62" i="23"/>
  <c r="M24" i="23"/>
  <c r="M61" i="23"/>
  <c r="M52" i="23"/>
  <c r="M32" i="23"/>
  <c r="M29" i="23"/>
  <c r="M19" i="23"/>
  <c r="M10" i="23"/>
  <c r="M22" i="23"/>
  <c r="N22" i="23" s="1"/>
  <c r="O22" i="23" s="1"/>
  <c r="M70" i="23"/>
  <c r="M21" i="23"/>
  <c r="N21" i="23" s="1"/>
  <c r="O21" i="23" s="1"/>
  <c r="M34" i="23"/>
  <c r="M31" i="23"/>
  <c r="M23" i="23"/>
  <c r="N23" i="23" s="1"/>
  <c r="O23" i="23" s="1"/>
  <c r="M20" i="23"/>
  <c r="M11" i="23"/>
  <c r="M65" i="23"/>
  <c r="M55" i="23"/>
  <c r="M16" i="23"/>
  <c r="M13" i="23"/>
  <c r="M7" i="23"/>
  <c r="N7" i="23" s="1"/>
  <c r="O7" i="23" s="1"/>
  <c r="M14" i="23"/>
  <c r="M12" i="23"/>
  <c r="M66" i="23"/>
  <c r="M53" i="23"/>
  <c r="M63" i="23"/>
  <c r="M69" i="23"/>
  <c r="M59" i="23"/>
  <c r="M51" i="23"/>
  <c r="M6" i="23"/>
  <c r="N6" i="23" s="1"/>
  <c r="O6" i="23" s="1"/>
  <c r="M67" i="23"/>
  <c r="M56" i="23"/>
  <c r="M44" i="23"/>
  <c r="M30" i="23"/>
  <c r="M49" i="23"/>
  <c r="M33" i="23"/>
  <c r="M25" i="23"/>
  <c r="M68" i="23"/>
  <c r="M57" i="23"/>
  <c r="M45" i="23"/>
  <c r="M35" i="23"/>
  <c r="M38" i="23"/>
  <c r="N38" i="23" s="1"/>
  <c r="O38" i="23" s="1"/>
  <c r="M43" i="23"/>
  <c r="M8" i="23"/>
  <c r="N8" i="23" s="1"/>
  <c r="O8" i="23" s="1"/>
  <c r="M60" i="23"/>
  <c r="M58" i="23"/>
  <c r="M47" i="23"/>
  <c r="M36" i="23"/>
  <c r="N36" i="23" s="1"/>
  <c r="O36" i="23" s="1"/>
  <c r="S35" i="23"/>
  <c r="S41" i="23"/>
  <c r="S23" i="23"/>
  <c r="T23" i="23" s="1"/>
  <c r="U23" i="23" s="1"/>
  <c r="S42" i="23"/>
  <c r="S40" i="23"/>
  <c r="S29" i="23"/>
  <c r="S19" i="23"/>
  <c r="S22" i="23"/>
  <c r="T22" i="23" s="1"/>
  <c r="U22" i="23" s="1"/>
  <c r="S34" i="23"/>
  <c r="S32" i="23"/>
  <c r="S53" i="23"/>
  <c r="S33" i="23"/>
  <c r="S31" i="23"/>
  <c r="S20" i="23"/>
  <c r="S11" i="23"/>
  <c r="S54" i="23"/>
  <c r="S63" i="23"/>
  <c r="S6" i="23"/>
  <c r="T6" i="23" s="1"/>
  <c r="U6" i="23" s="1"/>
  <c r="S17" i="23"/>
  <c r="S7" i="23"/>
  <c r="T7" i="23" s="1"/>
  <c r="U7" i="23" s="1"/>
  <c r="S66" i="23"/>
  <c r="S56" i="23"/>
  <c r="S36" i="23"/>
  <c r="T36" i="23" s="1"/>
  <c r="U36" i="23" s="1"/>
  <c r="S62" i="23"/>
  <c r="S9" i="23"/>
  <c r="S50" i="23"/>
  <c r="S69" i="23"/>
  <c r="S67" i="23"/>
  <c r="S57" i="23"/>
  <c r="S47" i="23"/>
  <c r="S27" i="23"/>
  <c r="S70" i="23"/>
  <c r="S61" i="23"/>
  <c r="S25" i="23"/>
  <c r="S60" i="23"/>
  <c r="S58" i="23"/>
  <c r="S48" i="23"/>
  <c r="S37" i="23"/>
  <c r="T37" i="23" s="1"/>
  <c r="U37" i="23" s="1"/>
  <c r="S18" i="23"/>
  <c r="S30" i="23"/>
  <c r="S59" i="23"/>
  <c r="S44" i="23"/>
  <c r="S51" i="23"/>
  <c r="S49" i="23"/>
  <c r="S39" i="23"/>
  <c r="S28" i="23"/>
  <c r="S10" i="23"/>
  <c r="S16" i="23"/>
  <c r="S52" i="23"/>
  <c r="S8" i="23"/>
  <c r="S24" i="23"/>
  <c r="S21" i="23"/>
  <c r="T21" i="23" s="1"/>
  <c r="U21" i="23" s="1"/>
  <c r="S12" i="23"/>
  <c r="S55" i="23"/>
  <c r="S38" i="23"/>
  <c r="T38" i="23" s="1"/>
  <c r="U38" i="23" s="1"/>
  <c r="S14" i="23"/>
  <c r="S26" i="23"/>
  <c r="S43" i="23"/>
  <c r="S15" i="23"/>
  <c r="S13" i="23"/>
  <c r="S65" i="23"/>
  <c r="S45" i="23"/>
  <c r="M44" i="7"/>
  <c r="M12" i="7"/>
  <c r="M31" i="7"/>
  <c r="M47" i="7"/>
  <c r="M62" i="7"/>
  <c r="M18" i="7"/>
  <c r="M69" i="7"/>
  <c r="M49" i="7"/>
  <c r="M60" i="7"/>
  <c r="M32" i="7"/>
  <c r="M22" i="7"/>
  <c r="N22" i="7" s="1"/>
  <c r="O22" i="7" s="1"/>
  <c r="M24" i="7"/>
  <c r="M27" i="7"/>
  <c r="M55" i="7"/>
  <c r="M29" i="7"/>
  <c r="M43" i="7"/>
  <c r="M52" i="7"/>
  <c r="M36" i="7"/>
  <c r="N36" i="7" s="1"/>
  <c r="O36" i="7" s="1"/>
  <c r="M45" i="7"/>
  <c r="M23" i="7"/>
  <c r="N23" i="7" s="1"/>
  <c r="O23" i="7" s="1"/>
  <c r="M14" i="7"/>
  <c r="M65" i="7"/>
  <c r="M68" i="7"/>
  <c r="M41" i="7"/>
  <c r="M63" i="7"/>
  <c r="M59" i="7"/>
  <c r="M10" i="7"/>
  <c r="M37" i="7"/>
  <c r="N37" i="7" s="1"/>
  <c r="M25" i="7"/>
  <c r="M34" i="7"/>
  <c r="M15" i="7"/>
  <c r="M6" i="7"/>
  <c r="N6" i="7" s="1"/>
  <c r="O6" i="7" s="1"/>
  <c r="M40" i="7"/>
  <c r="M38" i="7"/>
  <c r="N38" i="7" s="1"/>
  <c r="M28" i="7"/>
  <c r="M42" i="7"/>
  <c r="M26" i="7"/>
  <c r="M13" i="7"/>
  <c r="M21" i="7"/>
  <c r="N21" i="7" s="1"/>
  <c r="O21" i="7" s="1"/>
  <c r="M7" i="7"/>
  <c r="N7" i="7" s="1"/>
  <c r="O7" i="7" s="1"/>
  <c r="M56" i="7"/>
  <c r="M58" i="7"/>
  <c r="M9" i="7"/>
  <c r="M16" i="7"/>
  <c r="M48" i="7"/>
  <c r="M11" i="7"/>
  <c r="M61" i="7"/>
  <c r="M64" i="7"/>
  <c r="M19" i="7"/>
  <c r="M53" i="7"/>
  <c r="M39" i="7"/>
  <c r="M51" i="7"/>
  <c r="M46" i="7"/>
  <c r="M20" i="7"/>
  <c r="M8" i="7"/>
  <c r="N8" i="7" s="1"/>
  <c r="M17" i="7"/>
  <c r="M35" i="7"/>
  <c r="M66" i="7"/>
  <c r="M50" i="7"/>
  <c r="S46" i="23"/>
  <c r="S68" i="23"/>
  <c r="M70" i="7"/>
  <c r="M54" i="7"/>
  <c r="M57" i="7"/>
  <c r="M33" i="7"/>
  <c r="M67" i="7"/>
  <c r="S6" i="7"/>
  <c r="T6" i="7" s="1"/>
  <c r="U6" i="7" s="1"/>
  <c r="S13" i="7"/>
  <c r="S12" i="7"/>
  <c r="S11" i="7"/>
  <c r="S10" i="7"/>
  <c r="S48" i="7"/>
  <c r="S47" i="7"/>
  <c r="S17" i="7"/>
  <c r="S14" i="7"/>
  <c r="S69" i="7"/>
  <c r="S68" i="7"/>
  <c r="S67" i="7"/>
  <c r="S66" i="7"/>
  <c r="S65" i="7"/>
  <c r="S40" i="7"/>
  <c r="S39" i="7"/>
  <c r="S70" i="7"/>
  <c r="S61" i="7"/>
  <c r="S60" i="7"/>
  <c r="S59" i="7"/>
  <c r="S58" i="7"/>
  <c r="S49" i="7"/>
  <c r="S32" i="7"/>
  <c r="S31" i="7"/>
  <c r="S62" i="7"/>
  <c r="S53" i="7"/>
  <c r="S52" i="7"/>
  <c r="S51" i="7"/>
  <c r="S50" i="7"/>
  <c r="S33" i="7"/>
  <c r="S24" i="7"/>
  <c r="S23" i="7"/>
  <c r="T23" i="7" s="1"/>
  <c r="S54" i="7"/>
  <c r="S45" i="7"/>
  <c r="S44" i="7"/>
  <c r="S43" i="7"/>
  <c r="S42" i="7"/>
  <c r="S25" i="7"/>
  <c r="S16" i="7"/>
  <c r="S15" i="7"/>
  <c r="S46" i="7"/>
  <c r="S37" i="7"/>
  <c r="T37" i="7" s="1"/>
  <c r="S36" i="7"/>
  <c r="T36" i="7" s="1"/>
  <c r="U36" i="7" s="1"/>
  <c r="S35" i="7"/>
  <c r="S34" i="7"/>
  <c r="S9" i="7"/>
  <c r="S8" i="7"/>
  <c r="T8" i="7" s="1"/>
  <c r="S7" i="7"/>
  <c r="T7" i="7" s="1"/>
  <c r="U7" i="7" s="1"/>
  <c r="S38" i="7"/>
  <c r="T38" i="7" s="1"/>
  <c r="S29" i="7"/>
  <c r="S28" i="7"/>
  <c r="S27" i="7"/>
  <c r="S26" i="7"/>
  <c r="S64" i="7"/>
  <c r="S63" i="7"/>
  <c r="S57" i="7"/>
  <c r="S30" i="7"/>
  <c r="S21" i="7"/>
  <c r="T21" i="7" s="1"/>
  <c r="S20" i="7"/>
  <c r="S19" i="7"/>
  <c r="S18" i="7"/>
  <c r="S56" i="7"/>
  <c r="S55" i="7"/>
  <c r="S41" i="7"/>
  <c r="S22" i="7"/>
  <c r="T22" i="7" s="1"/>
  <c r="T8" i="23"/>
  <c r="U8" i="23" s="1"/>
  <c r="Q36" i="7"/>
  <c r="R36" i="7" s="1"/>
  <c r="R6" i="7"/>
  <c r="AH28" i="23"/>
  <c r="AH31" i="23"/>
  <c r="AF26" i="23"/>
  <c r="AH30" i="23"/>
  <c r="AJ32" i="23"/>
  <c r="AJ28" i="23"/>
  <c r="AF9" i="23"/>
  <c r="AF29" i="23"/>
  <c r="AJ26" i="23"/>
  <c r="AF30" i="23"/>
  <c r="AJ27" i="23"/>
  <c r="AF31" i="23"/>
  <c r="AH26" i="23"/>
  <c r="AH27" i="23"/>
  <c r="AJ30" i="23"/>
  <c r="AF32" i="23"/>
  <c r="AH29" i="23"/>
  <c r="AF27" i="23"/>
  <c r="AH32" i="23"/>
  <c r="AJ29" i="23"/>
  <c r="AF28" i="23"/>
  <c r="AJ31" i="23"/>
  <c r="H39" i="18"/>
  <c r="M3" i="21"/>
  <c r="W6" i="7" l="1"/>
  <c r="AI21" i="7"/>
  <c r="AK7" i="7"/>
  <c r="AE8" i="7"/>
  <c r="AI23" i="7"/>
  <c r="AK6" i="7"/>
  <c r="AI8" i="7"/>
  <c r="AI22" i="7"/>
  <c r="AK8" i="7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G46" i="17"/>
  <c r="G40" i="14"/>
  <c r="E45" i="24"/>
  <c r="G35" i="21"/>
  <c r="G14" i="18"/>
  <c r="G57" i="14"/>
  <c r="G17" i="21"/>
  <c r="G61" i="14"/>
  <c r="E47" i="24"/>
  <c r="E62" i="24"/>
  <c r="G55" i="14"/>
  <c r="G9" i="17"/>
  <c r="E69" i="24"/>
  <c r="E55" i="24"/>
  <c r="G53" i="18"/>
  <c r="G60" i="18"/>
  <c r="G50" i="14"/>
  <c r="G55" i="17"/>
  <c r="G46" i="21"/>
  <c r="G16" i="21"/>
  <c r="G59" i="17"/>
  <c r="G69" i="17"/>
  <c r="G51" i="14"/>
  <c r="E64" i="24"/>
  <c r="G13" i="17"/>
  <c r="G53" i="21"/>
  <c r="E60" i="24"/>
  <c r="G18" i="18"/>
  <c r="G46" i="14"/>
  <c r="G69" i="21"/>
  <c r="G60" i="17"/>
  <c r="G11" i="21"/>
  <c r="G56" i="18"/>
  <c r="G19" i="17"/>
  <c r="G64" i="17"/>
  <c r="E39" i="24"/>
  <c r="G19" i="18"/>
  <c r="G50" i="21"/>
  <c r="G67" i="17"/>
  <c r="G68" i="14"/>
  <c r="G63" i="18"/>
  <c r="G62" i="18"/>
  <c r="G51" i="17"/>
  <c r="G17" i="17"/>
  <c r="E41" i="24"/>
  <c r="G41" i="21"/>
  <c r="G45" i="14"/>
  <c r="G55" i="21"/>
  <c r="G57" i="21"/>
  <c r="G66" i="17"/>
  <c r="E58" i="24"/>
  <c r="G70" i="21"/>
  <c r="G53" i="17"/>
  <c r="G12" i="18"/>
  <c r="E59" i="24"/>
  <c r="G16" i="17"/>
  <c r="G56" i="14"/>
  <c r="G11" i="18"/>
  <c r="G47" i="14"/>
  <c r="E63" i="24"/>
  <c r="E54" i="24"/>
  <c r="G60" i="21"/>
  <c r="G41" i="18"/>
  <c r="G65" i="21"/>
  <c r="E43" i="24"/>
  <c r="G9" i="21"/>
  <c r="G51" i="18"/>
  <c r="G15" i="18"/>
  <c r="G66" i="21"/>
  <c r="G43" i="21"/>
  <c r="G49" i="21"/>
  <c r="G61" i="21"/>
  <c r="G53" i="14"/>
  <c r="G49" i="18"/>
  <c r="G70" i="18"/>
  <c r="G65" i="14"/>
  <c r="E49" i="24"/>
  <c r="E66" i="24"/>
  <c r="G13" i="21"/>
  <c r="G57" i="17"/>
  <c r="G59" i="14"/>
  <c r="G64" i="18"/>
  <c r="G44" i="21"/>
  <c r="G13" i="18"/>
  <c r="H55" i="17"/>
  <c r="G57" i="18"/>
  <c r="G43" i="18"/>
  <c r="G45" i="21"/>
  <c r="G39" i="21"/>
  <c r="G64" i="21"/>
  <c r="G65" i="18"/>
  <c r="E44" i="24"/>
  <c r="G48" i="14"/>
  <c r="G42" i="21"/>
  <c r="G16" i="18"/>
  <c r="G67" i="21"/>
  <c r="G70" i="17"/>
  <c r="G61" i="18"/>
  <c r="G58" i="17"/>
  <c r="G54" i="21"/>
  <c r="E46" i="24"/>
  <c r="G62" i="17"/>
  <c r="G66" i="14"/>
  <c r="E65" i="24"/>
  <c r="G50" i="17"/>
  <c r="G15" i="17"/>
  <c r="G46" i="18"/>
  <c r="G68" i="21"/>
  <c r="G62" i="21"/>
  <c r="G19" i="21"/>
  <c r="G58" i="18"/>
  <c r="G40" i="21"/>
  <c r="G49" i="14"/>
  <c r="G63" i="14"/>
  <c r="G42" i="17"/>
  <c r="G52" i="17"/>
  <c r="G47" i="21"/>
  <c r="G60" i="14"/>
  <c r="G58" i="14"/>
  <c r="G64" i="14"/>
  <c r="G69" i="18"/>
  <c r="G51" i="21"/>
  <c r="G59" i="21"/>
  <c r="G44" i="18"/>
  <c r="G18" i="17"/>
  <c r="G14" i="17"/>
  <c r="G52" i="21"/>
  <c r="G52" i="14"/>
  <c r="G67" i="18"/>
  <c r="E70" i="24"/>
  <c r="E42" i="24"/>
  <c r="G11" i="17"/>
  <c r="G68" i="18"/>
  <c r="G49" i="17"/>
  <c r="G9" i="18"/>
  <c r="E35" i="24"/>
  <c r="G68" i="17"/>
  <c r="G10" i="18"/>
  <c r="G54" i="18"/>
  <c r="G50" i="18"/>
  <c r="G44" i="17"/>
  <c r="E61" i="24"/>
  <c r="G35" i="18"/>
  <c r="G48" i="17"/>
  <c r="G67" i="14"/>
  <c r="G48" i="18"/>
  <c r="G17" i="18"/>
  <c r="G43" i="17"/>
  <c r="G12" i="21"/>
  <c r="E51" i="24"/>
  <c r="G58" i="21"/>
  <c r="G43" i="14"/>
  <c r="E48" i="24"/>
  <c r="G20" i="18"/>
  <c r="G15" i="21"/>
  <c r="G42" i="14"/>
  <c r="G59" i="18"/>
  <c r="G10" i="21"/>
  <c r="E68" i="24"/>
  <c r="E50" i="24"/>
  <c r="G48" i="21"/>
  <c r="G52" i="18"/>
  <c r="H52" i="18" s="1"/>
  <c r="E57" i="24"/>
  <c r="G14" i="21"/>
  <c r="G70" i="14"/>
  <c r="G45" i="17"/>
  <c r="G63" i="21"/>
  <c r="G62" i="14"/>
  <c r="G40" i="18"/>
  <c r="G47" i="17"/>
  <c r="G54" i="14"/>
  <c r="G54" i="17"/>
  <c r="G42" i="18"/>
  <c r="E53" i="24"/>
  <c r="E56" i="24"/>
  <c r="G65" i="17"/>
  <c r="E52" i="24"/>
  <c r="G66" i="18"/>
  <c r="G69" i="14"/>
  <c r="G10" i="17"/>
  <c r="G20" i="17"/>
  <c r="G41" i="14"/>
  <c r="G56" i="21"/>
  <c r="G63" i="17"/>
  <c r="G56" i="17"/>
  <c r="G35" i="17"/>
  <c r="G20" i="21"/>
  <c r="G61" i="17"/>
  <c r="G55" i="18"/>
  <c r="G47" i="18"/>
  <c r="G18" i="21"/>
  <c r="G12" i="17"/>
  <c r="G45" i="18"/>
  <c r="G44" i="14"/>
  <c r="E67" i="24"/>
  <c r="B25" i="17"/>
  <c r="B24" i="17"/>
  <c r="O38" i="7" l="1"/>
  <c r="O37" i="7"/>
  <c r="R38" i="7"/>
  <c r="R37" i="7"/>
  <c r="U38" i="7"/>
  <c r="U37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F52" i="24"/>
  <c r="H67" i="21"/>
  <c r="H55" i="21"/>
  <c r="H9" i="21"/>
  <c r="H54" i="14"/>
  <c r="H69" i="14"/>
  <c r="H54" i="17"/>
  <c r="H66" i="17"/>
  <c r="H68" i="18"/>
  <c r="H64" i="18"/>
  <c r="F45" i="24"/>
  <c r="H15" i="21"/>
  <c r="F58" i="24"/>
  <c r="H10" i="21"/>
  <c r="H11" i="17"/>
  <c r="H10" i="18"/>
  <c r="H18" i="18"/>
  <c r="H35" i="17"/>
  <c r="F43" i="24"/>
  <c r="H19" i="21"/>
  <c r="H48" i="18"/>
  <c r="F61" i="24"/>
  <c r="H58" i="14"/>
  <c r="H60" i="14"/>
  <c r="F56" i="24"/>
  <c r="H17" i="17"/>
  <c r="F69" i="24"/>
  <c r="F53" i="24"/>
  <c r="H64" i="21"/>
  <c r="H52" i="14"/>
  <c r="H60" i="18"/>
  <c r="H65" i="21"/>
  <c r="H48" i="14"/>
  <c r="H43" i="14"/>
  <c r="H35" i="21"/>
  <c r="H57" i="17"/>
  <c r="H61" i="14"/>
  <c r="F50" i="24"/>
  <c r="H35" i="14"/>
  <c r="H45" i="14"/>
  <c r="H14" i="17"/>
  <c r="H47" i="17"/>
  <c r="H65" i="17"/>
  <c r="H59" i="14"/>
  <c r="H35" i="18"/>
  <c r="G30" i="14"/>
  <c r="H57" i="18"/>
  <c r="H62" i="18"/>
  <c r="H16" i="21"/>
  <c r="F60" i="24"/>
  <c r="H16" i="18"/>
  <c r="H19" i="17"/>
  <c r="H12" i="21"/>
  <c r="H50" i="17"/>
  <c r="H43" i="17"/>
  <c r="H58" i="21"/>
  <c r="H57" i="14"/>
  <c r="H20" i="21"/>
  <c r="H51" i="18"/>
  <c r="H42" i="21"/>
  <c r="H9" i="17"/>
  <c r="H70" i="14"/>
  <c r="H54" i="21"/>
  <c r="H39" i="21"/>
  <c r="H61" i="17"/>
  <c r="H66" i="18"/>
  <c r="H41" i="14"/>
  <c r="F55" i="24"/>
  <c r="H55" i="14"/>
  <c r="H46" i="17"/>
  <c r="H55" i="18"/>
  <c r="H44" i="21"/>
  <c r="H61" i="21"/>
  <c r="F35" i="24"/>
  <c r="H53" i="17"/>
  <c r="H66" i="14"/>
  <c r="F54" i="24"/>
  <c r="H52" i="17"/>
  <c r="F67" i="24"/>
  <c r="G29" i="14"/>
  <c r="H67" i="17"/>
  <c r="H64" i="14"/>
  <c r="H12" i="17"/>
  <c r="H16" i="17"/>
  <c r="H50" i="21"/>
  <c r="F48" i="24"/>
  <c r="H50" i="18"/>
  <c r="H59" i="18"/>
  <c r="H41" i="17"/>
  <c r="F57" i="24"/>
  <c r="H56" i="21"/>
  <c r="H42" i="14"/>
  <c r="H61" i="18"/>
  <c r="F66" i="24"/>
  <c r="H18" i="17"/>
  <c r="H40" i="14"/>
  <c r="F62" i="24"/>
  <c r="F51" i="24"/>
  <c r="H11" i="18"/>
  <c r="H44" i="18"/>
  <c r="F68" i="24"/>
  <c r="F47" i="24"/>
  <c r="H41" i="21"/>
  <c r="H42" i="18"/>
  <c r="H68" i="17"/>
  <c r="H14" i="18"/>
  <c r="H42" i="17"/>
  <c r="H48" i="21"/>
  <c r="H12" i="18"/>
  <c r="F44" i="24"/>
  <c r="H53" i="21"/>
  <c r="H63" i="21"/>
  <c r="H69" i="17"/>
  <c r="H67" i="18"/>
  <c r="F65" i="24"/>
  <c r="F63" i="24"/>
  <c r="H62" i="21"/>
  <c r="H9" i="18"/>
  <c r="H49" i="14"/>
  <c r="H65" i="14"/>
  <c r="H41" i="18"/>
  <c r="H43" i="18"/>
  <c r="H46" i="14"/>
  <c r="H60" i="17"/>
  <c r="H15" i="17"/>
  <c r="H20" i="17"/>
  <c r="H56" i="18"/>
  <c r="H58" i="18"/>
  <c r="F41" i="24"/>
  <c r="H20" i="18"/>
  <c r="G32" i="14"/>
  <c r="H17" i="21"/>
  <c r="H49" i="18"/>
  <c r="H62" i="14"/>
  <c r="F46" i="24"/>
  <c r="H49" i="17"/>
  <c r="H44" i="14"/>
  <c r="H14" i="21"/>
  <c r="G31" i="14"/>
  <c r="G27" i="14"/>
  <c r="H48" i="17"/>
  <c r="F42" i="24"/>
  <c r="H51" i="17"/>
  <c r="H46" i="21"/>
  <c r="H70" i="21"/>
  <c r="H45" i="21"/>
  <c r="H18" i="21"/>
  <c r="H63" i="18"/>
  <c r="G26" i="14"/>
  <c r="F39" i="24"/>
  <c r="H70" i="17"/>
  <c r="H47" i="18"/>
  <c r="F59" i="24"/>
  <c r="H66" i="21"/>
  <c r="H65" i="18"/>
  <c r="H19" i="18"/>
  <c r="H51" i="21"/>
  <c r="H53" i="18"/>
  <c r="H69" i="21"/>
  <c r="H40" i="21"/>
  <c r="H47" i="21"/>
  <c r="H13" i="18"/>
  <c r="H58" i="17"/>
  <c r="H43" i="21"/>
  <c r="F49" i="24"/>
  <c r="H53" i="14"/>
  <c r="H11" i="21"/>
  <c r="H69" i="18"/>
  <c r="H59" i="21"/>
  <c r="H57" i="21"/>
  <c r="H68" i="14"/>
  <c r="H63" i="17"/>
  <c r="H63" i="14"/>
  <c r="F64" i="24"/>
  <c r="H54" i="18"/>
  <c r="H40" i="18"/>
  <c r="H10" i="17"/>
  <c r="G28" i="14"/>
  <c r="H45" i="18"/>
  <c r="H13" i="21"/>
  <c r="H51" i="14"/>
  <c r="H56" i="17"/>
  <c r="H46" i="18"/>
  <c r="H68" i="21"/>
  <c r="H50" i="14"/>
  <c r="H45" i="17"/>
  <c r="H70" i="18"/>
  <c r="F70" i="24"/>
  <c r="H44" i="17"/>
  <c r="H56" i="14"/>
  <c r="H15" i="18"/>
  <c r="H62" i="17"/>
  <c r="H13" i="17"/>
  <c r="H49" i="21"/>
  <c r="H47" i="14"/>
  <c r="G34" i="14"/>
  <c r="H17" i="18"/>
  <c r="H67" i="14"/>
  <c r="H52" i="21"/>
  <c r="H64" i="17"/>
  <c r="H59" i="17"/>
  <c r="H60" i="21"/>
  <c r="J27" i="14" l="1"/>
  <c r="J34" i="14"/>
  <c r="J32" i="14"/>
  <c r="J26" i="14"/>
  <c r="J29" i="14"/>
  <c r="J30" i="14"/>
  <c r="J31" i="14"/>
  <c r="J28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34" i="14"/>
  <c r="H32" i="14"/>
  <c r="F28" i="14"/>
  <c r="H27" i="14"/>
  <c r="F26" i="14"/>
  <c r="H28" i="14"/>
  <c r="F27" i="14"/>
  <c r="H31" i="14"/>
  <c r="F31" i="14"/>
  <c r="H34" i="14"/>
  <c r="F32" i="14"/>
  <c r="H30" i="14"/>
  <c r="F29" i="14"/>
  <c r="H26" i="14"/>
  <c r="F30" i="14"/>
  <c r="H29" i="14"/>
  <c r="J6" i="23" l="1" a="1"/>
  <c r="J6" i="7" a="1"/>
  <c r="AJ24" i="23"/>
  <c r="AH24" i="23"/>
  <c r="J22" i="7" l="1"/>
  <c r="J8" i="7"/>
  <c r="J16" i="7"/>
  <c r="J25" i="7"/>
  <c r="J34" i="7"/>
  <c r="J43" i="7"/>
  <c r="J52" i="7"/>
  <c r="J61" i="7"/>
  <c r="J9" i="7"/>
  <c r="J17" i="7"/>
  <c r="J26" i="7"/>
  <c r="J35" i="7"/>
  <c r="J44" i="7"/>
  <c r="J53" i="7"/>
  <c r="J64" i="7"/>
  <c r="J11" i="7"/>
  <c r="J21" i="7"/>
  <c r="J33" i="7"/>
  <c r="J47" i="7"/>
  <c r="J58" i="7"/>
  <c r="J12" i="7"/>
  <c r="J23" i="7"/>
  <c r="J36" i="7"/>
  <c r="J48" i="7"/>
  <c r="J59" i="7"/>
  <c r="J13" i="7"/>
  <c r="J24" i="7"/>
  <c r="J37" i="7"/>
  <c r="J49" i="7"/>
  <c r="J60" i="7"/>
  <c r="J15" i="7"/>
  <c r="J40" i="7"/>
  <c r="J14" i="7"/>
  <c r="J27" i="7"/>
  <c r="J39" i="7"/>
  <c r="J50" i="7"/>
  <c r="J65" i="7"/>
  <c r="J28" i="7"/>
  <c r="J51" i="7"/>
  <c r="J7" i="7"/>
  <c r="J41" i="7"/>
  <c r="J68" i="7"/>
  <c r="J10" i="7"/>
  <c r="J42" i="7"/>
  <c r="J69" i="7"/>
  <c r="J18" i="7"/>
  <c r="J45" i="7"/>
  <c r="J19" i="7"/>
  <c r="J55" i="7"/>
  <c r="J20" i="7"/>
  <c r="J56" i="7"/>
  <c r="J29" i="7"/>
  <c r="J57" i="7"/>
  <c r="J31" i="7"/>
  <c r="J66" i="7"/>
  <c r="J6" i="7"/>
  <c r="K6" i="7" s="1"/>
  <c r="L6" i="7" s="1"/>
  <c r="J32" i="7"/>
  <c r="J67" i="7"/>
  <c r="J46" i="7"/>
  <c r="J38" i="7"/>
  <c r="J30" i="7"/>
  <c r="J63" i="7"/>
  <c r="J70" i="7"/>
  <c r="J62" i="7"/>
  <c r="J54" i="7"/>
  <c r="J46" i="23"/>
  <c r="J8" i="23"/>
  <c r="J16" i="23"/>
  <c r="J24" i="23"/>
  <c r="J32" i="23"/>
  <c r="J40" i="23"/>
  <c r="J49" i="23"/>
  <c r="J58" i="23"/>
  <c r="J67" i="23"/>
  <c r="J9" i="23"/>
  <c r="J17" i="23"/>
  <c r="J25" i="23"/>
  <c r="J33" i="23"/>
  <c r="J41" i="23"/>
  <c r="J50" i="23"/>
  <c r="J59" i="23"/>
  <c r="J68" i="23"/>
  <c r="J10" i="23"/>
  <c r="J18" i="23"/>
  <c r="J26" i="23"/>
  <c r="J34" i="23"/>
  <c r="J42" i="23"/>
  <c r="J51" i="23"/>
  <c r="J60" i="23"/>
  <c r="J69" i="23"/>
  <c r="J11" i="23"/>
  <c r="J19" i="23"/>
  <c r="J27" i="23"/>
  <c r="J35" i="23"/>
  <c r="J43" i="23"/>
  <c r="J52" i="23"/>
  <c r="J61" i="23"/>
  <c r="J12" i="23"/>
  <c r="J28" i="23"/>
  <c r="J44" i="23"/>
  <c r="J63" i="23"/>
  <c r="J13" i="23"/>
  <c r="J29" i="23"/>
  <c r="J45" i="23"/>
  <c r="J64" i="23"/>
  <c r="J36" i="23"/>
  <c r="K36" i="23" s="1"/>
  <c r="L36" i="23" s="1"/>
  <c r="J14" i="23"/>
  <c r="J30" i="23"/>
  <c r="J47" i="23"/>
  <c r="J65" i="23"/>
  <c r="J15" i="23"/>
  <c r="J31" i="23"/>
  <c r="J48" i="23"/>
  <c r="J66" i="23"/>
  <c r="J20" i="23"/>
  <c r="J53" i="23"/>
  <c r="J23" i="23"/>
  <c r="K23" i="23" s="1"/>
  <c r="L23" i="23" s="1"/>
  <c r="J37" i="23"/>
  <c r="K37" i="23" s="1"/>
  <c r="L37" i="23" s="1"/>
  <c r="J38" i="23"/>
  <c r="K38" i="23" s="1"/>
  <c r="L38" i="23" s="1"/>
  <c r="J39" i="23"/>
  <c r="J6" i="23"/>
  <c r="J55" i="23"/>
  <c r="J7" i="23"/>
  <c r="J56" i="23"/>
  <c r="J21" i="23"/>
  <c r="K21" i="23" s="1"/>
  <c r="L21" i="23" s="1"/>
  <c r="J57" i="23"/>
  <c r="J22" i="23"/>
  <c r="K22" i="23" s="1"/>
  <c r="L22" i="23" s="1"/>
  <c r="J70" i="23"/>
  <c r="J62" i="23"/>
  <c r="J54" i="23"/>
  <c r="K6" i="23"/>
  <c r="L6" i="23" s="1"/>
  <c r="K7" i="23"/>
  <c r="L7" i="23" s="1"/>
  <c r="K8" i="23"/>
  <c r="L8" i="23" s="1"/>
  <c r="K8" i="7"/>
  <c r="K38" i="7"/>
  <c r="AC38" i="7"/>
  <c r="AC8" i="7"/>
  <c r="K7" i="7" l="1"/>
  <c r="L7" i="7" s="1"/>
  <c r="K21" i="7"/>
  <c r="L21" i="7" s="1"/>
  <c r="K22" i="7"/>
  <c r="L22" i="7" s="1"/>
  <c r="K23" i="7"/>
  <c r="L23" i="7" s="1"/>
  <c r="K37" i="7"/>
  <c r="L37" i="7" s="1"/>
  <c r="K36" i="7"/>
  <c r="L36" i="7" s="1"/>
  <c r="L8" i="7"/>
  <c r="L38" i="7"/>
  <c r="AD8" i="7"/>
  <c r="AD38" i="7"/>
  <c r="AC19" i="23"/>
  <c r="AC15" i="23"/>
  <c r="AC28" i="23"/>
  <c r="AC31" i="23"/>
  <c r="AC11" i="23"/>
  <c r="AC30" i="23"/>
  <c r="AC20" i="23"/>
  <c r="AC16" i="23"/>
  <c r="AC12" i="23"/>
  <c r="AC18" i="23"/>
  <c r="AC9" i="23"/>
  <c r="AC32" i="23"/>
  <c r="AC14" i="23"/>
  <c r="AC29" i="23"/>
  <c r="AC10" i="23"/>
  <c r="AC17" i="23"/>
  <c r="AC26" i="23"/>
  <c r="AC13" i="23"/>
  <c r="AC27" i="23"/>
  <c r="AC24" i="23"/>
  <c r="AD14" i="23" l="1"/>
  <c r="AD27" i="23"/>
  <c r="AD32" i="23"/>
  <c r="AD11" i="23"/>
  <c r="AD9" i="23"/>
  <c r="AD12" i="23"/>
  <c r="AD13" i="23"/>
  <c r="AD10" i="23"/>
  <c r="AD16" i="23"/>
  <c r="AD20" i="23"/>
  <c r="AD31" i="23"/>
  <c r="AD15" i="23"/>
  <c r="AD26" i="23"/>
  <c r="AD18" i="23"/>
  <c r="AD30" i="23"/>
  <c r="AD19" i="23"/>
  <c r="AD17" i="23"/>
  <c r="AD29" i="23"/>
  <c r="AD28" i="23"/>
  <c r="AD24" i="23"/>
  <c r="W35" i="7" l="1"/>
  <c r="W35" i="23"/>
  <c r="AK35" i="7"/>
  <c r="X35" i="23" l="1"/>
  <c r="X35" i="7"/>
  <c r="AL35" i="7"/>
  <c r="AL8" i="23" l="1"/>
  <c r="AK8" i="23"/>
  <c r="AK35" i="23"/>
  <c r="AL35" i="23"/>
  <c r="Z61" i="7" l="1"/>
  <c r="AA61" i="7" s="1"/>
  <c r="Z47" i="7"/>
  <c r="AA47" i="7" s="1"/>
  <c r="Z52" i="7"/>
  <c r="AA52" i="7" s="1"/>
  <c r="Z53" i="7"/>
  <c r="AA53" i="7" s="1"/>
  <c r="Z56" i="7"/>
  <c r="AA56" i="7" s="1"/>
  <c r="Z39" i="7"/>
  <c r="AA39" i="7" s="1"/>
  <c r="Z41" i="7"/>
  <c r="AA41" i="7" s="1"/>
  <c r="Z48" i="7"/>
  <c r="AA48" i="7" s="1"/>
  <c r="Z68" i="7"/>
  <c r="AA68" i="7" s="1"/>
  <c r="Z67" i="7"/>
  <c r="AA67" i="7" s="1"/>
  <c r="Z46" i="7"/>
  <c r="AA46" i="7" s="1"/>
  <c r="Z51" i="7"/>
  <c r="AA51" i="7" s="1"/>
  <c r="Z44" i="7"/>
  <c r="AA44" i="7" s="1"/>
  <c r="Z35" i="7"/>
  <c r="AA35" i="7" s="1"/>
  <c r="Z58" i="7"/>
  <c r="AA58" i="7" s="1"/>
  <c r="Z40" i="7"/>
  <c r="AA40" i="7" s="1"/>
  <c r="Z42" i="7"/>
  <c r="AA42" i="7" s="1"/>
  <c r="Z55" i="7"/>
  <c r="AA55" i="7" s="1"/>
  <c r="Z69" i="7"/>
  <c r="AA69" i="7" s="1"/>
  <c r="Z60" i="7"/>
  <c r="AA60" i="7" s="1"/>
  <c r="Z50" i="7"/>
  <c r="AA50" i="7" s="1"/>
  <c r="Z65" i="7"/>
  <c r="AA65" i="7" s="1"/>
  <c r="Z66" i="7"/>
  <c r="AA66" i="7" s="1"/>
  <c r="Z45" i="7"/>
  <c r="AA45" i="7" s="1"/>
  <c r="Z49" i="7"/>
  <c r="AA49" i="7" s="1"/>
  <c r="Z62" i="7"/>
  <c r="AA62" i="7" s="1"/>
  <c r="Z64" i="7"/>
  <c r="AA64" i="7" s="1"/>
  <c r="Z70" i="7"/>
  <c r="AA70" i="7" s="1"/>
  <c r="Z57" i="7"/>
  <c r="AA57" i="7" s="1"/>
  <c r="Z54" i="7"/>
  <c r="AA54" i="7" s="1"/>
  <c r="Z59" i="7"/>
  <c r="AA59" i="7" s="1"/>
  <c r="Z63" i="7"/>
  <c r="AA63" i="7" s="1"/>
  <c r="Z43" i="7"/>
  <c r="AA43" i="7" s="1"/>
  <c r="H70" i="23" l="1"/>
  <c r="H45" i="23"/>
  <c r="H43" i="23"/>
  <c r="H41" i="23"/>
  <c r="H35" i="23"/>
  <c r="F60" i="7"/>
  <c r="D60" i="7"/>
  <c r="G15" i="7"/>
  <c r="E54" i="7"/>
  <c r="G47" i="7"/>
  <c r="C63" i="7"/>
  <c r="D48" i="7"/>
  <c r="H48" i="7" s="1"/>
  <c r="E41" i="7"/>
  <c r="F42" i="7"/>
  <c r="G43" i="7"/>
  <c r="C27" i="7"/>
  <c r="F53" i="7"/>
  <c r="D53" i="7"/>
  <c r="H53" i="7" s="1"/>
  <c r="C25" i="7"/>
  <c r="F62" i="7"/>
  <c r="E19" i="7"/>
  <c r="C39" i="7"/>
  <c r="D64" i="7"/>
  <c r="H64" i="7" s="1"/>
  <c r="D41" i="7"/>
  <c r="H41" i="7" s="1"/>
  <c r="E50" i="7"/>
  <c r="F51" i="7"/>
  <c r="D46" i="7"/>
  <c r="H46" i="7" s="1"/>
  <c r="F64" i="7"/>
  <c r="E57" i="7"/>
  <c r="D42" i="7"/>
  <c r="H42" i="7" s="1"/>
  <c r="C51" i="7"/>
  <c r="D30" i="7"/>
  <c r="F28" i="7"/>
  <c r="D13" i="7"/>
  <c r="F16" i="7"/>
  <c r="E30" i="7"/>
  <c r="D12" i="7"/>
  <c r="F14" i="7"/>
  <c r="F60" i="23"/>
  <c r="E47" i="23"/>
  <c r="F67" i="23"/>
  <c r="D35" i="23"/>
  <c r="F58" i="23"/>
  <c r="G70" i="23"/>
  <c r="C41" i="23"/>
  <c r="F47" i="23"/>
  <c r="D42" i="23"/>
  <c r="G23" i="23"/>
  <c r="G39" i="23"/>
  <c r="F68" i="23"/>
  <c r="F50" i="23"/>
  <c r="F39" i="23"/>
  <c r="G59" i="23"/>
  <c r="E41" i="23"/>
  <c r="C56" i="23"/>
  <c r="D45" i="23"/>
  <c r="E58" i="23"/>
  <c r="D64" i="23"/>
  <c r="G43" i="23"/>
  <c r="F45" i="23"/>
  <c r="E62" i="23"/>
  <c r="G56" i="23"/>
  <c r="D65" i="23"/>
  <c r="D63" i="23"/>
  <c r="G53" i="23"/>
  <c r="F51" i="23"/>
  <c r="D49" i="23"/>
  <c r="D62" i="23"/>
  <c r="G66" i="23"/>
  <c r="G58" i="23"/>
  <c r="E35" i="23"/>
  <c r="C66" i="23"/>
  <c r="C51" i="23"/>
  <c r="H64" i="23"/>
  <c r="G68" i="23"/>
  <c r="E59" i="23"/>
  <c r="G54" i="23"/>
  <c r="D56" i="23"/>
  <c r="H62" i="23"/>
  <c r="H68" i="23"/>
  <c r="H66" i="23"/>
  <c r="H56" i="23"/>
  <c r="G36" i="7"/>
  <c r="F68" i="7"/>
  <c r="D68" i="7"/>
  <c r="H68" i="7" s="1"/>
  <c r="G23" i="7"/>
  <c r="E70" i="7"/>
  <c r="G63" i="7"/>
  <c r="G10" i="7"/>
  <c r="C40" i="7"/>
  <c r="E65" i="7"/>
  <c r="F66" i="7"/>
  <c r="G67" i="7"/>
  <c r="G22" i="7"/>
  <c r="F61" i="7"/>
  <c r="D61" i="7"/>
  <c r="H61" i="7" s="1"/>
  <c r="G16" i="7"/>
  <c r="E46" i="7"/>
  <c r="G39" i="7"/>
  <c r="F35" i="7"/>
  <c r="C56" i="7"/>
  <c r="D57" i="7"/>
  <c r="H57" i="7" s="1"/>
  <c r="E66" i="7"/>
  <c r="E43" i="7"/>
  <c r="C12" i="7"/>
  <c r="E56" i="7"/>
  <c r="D49" i="7"/>
  <c r="H49" i="7" s="1"/>
  <c r="C42" i="7"/>
  <c r="D32" i="7"/>
  <c r="F30" i="7"/>
  <c r="E28" i="7"/>
  <c r="F19" i="7"/>
  <c r="D10" i="7"/>
  <c r="D31" i="7"/>
  <c r="D9" i="7"/>
  <c r="F9" i="7"/>
  <c r="D58" i="23"/>
  <c r="D50" i="23"/>
  <c r="F56" i="23"/>
  <c r="G52" i="23"/>
  <c r="F69" i="23"/>
  <c r="C57" i="23"/>
  <c r="E66" i="23"/>
  <c r="C68" i="23"/>
  <c r="F41" i="23"/>
  <c r="G46" i="23"/>
  <c r="E69" i="23"/>
  <c r="G9" i="23"/>
  <c r="G55" i="23"/>
  <c r="E51" i="23"/>
  <c r="F66" i="23"/>
  <c r="F40" i="23"/>
  <c r="F52" i="23"/>
  <c r="E68" i="23"/>
  <c r="E65" i="23"/>
  <c r="E61" i="23"/>
  <c r="G69" i="23"/>
  <c r="G57" i="23"/>
  <c r="D68" i="23"/>
  <c r="D41" i="23"/>
  <c r="C43" i="23"/>
  <c r="G67" i="23"/>
  <c r="F53" i="23"/>
  <c r="C55" i="23"/>
  <c r="D34" i="7"/>
  <c r="D27" i="7"/>
  <c r="G17" i="23"/>
  <c r="C52" i="23"/>
  <c r="G47" i="23"/>
  <c r="H54" i="23"/>
  <c r="H60" i="23"/>
  <c r="H58" i="23"/>
  <c r="H48" i="23"/>
  <c r="G44" i="7"/>
  <c r="E44" i="7"/>
  <c r="C44" i="7"/>
  <c r="D19" i="7"/>
  <c r="D62" i="7"/>
  <c r="H62" i="7" s="1"/>
  <c r="F47" i="7"/>
  <c r="C14" i="7"/>
  <c r="C64" i="7"/>
  <c r="D65" i="7"/>
  <c r="H65" i="7" s="1"/>
  <c r="E58" i="7"/>
  <c r="F59" i="7"/>
  <c r="G37" i="7"/>
  <c r="F69" i="7"/>
  <c r="D69" i="7"/>
  <c r="H69" i="7" s="1"/>
  <c r="E18" i="7"/>
  <c r="E62" i="7"/>
  <c r="G55" i="7"/>
  <c r="G18" i="7"/>
  <c r="C30" i="7"/>
  <c r="C57" i="7"/>
  <c r="D58" i="7"/>
  <c r="H58" i="7" s="1"/>
  <c r="D43" i="7"/>
  <c r="H43" i="7" s="1"/>
  <c r="E55" i="7"/>
  <c r="D56" i="7"/>
  <c r="H56" i="7" s="1"/>
  <c r="C41" i="7"/>
  <c r="C66" i="7"/>
  <c r="C18" i="7"/>
  <c r="E27" i="7"/>
  <c r="D26" i="7"/>
  <c r="F15" i="7"/>
  <c r="E25" i="7"/>
  <c r="C10" i="7"/>
  <c r="E15" i="7"/>
  <c r="F31" i="7"/>
  <c r="E43" i="23"/>
  <c r="G12" i="23"/>
  <c r="G19" i="23"/>
  <c r="G40" i="23"/>
  <c r="G45" i="23"/>
  <c r="D44" i="23"/>
  <c r="C39" i="23"/>
  <c r="E57" i="23"/>
  <c r="D54" i="23"/>
  <c r="D57" i="23"/>
  <c r="F48" i="23"/>
  <c r="E45" i="23"/>
  <c r="E39" i="23"/>
  <c r="C42" i="23"/>
  <c r="C60" i="23"/>
  <c r="D52" i="23"/>
  <c r="D55" i="23"/>
  <c r="G13" i="23"/>
  <c r="F46" i="23"/>
  <c r="E48" i="23"/>
  <c r="F64" i="23"/>
  <c r="C44" i="23"/>
  <c r="G13" i="7"/>
  <c r="C69" i="23"/>
  <c r="G51" i="23"/>
  <c r="G61" i="23"/>
  <c r="G60" i="23"/>
  <c r="E42" i="23"/>
  <c r="F70" i="23"/>
  <c r="E70" i="23"/>
  <c r="C65" i="23"/>
  <c r="F42" i="23"/>
  <c r="D67" i="23"/>
  <c r="H57" i="23"/>
  <c r="F18" i="7"/>
  <c r="G42" i="23"/>
  <c r="F59" i="23"/>
  <c r="F35" i="23"/>
  <c r="H46" i="23"/>
  <c r="H52" i="23"/>
  <c r="H50" i="23"/>
  <c r="H40" i="23"/>
  <c r="G52" i="7"/>
  <c r="E52" i="7"/>
  <c r="C52" i="7"/>
  <c r="C19" i="7"/>
  <c r="C46" i="7"/>
  <c r="F63" i="7"/>
  <c r="G48" i="7"/>
  <c r="G11" i="7"/>
  <c r="C49" i="7"/>
  <c r="D50" i="7"/>
  <c r="H50" i="7" s="1"/>
  <c r="E51" i="7"/>
  <c r="G45" i="7"/>
  <c r="E45" i="7"/>
  <c r="C45" i="7"/>
  <c r="D20" i="7"/>
  <c r="D54" i="7"/>
  <c r="F39" i="7"/>
  <c r="G40" i="7"/>
  <c r="C15" i="7"/>
  <c r="C29" i="7"/>
  <c r="C58" i="7"/>
  <c r="D67" i="7"/>
  <c r="H67" i="7" s="1"/>
  <c r="D63" i="7"/>
  <c r="H63" i="7" s="1"/>
  <c r="C48" i="7"/>
  <c r="C65" i="7"/>
  <c r="C17" i="7"/>
  <c r="F10" i="7"/>
  <c r="E9" i="7"/>
  <c r="E31" i="7"/>
  <c r="E34" i="7"/>
  <c r="F27" i="7"/>
  <c r="F29" i="7"/>
  <c r="E13" i="7"/>
  <c r="D47" i="23"/>
  <c r="D61" i="23"/>
  <c r="G14" i="23"/>
  <c r="E53" i="23"/>
  <c r="G20" i="23"/>
  <c r="H61" i="23"/>
  <c r="F54" i="7"/>
  <c r="G65" i="7"/>
  <c r="C43" i="7"/>
  <c r="C69" i="7"/>
  <c r="E63" i="7"/>
  <c r="G51" i="7"/>
  <c r="G49" i="7"/>
  <c r="D25" i="7"/>
  <c r="E17" i="7"/>
  <c r="D69" i="23"/>
  <c r="D46" i="23"/>
  <c r="H39" i="23"/>
  <c r="H44" i="23"/>
  <c r="H42" i="23"/>
  <c r="H55" i="23"/>
  <c r="G60" i="7"/>
  <c r="E60" i="7"/>
  <c r="C60" i="7"/>
  <c r="G46" i="7"/>
  <c r="C62" i="7"/>
  <c r="E47" i="7"/>
  <c r="F40" i="7"/>
  <c r="D15" i="7"/>
  <c r="D35" i="7"/>
  <c r="H35" i="7" s="1"/>
  <c r="D66" i="7"/>
  <c r="H66" i="7" s="1"/>
  <c r="E67" i="7"/>
  <c r="G53" i="7"/>
  <c r="E53" i="7"/>
  <c r="C53" i="7"/>
  <c r="C20" i="7"/>
  <c r="D70" i="7"/>
  <c r="H70" i="7" s="1"/>
  <c r="F55" i="7"/>
  <c r="G64" i="7"/>
  <c r="G57" i="7"/>
  <c r="D16" i="7"/>
  <c r="C28" i="7"/>
  <c r="C67" i="7"/>
  <c r="C55" i="7"/>
  <c r="E35" i="7"/>
  <c r="G20" i="7"/>
  <c r="G59" i="7"/>
  <c r="F25" i="7"/>
  <c r="E10" i="7"/>
  <c r="E26" i="7"/>
  <c r="E32" i="7"/>
  <c r="F20" i="7"/>
  <c r="F13" i="7"/>
  <c r="F32" i="7"/>
  <c r="G44" i="23"/>
  <c r="C63" i="23"/>
  <c r="C53" i="23"/>
  <c r="F62" i="23"/>
  <c r="D43" i="23"/>
  <c r="E52" i="23"/>
  <c r="D70" i="23"/>
  <c r="C62" i="23"/>
  <c r="C58" i="23"/>
  <c r="G63" i="23"/>
  <c r="H59" i="23"/>
  <c r="G17" i="7"/>
  <c r="E48" i="7"/>
  <c r="C35" i="7"/>
  <c r="E69" i="7"/>
  <c r="C70" i="7"/>
  <c r="F65" i="7"/>
  <c r="D18" i="7"/>
  <c r="F50" i="7"/>
  <c r="E12" i="7"/>
  <c r="C45" i="23"/>
  <c r="D51" i="23"/>
  <c r="D48" i="23"/>
  <c r="H69" i="23"/>
  <c r="H67" i="23"/>
  <c r="H65" i="23"/>
  <c r="H47" i="23"/>
  <c r="G68" i="7"/>
  <c r="E68" i="7"/>
  <c r="C68" i="7"/>
  <c r="G70" i="7"/>
  <c r="C32" i="7"/>
  <c r="D39" i="7"/>
  <c r="H39" i="7" s="1"/>
  <c r="F56" i="7"/>
  <c r="G41" i="7"/>
  <c r="G12" i="7"/>
  <c r="C50" i="7"/>
  <c r="D51" i="7"/>
  <c r="H51" i="7" s="1"/>
  <c r="G61" i="7"/>
  <c r="E61" i="7"/>
  <c r="C61" i="7"/>
  <c r="G54" i="7"/>
  <c r="C54" i="7"/>
  <c r="E39" i="7"/>
  <c r="F48" i="7"/>
  <c r="F41" i="7"/>
  <c r="G42" i="7"/>
  <c r="D17" i="7"/>
  <c r="G14" i="7"/>
  <c r="C31" i="7"/>
  <c r="G19" i="7"/>
  <c r="G50" i="7"/>
  <c r="F67" i="7"/>
  <c r="C9" i="7"/>
  <c r="F11" i="7"/>
  <c r="F17" i="7"/>
  <c r="D29" i="7"/>
  <c r="D14" i="7"/>
  <c r="E11" i="7"/>
  <c r="D28" i="7"/>
  <c r="G16" i="23"/>
  <c r="F63" i="23"/>
  <c r="D60" i="23"/>
  <c r="G21" i="23"/>
  <c r="E49" i="23"/>
  <c r="E67" i="23"/>
  <c r="E55" i="23"/>
  <c r="G22" i="23"/>
  <c r="C50" i="23"/>
  <c r="F54" i="23"/>
  <c r="G50" i="23"/>
  <c r="G62" i="23"/>
  <c r="D44" i="7"/>
  <c r="D55" i="7"/>
  <c r="H55" i="7" s="1"/>
  <c r="C16" i="7"/>
  <c r="G69" i="7"/>
  <c r="G62" i="7"/>
  <c r="E40" i="7"/>
  <c r="G66" i="7"/>
  <c r="E20" i="7"/>
  <c r="E59" i="7"/>
  <c r="F12" i="7"/>
  <c r="C64" i="23"/>
  <c r="C54" i="23"/>
  <c r="C49" i="23"/>
  <c r="G10" i="23"/>
  <c r="H53" i="23"/>
  <c r="H51" i="23"/>
  <c r="H49" i="23"/>
  <c r="H63" i="23"/>
  <c r="F52" i="7"/>
  <c r="D52" i="7"/>
  <c r="H52" i="7" s="1"/>
  <c r="C26" i="7"/>
  <c r="F70" i="7"/>
  <c r="C13" i="7"/>
  <c r="C47" i="7"/>
  <c r="E64" i="7"/>
  <c r="F57" i="7"/>
  <c r="G58" i="7"/>
  <c r="G21" i="7"/>
  <c r="C59" i="7"/>
  <c r="F45" i="7"/>
  <c r="D45" i="7"/>
  <c r="H45" i="7" s="1"/>
  <c r="C34" i="7"/>
  <c r="F46" i="7"/>
  <c r="G9" i="7"/>
  <c r="D47" i="7"/>
  <c r="H47" i="7" s="1"/>
  <c r="D40" i="7"/>
  <c r="E49" i="7"/>
  <c r="F58" i="7"/>
  <c r="F43" i="7"/>
  <c r="G38" i="7"/>
  <c r="G56" i="7"/>
  <c r="F49" i="7"/>
  <c r="E42" i="7"/>
  <c r="D59" i="7"/>
  <c r="H59" i="7" s="1"/>
  <c r="D11" i="7"/>
  <c r="F26" i="7"/>
  <c r="E29" i="7"/>
  <c r="E16" i="7"/>
  <c r="E14" i="7"/>
  <c r="F34" i="7"/>
  <c r="G64" i="23"/>
  <c r="F65" i="23"/>
  <c r="C61" i="23"/>
  <c r="E63" i="23"/>
  <c r="C46" i="23"/>
  <c r="F49" i="23"/>
  <c r="C59" i="23"/>
  <c r="C67" i="23"/>
  <c r="G15" i="23"/>
  <c r="E60" i="23"/>
  <c r="E50" i="23"/>
  <c r="D66" i="23"/>
  <c r="G41" i="23"/>
  <c r="C47" i="23"/>
  <c r="F57" i="23"/>
  <c r="G49" i="23"/>
  <c r="E54" i="23"/>
  <c r="C70" i="23"/>
  <c r="D40" i="23"/>
  <c r="E46" i="23"/>
  <c r="C48" i="23"/>
  <c r="G48" i="23"/>
  <c r="G65" i="23"/>
  <c r="F44" i="23"/>
  <c r="D59" i="23"/>
  <c r="F43" i="23"/>
  <c r="F61" i="23"/>
  <c r="D53" i="23"/>
  <c r="E64" i="23"/>
  <c r="D39" i="23"/>
  <c r="C40" i="23"/>
  <c r="E40" i="23"/>
  <c r="F55" i="23"/>
  <c r="E44" i="23"/>
  <c r="G18" i="23"/>
  <c r="F44" i="7"/>
  <c r="C11" i="7"/>
  <c r="G11" i="23"/>
  <c r="C35" i="23"/>
  <c r="E56" i="23"/>
  <c r="H44" i="7" l="1"/>
  <c r="H60" i="7"/>
  <c r="H40" i="7"/>
  <c r="H54" i="7"/>
  <c r="D8" i="2" l="1"/>
  <c r="I60" i="18" l="1"/>
  <c r="I64" i="17"/>
  <c r="I44" i="21"/>
  <c r="I43" i="18"/>
  <c r="G70" i="19"/>
  <c r="G18" i="19"/>
  <c r="I29" i="18"/>
  <c r="I70" i="17"/>
  <c r="I67" i="14"/>
  <c r="I52" i="14"/>
  <c r="I54" i="14"/>
  <c r="I58" i="18"/>
  <c r="G50" i="19"/>
  <c r="I67" i="21"/>
  <c r="G41" i="19"/>
  <c r="I42" i="18"/>
  <c r="I43" i="17"/>
  <c r="I56" i="18"/>
  <c r="I64" i="18"/>
  <c r="I57" i="17"/>
  <c r="G47" i="19"/>
  <c r="I19" i="14"/>
  <c r="I57" i="21"/>
  <c r="G40" i="24"/>
  <c r="I30" i="21"/>
  <c r="I63" i="17"/>
  <c r="I51" i="17"/>
  <c r="I27" i="18"/>
  <c r="G39" i="19"/>
  <c r="I31" i="21"/>
  <c r="I53" i="17"/>
  <c r="I9" i="18"/>
  <c r="I41" i="17"/>
  <c r="G35" i="24"/>
  <c r="I30" i="17"/>
  <c r="I15" i="14"/>
  <c r="I50" i="21"/>
  <c r="I49" i="18"/>
  <c r="I69" i="14"/>
  <c r="G19" i="19"/>
  <c r="I58" i="21"/>
  <c r="I50" i="14"/>
  <c r="G20" i="19"/>
  <c r="I44" i="18"/>
  <c r="I55" i="14"/>
  <c r="I67" i="17"/>
  <c r="I26" i="18"/>
  <c r="I47" i="14"/>
  <c r="I12" i="17"/>
  <c r="I31" i="14"/>
  <c r="G62" i="24"/>
  <c r="I34" i="18"/>
  <c r="I67" i="18"/>
  <c r="I70" i="21"/>
  <c r="I56" i="14"/>
  <c r="G41" i="24"/>
  <c r="I46" i="18"/>
  <c r="I51" i="14"/>
  <c r="I66" i="14"/>
  <c r="I63" i="21"/>
  <c r="I42" i="17"/>
  <c r="G52" i="19"/>
  <c r="G61" i="19"/>
  <c r="I50" i="17"/>
  <c r="I60" i="17"/>
  <c r="I66" i="18"/>
  <c r="G67" i="24"/>
  <c r="I16" i="14"/>
  <c r="I63" i="18"/>
  <c r="I46" i="21"/>
  <c r="I42" i="21"/>
  <c r="I58" i="17"/>
  <c r="I68" i="14"/>
  <c r="I33" i="18"/>
  <c r="I14" i="21"/>
  <c r="I13" i="21"/>
  <c r="I19" i="17"/>
  <c r="I29" i="17"/>
  <c r="I64" i="14"/>
  <c r="I18" i="21"/>
  <c r="G21" i="19"/>
  <c r="I53" i="14"/>
  <c r="I14" i="17"/>
  <c r="I15" i="21"/>
  <c r="I10" i="21"/>
  <c r="I35" i="17"/>
  <c r="I68" i="18"/>
  <c r="I34" i="21"/>
  <c r="I31" i="17"/>
  <c r="I62" i="14"/>
  <c r="G53" i="19"/>
  <c r="I44" i="17"/>
  <c r="G54" i="24"/>
  <c r="B24" i="21"/>
  <c r="I24" i="21" s="1"/>
  <c r="I10" i="14"/>
  <c r="I41" i="14"/>
  <c r="I55" i="18"/>
  <c r="I31" i="18"/>
  <c r="I17" i="18"/>
  <c r="G10" i="19"/>
  <c r="G43" i="19"/>
  <c r="I9" i="14"/>
  <c r="I18" i="17"/>
  <c r="I52" i="17"/>
  <c r="G46" i="24"/>
  <c r="I20" i="14"/>
  <c r="B24" i="18"/>
  <c r="I24" i="18" s="1"/>
  <c r="I27" i="14"/>
  <c r="I26" i="17"/>
  <c r="G50" i="24"/>
  <c r="I30" i="18"/>
  <c r="G37" i="19"/>
  <c r="G17" i="19"/>
  <c r="I49" i="21"/>
  <c r="I17" i="21"/>
  <c r="I48" i="18"/>
  <c r="G44" i="19"/>
  <c r="G66" i="24"/>
  <c r="I33" i="21"/>
  <c r="G15" i="19"/>
  <c r="I28" i="21"/>
  <c r="I47" i="17"/>
  <c r="I70" i="18"/>
  <c r="G49" i="19"/>
  <c r="G63" i="19"/>
  <c r="I32" i="18"/>
  <c r="I41" i="21"/>
  <c r="I45" i="17"/>
  <c r="I32" i="17"/>
  <c r="G59" i="24"/>
  <c r="I68" i="17"/>
  <c r="G67" i="19"/>
  <c r="I14" i="18"/>
  <c r="I14" i="14"/>
  <c r="I45" i="14"/>
  <c r="I24" i="17"/>
  <c r="I16" i="21"/>
  <c r="I65" i="14"/>
  <c r="G68" i="19"/>
  <c r="I9" i="17"/>
  <c r="I28" i="14"/>
  <c r="I58" i="14"/>
  <c r="I59" i="21"/>
  <c r="I17" i="17"/>
  <c r="I16" i="17"/>
  <c r="G46" i="19"/>
  <c r="I59" i="18"/>
  <c r="I13" i="17"/>
  <c r="I62" i="21"/>
  <c r="I29" i="21"/>
  <c r="I39" i="21"/>
  <c r="I29" i="14"/>
  <c r="I65" i="17"/>
  <c r="G43" i="24"/>
  <c r="I15" i="17"/>
  <c r="G49" i="24"/>
  <c r="G56" i="24"/>
  <c r="I62" i="17"/>
  <c r="G36" i="19"/>
  <c r="I15" i="18"/>
  <c r="I30" i="14"/>
  <c r="I62" i="18"/>
  <c r="I18" i="14"/>
  <c r="I35" i="21"/>
  <c r="I12" i="18"/>
  <c r="I53" i="18"/>
  <c r="G42" i="19"/>
  <c r="I33" i="17"/>
  <c r="I69" i="21"/>
  <c r="I65" i="18"/>
  <c r="I13" i="14"/>
  <c r="I44" i="14"/>
  <c r="I25" i="14"/>
  <c r="G52" i="24"/>
  <c r="I27" i="17"/>
  <c r="G42" i="24"/>
  <c r="I11" i="18"/>
  <c r="I64" i="21"/>
  <c r="G13" i="19"/>
  <c r="I40" i="14"/>
  <c r="G40" i="19"/>
  <c r="G16" i="19"/>
  <c r="I66" i="17"/>
  <c r="I39" i="18"/>
  <c r="G69" i="24"/>
  <c r="I13" i="18"/>
  <c r="G51" i="19"/>
  <c r="I19" i="18"/>
  <c r="I43" i="21"/>
  <c r="G55" i="24"/>
  <c r="G22" i="19"/>
  <c r="I45" i="18"/>
  <c r="I48" i="21"/>
  <c r="I41" i="18"/>
  <c r="G48" i="19"/>
  <c r="I25" i="17"/>
  <c r="I60" i="14"/>
  <c r="I32" i="21"/>
  <c r="G60" i="19"/>
  <c r="G14" i="19"/>
  <c r="G56" i="19"/>
  <c r="G61" i="24"/>
  <c r="G39" i="24"/>
  <c r="G44" i="24"/>
  <c r="I55" i="21"/>
  <c r="I51" i="21"/>
  <c r="I54" i="21"/>
  <c r="G64" i="19"/>
  <c r="I28" i="18"/>
  <c r="G65" i="19"/>
  <c r="G68" i="24"/>
  <c r="I45" i="21"/>
  <c r="I56" i="17"/>
  <c r="I55" i="17"/>
  <c r="I35" i="18"/>
  <c r="I51" i="18"/>
  <c r="G58" i="24"/>
  <c r="I57" i="18"/>
  <c r="I20" i="21"/>
  <c r="G69" i="19"/>
  <c r="G60" i="24"/>
  <c r="I34" i="17"/>
  <c r="I39" i="17"/>
  <c r="I40" i="21"/>
  <c r="I10" i="18"/>
  <c r="I49" i="14"/>
  <c r="I16" i="18"/>
  <c r="I33" i="14"/>
  <c r="G59" i="19"/>
  <c r="G70" i="24"/>
  <c r="I47" i="18"/>
  <c r="G47" i="24"/>
  <c r="I52" i="18"/>
  <c r="I12" i="14"/>
  <c r="I43" i="14"/>
  <c r="I24" i="14"/>
  <c r="G55" i="19"/>
  <c r="G64" i="24"/>
  <c r="G54" i="19"/>
  <c r="I34" i="14"/>
  <c r="I26" i="14"/>
  <c r="G45" i="19"/>
  <c r="B25" i="18"/>
  <c r="I25" i="18" s="1"/>
  <c r="I48" i="17"/>
  <c r="I69" i="18"/>
  <c r="I54" i="18"/>
  <c r="I10" i="17"/>
  <c r="G51" i="24"/>
  <c r="G11" i="19"/>
  <c r="I9" i="21"/>
  <c r="I39" i="14"/>
  <c r="I50" i="18"/>
  <c r="I19" i="21"/>
  <c r="I35" i="14"/>
  <c r="G12" i="19"/>
  <c r="I61" i="14"/>
  <c r="I20" i="17"/>
  <c r="I66" i="21"/>
  <c r="I57" i="14"/>
  <c r="G63" i="24"/>
  <c r="I52" i="21"/>
  <c r="I46" i="14"/>
  <c r="I17" i="14"/>
  <c r="I40" i="17"/>
  <c r="G38" i="19"/>
  <c r="G66" i="19"/>
  <c r="I40" i="18"/>
  <c r="I20" i="18"/>
  <c r="G57" i="24"/>
  <c r="I27" i="21"/>
  <c r="I11" i="17"/>
  <c r="G65" i="24"/>
  <c r="I54" i="17"/>
  <c r="I60" i="21"/>
  <c r="I61" i="18"/>
  <c r="I46" i="17"/>
  <c r="I32" i="14"/>
  <c r="I11" i="21"/>
  <c r="G53" i="24"/>
  <c r="I48" i="14"/>
  <c r="I65" i="21"/>
  <c r="G45" i="24"/>
  <c r="G48" i="24"/>
  <c r="I61" i="17"/>
  <c r="G9" i="19"/>
  <c r="I56" i="21"/>
  <c r="I59" i="14"/>
  <c r="G58" i="19"/>
  <c r="I61" i="21"/>
  <c r="I12" i="21"/>
  <c r="G57" i="19"/>
  <c r="I68" i="21"/>
  <c r="I70" i="14"/>
  <c r="I69" i="17"/>
  <c r="G23" i="19"/>
  <c r="I28" i="17"/>
  <c r="I49" i="17"/>
  <c r="G62" i="19"/>
  <c r="I18" i="18"/>
  <c r="I53" i="21"/>
  <c r="I47" i="21"/>
  <c r="I59" i="17"/>
  <c r="I63" i="14"/>
  <c r="I26" i="21"/>
  <c r="B25" i="21"/>
  <c r="I25" i="21" s="1"/>
  <c r="I11" i="14"/>
  <c r="I42" i="14"/>
  <c r="Z48" i="23" l="1"/>
  <c r="Z45" i="23"/>
  <c r="AA45" i="23" s="1"/>
  <c r="Z53" i="23"/>
  <c r="AA53" i="23" s="1"/>
  <c r="Z65" i="23"/>
  <c r="Z57" i="23"/>
  <c r="AA57" i="23" s="1"/>
  <c r="Z63" i="23"/>
  <c r="AA63" i="23" s="1"/>
  <c r="Z51" i="23"/>
  <c r="AA51" i="23" s="1"/>
  <c r="Z64" i="23"/>
  <c r="AA64" i="23" s="1"/>
  <c r="Z47" i="23"/>
  <c r="Z70" i="23"/>
  <c r="AA70" i="23" s="1"/>
  <c r="Z60" i="23"/>
  <c r="AA60" i="23" s="1"/>
  <c r="Z58" i="23"/>
  <c r="AA58" i="23" s="1"/>
  <c r="Z68" i="23"/>
  <c r="AA68" i="23" s="1"/>
  <c r="Z44" i="23"/>
  <c r="Z39" i="23"/>
  <c r="AA39" i="23" s="1"/>
  <c r="Z61" i="23"/>
  <c r="AA61" i="23" s="1"/>
  <c r="Z55" i="23"/>
  <c r="AA55" i="23" s="1"/>
  <c r="Z69" i="23"/>
  <c r="AA69" i="23" s="1"/>
  <c r="Z42" i="23"/>
  <c r="AA42" i="23" s="1"/>
  <c r="Z52" i="23"/>
  <c r="AA52" i="23" s="1"/>
  <c r="Z56" i="23"/>
  <c r="AA56" i="23" s="1"/>
  <c r="Z49" i="23"/>
  <c r="Z43" i="23"/>
  <c r="AA43" i="23" s="1"/>
  <c r="Z59" i="23"/>
  <c r="AA59" i="23" s="1"/>
  <c r="Z66" i="23"/>
  <c r="AA66" i="23" s="1"/>
  <c r="Z50" i="23"/>
  <c r="AA50" i="23" s="1"/>
  <c r="Z46" i="23"/>
  <c r="AA46" i="23" s="1"/>
  <c r="Z54" i="23"/>
  <c r="AA54" i="23" s="1"/>
  <c r="Z67" i="23"/>
  <c r="AA67" i="23" s="1"/>
  <c r="Z41" i="23"/>
  <c r="Z62" i="23"/>
  <c r="Z35" i="23"/>
  <c r="Z40" i="23"/>
  <c r="AA40" i="23" s="1"/>
  <c r="K42" i="23"/>
  <c r="K42" i="7"/>
  <c r="K11" i="7"/>
  <c r="K11" i="23"/>
  <c r="L11" i="23" s="1"/>
  <c r="T26" i="23"/>
  <c r="U26" i="23" s="1"/>
  <c r="T26" i="7"/>
  <c r="K63" i="23"/>
  <c r="K63" i="7"/>
  <c r="N59" i="23"/>
  <c r="N59" i="7"/>
  <c r="T47" i="23"/>
  <c r="T47" i="7"/>
  <c r="T53" i="23"/>
  <c r="T53" i="7"/>
  <c r="Q18" i="23"/>
  <c r="R18" i="23" s="1"/>
  <c r="Q18" i="7"/>
  <c r="W62" i="7"/>
  <c r="W62" i="23"/>
  <c r="N49" i="23"/>
  <c r="N49" i="7"/>
  <c r="N28" i="7"/>
  <c r="N28" i="23"/>
  <c r="O28" i="23" s="1"/>
  <c r="W23" i="7"/>
  <c r="W23" i="23"/>
  <c r="N69" i="7"/>
  <c r="N69" i="23"/>
  <c r="K70" i="23"/>
  <c r="K70" i="7"/>
  <c r="T68" i="7"/>
  <c r="T68" i="23"/>
  <c r="W57" i="23"/>
  <c r="W57" i="7"/>
  <c r="T12" i="23"/>
  <c r="U12" i="23" s="1"/>
  <c r="T12" i="7"/>
  <c r="T61" i="23"/>
  <c r="T61" i="7"/>
  <c r="W58" i="23"/>
  <c r="W58" i="7"/>
  <c r="K59" i="7"/>
  <c r="K59" i="23"/>
  <c r="T56" i="7"/>
  <c r="T56" i="23"/>
  <c r="W9" i="23"/>
  <c r="W9" i="7"/>
  <c r="N61" i="7"/>
  <c r="N61" i="23"/>
  <c r="T65" i="7"/>
  <c r="T65" i="23"/>
  <c r="K48" i="23"/>
  <c r="K48" i="7"/>
  <c r="T11" i="23"/>
  <c r="U11" i="23" s="1"/>
  <c r="T11" i="7"/>
  <c r="K32" i="7"/>
  <c r="K32" i="23"/>
  <c r="L32" i="23" s="1"/>
  <c r="N46" i="23"/>
  <c r="N46" i="7"/>
  <c r="Q61" i="23"/>
  <c r="Q61" i="7"/>
  <c r="T60" i="23"/>
  <c r="T60" i="7"/>
  <c r="N54" i="23"/>
  <c r="N54" i="7"/>
  <c r="N11" i="23"/>
  <c r="O11" i="23" s="1"/>
  <c r="N11" i="7"/>
  <c r="T27" i="23"/>
  <c r="U27" i="23" s="1"/>
  <c r="T27" i="7"/>
  <c r="Q20" i="23"/>
  <c r="R20" i="23" s="1"/>
  <c r="Q20" i="7"/>
  <c r="Q40" i="23"/>
  <c r="Q40" i="7"/>
  <c r="W66" i="23"/>
  <c r="W66" i="7"/>
  <c r="W38" i="23"/>
  <c r="X38" i="23" s="1"/>
  <c r="W38" i="7"/>
  <c r="N40" i="7"/>
  <c r="N40" i="23"/>
  <c r="K17" i="7"/>
  <c r="K17" i="23"/>
  <c r="L17" i="23" s="1"/>
  <c r="K46" i="23"/>
  <c r="K46" i="7"/>
  <c r="T52" i="23"/>
  <c r="T52" i="7"/>
  <c r="K57" i="23"/>
  <c r="K57" i="7"/>
  <c r="T66" i="7"/>
  <c r="T66" i="23"/>
  <c r="N20" i="23"/>
  <c r="O20" i="23" s="1"/>
  <c r="N20" i="7"/>
  <c r="K61" i="7"/>
  <c r="K61" i="23"/>
  <c r="W12" i="23"/>
  <c r="W12" i="7"/>
  <c r="K35" i="7"/>
  <c r="K35" i="23"/>
  <c r="T19" i="7"/>
  <c r="T19" i="23"/>
  <c r="U19" i="23" s="1"/>
  <c r="Q50" i="23"/>
  <c r="Q50" i="7"/>
  <c r="K39" i="23"/>
  <c r="K39" i="7"/>
  <c r="T9" i="7"/>
  <c r="T9" i="23"/>
  <c r="U9" i="23" s="1"/>
  <c r="W11" i="23"/>
  <c r="W11" i="7"/>
  <c r="N10" i="23"/>
  <c r="O10" i="23" s="1"/>
  <c r="N10" i="7"/>
  <c r="Q54" i="23"/>
  <c r="Q54" i="7"/>
  <c r="Q69" i="23"/>
  <c r="Q69" i="7"/>
  <c r="N48" i="23"/>
  <c r="N48" i="7"/>
  <c r="W45" i="23"/>
  <c r="W45" i="7"/>
  <c r="K26" i="23"/>
  <c r="L26" i="23" s="1"/>
  <c r="K26" i="7"/>
  <c r="K34" i="7"/>
  <c r="K34" i="23"/>
  <c r="L34" i="23" s="1"/>
  <c r="W54" i="23"/>
  <c r="W54" i="7"/>
  <c r="W55" i="7"/>
  <c r="W55" i="23"/>
  <c r="K24" i="23"/>
  <c r="L24" i="23" s="1"/>
  <c r="K24" i="7"/>
  <c r="K43" i="23"/>
  <c r="K43" i="7"/>
  <c r="K12" i="23"/>
  <c r="L12" i="23" s="1"/>
  <c r="K12" i="7"/>
  <c r="Q52" i="7"/>
  <c r="Q52" i="23"/>
  <c r="Q47" i="23"/>
  <c r="Q47" i="7"/>
  <c r="W59" i="23"/>
  <c r="W59" i="7"/>
  <c r="K33" i="23"/>
  <c r="L33" i="23" s="1"/>
  <c r="K33" i="7"/>
  <c r="Q16" i="7"/>
  <c r="Q16" i="23"/>
  <c r="R16" i="23" s="1"/>
  <c r="K49" i="23"/>
  <c r="K49" i="7"/>
  <c r="Q10" i="23"/>
  <c r="R10" i="23" s="1"/>
  <c r="Q10" i="7"/>
  <c r="T40" i="7"/>
  <c r="T40" i="23"/>
  <c r="N39" i="7"/>
  <c r="N39" i="23"/>
  <c r="N34" i="23"/>
  <c r="O34" i="23" s="1"/>
  <c r="N34" i="7"/>
  <c r="W69" i="23"/>
  <c r="W69" i="7"/>
  <c r="T20" i="7"/>
  <c r="T20" i="23"/>
  <c r="U20" i="23" s="1"/>
  <c r="Q57" i="7"/>
  <c r="Q57" i="23"/>
  <c r="Q51" i="23"/>
  <c r="Q51" i="7"/>
  <c r="Q35" i="7"/>
  <c r="Q35" i="23"/>
  <c r="N55" i="23"/>
  <c r="N55" i="7"/>
  <c r="N56" i="23"/>
  <c r="N56" i="7"/>
  <c r="T45" i="23"/>
  <c r="T45" i="7"/>
  <c r="W65" i="7"/>
  <c r="W65" i="23"/>
  <c r="Q28" i="7"/>
  <c r="Q28" i="23"/>
  <c r="R28" i="23" s="1"/>
  <c r="W64" i="7"/>
  <c r="W64" i="23"/>
  <c r="T54" i="23"/>
  <c r="T54" i="7"/>
  <c r="T51" i="23"/>
  <c r="T51" i="7"/>
  <c r="T55" i="7"/>
  <c r="T55" i="23"/>
  <c r="AA44" i="23"/>
  <c r="W56" i="23"/>
  <c r="W56" i="7"/>
  <c r="W14" i="23"/>
  <c r="W14" i="7"/>
  <c r="W60" i="23"/>
  <c r="W60" i="7"/>
  <c r="T32" i="7"/>
  <c r="T32" i="23"/>
  <c r="U32" i="23" s="1"/>
  <c r="K60" i="7"/>
  <c r="K60" i="23"/>
  <c r="N25" i="23"/>
  <c r="O25" i="23" s="1"/>
  <c r="N25" i="7"/>
  <c r="W48" i="7"/>
  <c r="W48" i="23"/>
  <c r="Q41" i="23"/>
  <c r="Q41" i="7"/>
  <c r="T48" i="23"/>
  <c r="T48" i="7"/>
  <c r="Q45" i="23"/>
  <c r="Q45" i="7"/>
  <c r="W22" i="7"/>
  <c r="W22" i="23"/>
  <c r="T43" i="7"/>
  <c r="T43" i="23"/>
  <c r="Q19" i="23"/>
  <c r="R19" i="23" s="1"/>
  <c r="Q19" i="7"/>
  <c r="W51" i="23"/>
  <c r="W51" i="7"/>
  <c r="Q13" i="7"/>
  <c r="Q13" i="23"/>
  <c r="R13" i="23" s="1"/>
  <c r="Q39" i="7"/>
  <c r="Q39" i="23"/>
  <c r="N66" i="7"/>
  <c r="N66" i="23"/>
  <c r="W16" i="23"/>
  <c r="W16" i="7"/>
  <c r="W40" i="7"/>
  <c r="W40" i="23"/>
  <c r="K40" i="23"/>
  <c r="K40" i="7"/>
  <c r="W13" i="23"/>
  <c r="W13" i="7"/>
  <c r="T64" i="7"/>
  <c r="T64" i="23"/>
  <c r="Q11" i="7"/>
  <c r="Q11" i="23"/>
  <c r="R11" i="23" s="1"/>
  <c r="N27" i="7"/>
  <c r="N27" i="23"/>
  <c r="O27" i="23" s="1"/>
  <c r="K25" i="7"/>
  <c r="K25" i="23"/>
  <c r="L25" i="23" s="1"/>
  <c r="K44" i="23"/>
  <c r="K44" i="7"/>
  <c r="K13" i="7"/>
  <c r="K13" i="23"/>
  <c r="L13" i="23" s="1"/>
  <c r="Q65" i="23"/>
  <c r="Q65" i="7"/>
  <c r="T69" i="23"/>
  <c r="T69" i="7"/>
  <c r="N33" i="23"/>
  <c r="O33" i="23" s="1"/>
  <c r="N33" i="7"/>
  <c r="W42" i="7"/>
  <c r="W42" i="23"/>
  <c r="Q53" i="23"/>
  <c r="Q53" i="7"/>
  <c r="Q12" i="23"/>
  <c r="R12" i="23" s="1"/>
  <c r="Q12" i="7"/>
  <c r="T35" i="7"/>
  <c r="T35" i="23"/>
  <c r="K18" i="23"/>
  <c r="L18" i="23" s="1"/>
  <c r="K18" i="7"/>
  <c r="Q62" i="7"/>
  <c r="Q62" i="23"/>
  <c r="K30" i="23"/>
  <c r="L30" i="23" s="1"/>
  <c r="K30" i="7"/>
  <c r="Q15" i="7"/>
  <c r="Q15" i="23"/>
  <c r="R15" i="23" s="1"/>
  <c r="W36" i="23"/>
  <c r="X36" i="23" s="1"/>
  <c r="W36" i="7"/>
  <c r="N62" i="23"/>
  <c r="N62" i="7"/>
  <c r="AA49" i="23"/>
  <c r="N15" i="7"/>
  <c r="N15" i="23"/>
  <c r="O15" i="23" s="1"/>
  <c r="N65" i="7"/>
  <c r="N65" i="23"/>
  <c r="K29" i="23"/>
  <c r="L29" i="23" s="1"/>
  <c r="K29" i="7"/>
  <c r="T39" i="7"/>
  <c r="T39" i="23"/>
  <c r="T29" i="23"/>
  <c r="U29" i="23" s="1"/>
  <c r="T29" i="7"/>
  <c r="T62" i="7"/>
  <c r="T62" i="23"/>
  <c r="N13" i="7"/>
  <c r="N13" i="23"/>
  <c r="O13" i="23" s="1"/>
  <c r="Q59" i="7"/>
  <c r="Q59" i="23"/>
  <c r="W46" i="23"/>
  <c r="W46" i="7"/>
  <c r="N16" i="7"/>
  <c r="N16" i="23"/>
  <c r="O16" i="23" s="1"/>
  <c r="N17" i="23"/>
  <c r="O17" i="23" s="1"/>
  <c r="N17" i="7"/>
  <c r="T59" i="7"/>
  <c r="T59" i="23"/>
  <c r="K58" i="7"/>
  <c r="K58" i="23"/>
  <c r="K28" i="7"/>
  <c r="K28" i="23"/>
  <c r="L28" i="23" s="1"/>
  <c r="N9" i="23"/>
  <c r="O9" i="23" s="1"/>
  <c r="N9" i="7"/>
  <c r="W68" i="7"/>
  <c r="W68" i="23"/>
  <c r="K65" i="23"/>
  <c r="K65" i="7"/>
  <c r="T16" i="23"/>
  <c r="U16" i="23" s="1"/>
  <c r="T16" i="7"/>
  <c r="N24" i="7"/>
  <c r="N24" i="23"/>
  <c r="O24" i="23" s="1"/>
  <c r="K45" i="7"/>
  <c r="K45" i="23"/>
  <c r="K14" i="23"/>
  <c r="L14" i="23" s="1"/>
  <c r="K14" i="7"/>
  <c r="Q14" i="23"/>
  <c r="R14" i="23" s="1"/>
  <c r="Q14" i="7"/>
  <c r="W67" i="23"/>
  <c r="W67" i="7"/>
  <c r="N68" i="7"/>
  <c r="N68" i="23"/>
  <c r="N32" i="23"/>
  <c r="O32" i="23" s="1"/>
  <c r="N32" i="7"/>
  <c r="N45" i="23"/>
  <c r="N45" i="7"/>
  <c r="T41" i="7"/>
  <c r="T41" i="23"/>
  <c r="Q32" i="23"/>
  <c r="R32" i="23" s="1"/>
  <c r="Q32" i="7"/>
  <c r="W63" i="7"/>
  <c r="W63" i="23"/>
  <c r="W49" i="23"/>
  <c r="W49" i="7"/>
  <c r="Q70" i="7"/>
  <c r="Q70" i="23"/>
  <c r="N47" i="23"/>
  <c r="N47" i="7"/>
  <c r="T28" i="23"/>
  <c r="U28" i="23" s="1"/>
  <c r="T28" i="7"/>
  <c r="W15" i="7"/>
  <c r="W15" i="23"/>
  <c r="T33" i="7"/>
  <c r="T33" i="23"/>
  <c r="U33" i="23" s="1"/>
  <c r="W44" i="7"/>
  <c r="W44" i="23"/>
  <c r="Q48" i="23"/>
  <c r="Q48" i="7"/>
  <c r="T17" i="23"/>
  <c r="U17" i="23" s="1"/>
  <c r="T17" i="7"/>
  <c r="T49" i="23"/>
  <c r="T49" i="7"/>
  <c r="W17" i="7"/>
  <c r="W17" i="23"/>
  <c r="W37" i="7"/>
  <c r="W37" i="23"/>
  <c r="X37" i="23" s="1"/>
  <c r="Q30" i="23"/>
  <c r="R30" i="23" s="1"/>
  <c r="Q30" i="7"/>
  <c r="N26" i="7"/>
  <c r="N26" i="23"/>
  <c r="O26" i="23" s="1"/>
  <c r="K27" i="23"/>
  <c r="L27" i="23" s="1"/>
  <c r="K27" i="7"/>
  <c r="K20" i="23"/>
  <c r="L20" i="23" s="1"/>
  <c r="K20" i="7"/>
  <c r="N52" i="7"/>
  <c r="N52" i="23"/>
  <c r="N18" i="23"/>
  <c r="O18" i="23" s="1"/>
  <c r="N18" i="7"/>
  <c r="K9" i="23"/>
  <c r="L9" i="23" s="1"/>
  <c r="K9" i="7"/>
  <c r="W43" i="7"/>
  <c r="W43" i="23"/>
  <c r="W10" i="7"/>
  <c r="W10" i="23"/>
  <c r="Q17" i="23"/>
  <c r="R17" i="23" s="1"/>
  <c r="Q17" i="7"/>
  <c r="Q31" i="23"/>
  <c r="R31" i="23" s="1"/>
  <c r="Q31" i="7"/>
  <c r="Q55" i="23"/>
  <c r="Q55" i="7"/>
  <c r="K41" i="23"/>
  <c r="K41" i="7"/>
  <c r="K10" i="23"/>
  <c r="L10" i="23" s="1"/>
  <c r="K10" i="7"/>
  <c r="N44" i="7"/>
  <c r="N44" i="23"/>
  <c r="W53" i="7"/>
  <c r="W53" i="23"/>
  <c r="K62" i="7"/>
  <c r="K62" i="23"/>
  <c r="N31" i="23"/>
  <c r="O31" i="23" s="1"/>
  <c r="N31" i="7"/>
  <c r="T34" i="23"/>
  <c r="U34" i="23" s="1"/>
  <c r="T34" i="7"/>
  <c r="Q68" i="23"/>
  <c r="Q68" i="7"/>
  <c r="N35" i="23"/>
  <c r="N35" i="7"/>
  <c r="T10" i="23"/>
  <c r="U10" i="23" s="1"/>
  <c r="T10" i="7"/>
  <c r="T15" i="23"/>
  <c r="U15" i="23" s="1"/>
  <c r="T15" i="7"/>
  <c r="N14" i="23"/>
  <c r="O14" i="23" s="1"/>
  <c r="N14" i="7"/>
  <c r="K53" i="7"/>
  <c r="K53" i="23"/>
  <c r="W21" i="7"/>
  <c r="W21" i="23"/>
  <c r="T18" i="7"/>
  <c r="T18" i="23"/>
  <c r="U18" i="23" s="1"/>
  <c r="K64" i="7"/>
  <c r="K64" i="23"/>
  <c r="N29" i="7"/>
  <c r="N29" i="23"/>
  <c r="O29" i="23" s="1"/>
  <c r="N19" i="23"/>
  <c r="O19" i="23" s="1"/>
  <c r="N19" i="7"/>
  <c r="T13" i="7"/>
  <c r="T13" i="23"/>
  <c r="U13" i="23" s="1"/>
  <c r="T14" i="7"/>
  <c r="T14" i="23"/>
  <c r="U14" i="23" s="1"/>
  <c r="Q33" i="23"/>
  <c r="R33" i="23" s="1"/>
  <c r="Q33" i="7"/>
  <c r="K68" i="23"/>
  <c r="K68" i="7"/>
  <c r="N58" i="23"/>
  <c r="N58" i="7"/>
  <c r="T42" i="7"/>
  <c r="T42" i="23"/>
  <c r="T46" i="7"/>
  <c r="T46" i="23"/>
  <c r="Q63" i="7"/>
  <c r="Q63" i="23"/>
  <c r="K16" i="7"/>
  <c r="K16" i="23"/>
  <c r="L16" i="23" s="1"/>
  <c r="Q66" i="7"/>
  <c r="Q66" i="23"/>
  <c r="N60" i="23"/>
  <c r="N60" i="7"/>
  <c r="N50" i="7"/>
  <c r="N50" i="23"/>
  <c r="W61" i="7"/>
  <c r="W61" i="23"/>
  <c r="W52" i="23"/>
  <c r="W52" i="7"/>
  <c r="N42" i="7"/>
  <c r="N42" i="23"/>
  <c r="T63" i="23"/>
  <c r="T63" i="7"/>
  <c r="K66" i="23"/>
  <c r="K66" i="7"/>
  <c r="K51" i="23"/>
  <c r="K51" i="7"/>
  <c r="Q46" i="23"/>
  <c r="Q46" i="7"/>
  <c r="K56" i="7"/>
  <c r="K56" i="23"/>
  <c r="T70" i="23"/>
  <c r="T70" i="7"/>
  <c r="Q67" i="7"/>
  <c r="Q67" i="23"/>
  <c r="Q34" i="23"/>
  <c r="R34" i="23" s="1"/>
  <c r="Q34" i="7"/>
  <c r="K31" i="7"/>
  <c r="K31" i="23"/>
  <c r="L31" i="23" s="1"/>
  <c r="N12" i="23"/>
  <c r="O12" i="23" s="1"/>
  <c r="N12" i="7"/>
  <c r="K47" i="23"/>
  <c r="K47" i="7"/>
  <c r="Q26" i="23"/>
  <c r="R26" i="23" s="1"/>
  <c r="Q26" i="7"/>
  <c r="N67" i="23"/>
  <c r="N67" i="7"/>
  <c r="K55" i="7"/>
  <c r="K55" i="23"/>
  <c r="Q44" i="23"/>
  <c r="Q44" i="7"/>
  <c r="W20" i="7"/>
  <c r="W20" i="23"/>
  <c r="K50" i="7"/>
  <c r="K50" i="23"/>
  <c r="T58" i="23"/>
  <c r="T58" i="7"/>
  <c r="W19" i="7"/>
  <c r="W19" i="23"/>
  <c r="K69" i="23"/>
  <c r="K69" i="7"/>
  <c r="Q49" i="23"/>
  <c r="Q49" i="7"/>
  <c r="T50" i="23"/>
  <c r="T50" i="7"/>
  <c r="K15" i="7"/>
  <c r="K15" i="23"/>
  <c r="L15" i="23" s="1"/>
  <c r="N30" i="23"/>
  <c r="O30" i="23" s="1"/>
  <c r="N30" i="7"/>
  <c r="N41" i="23"/>
  <c r="N41" i="7"/>
  <c r="Q9" i="7"/>
  <c r="Q9" i="23"/>
  <c r="R9" i="23" s="1"/>
  <c r="N53" i="7"/>
  <c r="N53" i="23"/>
  <c r="T31" i="7"/>
  <c r="T31" i="23"/>
  <c r="U31" i="23" s="1"/>
  <c r="W39" i="7"/>
  <c r="W39" i="23"/>
  <c r="Q27" i="7"/>
  <c r="Q27" i="23"/>
  <c r="R27" i="23" s="1"/>
  <c r="N51" i="7"/>
  <c r="N51" i="23"/>
  <c r="N63" i="7"/>
  <c r="N63" i="23"/>
  <c r="T30" i="23"/>
  <c r="U30" i="23" s="1"/>
  <c r="T30" i="7"/>
  <c r="T57" i="7"/>
  <c r="T57" i="23"/>
  <c r="K19" i="23"/>
  <c r="L19" i="23" s="1"/>
  <c r="K19" i="7"/>
  <c r="W47" i="23"/>
  <c r="W47" i="7"/>
  <c r="N57" i="23"/>
  <c r="N57" i="7"/>
  <c r="Q64" i="7"/>
  <c r="Q64" i="23"/>
  <c r="Q56" i="7"/>
  <c r="Q56" i="23"/>
  <c r="N43" i="7"/>
  <c r="N43" i="23"/>
  <c r="Q42" i="23"/>
  <c r="Q42" i="7"/>
  <c r="W41" i="7"/>
  <c r="W41" i="23"/>
  <c r="T67" i="7"/>
  <c r="T67" i="23"/>
  <c r="W50" i="7"/>
  <c r="W50" i="23"/>
  <c r="Q58" i="23"/>
  <c r="Q58" i="7"/>
  <c r="K54" i="23"/>
  <c r="K54" i="7"/>
  <c r="K52" i="23"/>
  <c r="K52" i="7"/>
  <c r="K67" i="7"/>
  <c r="K67" i="23"/>
  <c r="N70" i="23"/>
  <c r="N70" i="7"/>
  <c r="Q29" i="7"/>
  <c r="Q29" i="23"/>
  <c r="R29" i="23" s="1"/>
  <c r="W18" i="7"/>
  <c r="W18" i="23"/>
  <c r="W70" i="23"/>
  <c r="W70" i="7"/>
  <c r="Q43" i="7"/>
  <c r="Q43" i="23"/>
  <c r="T44" i="7"/>
  <c r="T44" i="23"/>
  <c r="N64" i="7"/>
  <c r="N64" i="23"/>
  <c r="Q60" i="23"/>
  <c r="Q60" i="7"/>
  <c r="T24" i="23"/>
  <c r="U24" i="23" s="1"/>
  <c r="T24" i="7"/>
  <c r="Q24" i="23"/>
  <c r="R24" i="23" s="1"/>
  <c r="Q24" i="7"/>
  <c r="Q25" i="23"/>
  <c r="R25" i="23" s="1"/>
  <c r="Q25" i="7"/>
  <c r="T25" i="23"/>
  <c r="U25" i="23" s="1"/>
  <c r="T25" i="7"/>
  <c r="AM45" i="23"/>
  <c r="AM70" i="23"/>
  <c r="AM69" i="23"/>
  <c r="AM50" i="23"/>
  <c r="AN54" i="23"/>
  <c r="AN58" i="23"/>
  <c r="AN45" i="23"/>
  <c r="AN59" i="23"/>
  <c r="AM53" i="23"/>
  <c r="AM60" i="23"/>
  <c r="AM42" i="23"/>
  <c r="AM46" i="23"/>
  <c r="AN67" i="23"/>
  <c r="AN66" i="23"/>
  <c r="AN61" i="23"/>
  <c r="AM65" i="23"/>
  <c r="AM58" i="23"/>
  <c r="AM52" i="23"/>
  <c r="AM54" i="23"/>
  <c r="AN52" i="23"/>
  <c r="AM57" i="23"/>
  <c r="AM67" i="23"/>
  <c r="AN53" i="23"/>
  <c r="AN56" i="23"/>
  <c r="AN46" i="23"/>
  <c r="AN70" i="23"/>
  <c r="AN44" i="23"/>
  <c r="AN39" i="23"/>
  <c r="AN40" i="23"/>
  <c r="AN63" i="23"/>
  <c r="AN64" i="23"/>
  <c r="AN69" i="23"/>
  <c r="AM68" i="23"/>
  <c r="AM56" i="23"/>
  <c r="AM63" i="23"/>
  <c r="AM44" i="23"/>
  <c r="AM49" i="23"/>
  <c r="AM41" i="23"/>
  <c r="AN49" i="23"/>
  <c r="AN50" i="23"/>
  <c r="AM51" i="23"/>
  <c r="AM39" i="23"/>
  <c r="AM43" i="23"/>
  <c r="AM62" i="23"/>
  <c r="AN57" i="23"/>
  <c r="AN51" i="23"/>
  <c r="AN60" i="23"/>
  <c r="AN55" i="23"/>
  <c r="AM64" i="23"/>
  <c r="AM61" i="23"/>
  <c r="AM59" i="23"/>
  <c r="AM35" i="23"/>
  <c r="AM48" i="23"/>
  <c r="AM47" i="23"/>
  <c r="AM55" i="23"/>
  <c r="AM66" i="23"/>
  <c r="AM40" i="23"/>
  <c r="AN68" i="23"/>
  <c r="AN42" i="23"/>
  <c r="AN43" i="23"/>
  <c r="AC42" i="23"/>
  <c r="AC42" i="7"/>
  <c r="AC11" i="7"/>
  <c r="AI26" i="7"/>
  <c r="AC63" i="23"/>
  <c r="AC63" i="7"/>
  <c r="AE59" i="23"/>
  <c r="AE59" i="7"/>
  <c r="AI47" i="23"/>
  <c r="AI47" i="7"/>
  <c r="AI53" i="23"/>
  <c r="AI53" i="7"/>
  <c r="AG18" i="7"/>
  <c r="AK62" i="7"/>
  <c r="AK62" i="23"/>
  <c r="AE49" i="23"/>
  <c r="AE49" i="7"/>
  <c r="AE28" i="7"/>
  <c r="AK23" i="7"/>
  <c r="AK23" i="23"/>
  <c r="AE69" i="7"/>
  <c r="AE69" i="23"/>
  <c r="AC70" i="23"/>
  <c r="AC70" i="7"/>
  <c r="AI68" i="7"/>
  <c r="AI68" i="23"/>
  <c r="AK57" i="23"/>
  <c r="AK57" i="7"/>
  <c r="AI12" i="7"/>
  <c r="AI61" i="23"/>
  <c r="AI61" i="7"/>
  <c r="AK58" i="23"/>
  <c r="AK58" i="7"/>
  <c r="AC59" i="7"/>
  <c r="AC59" i="23"/>
  <c r="AI56" i="7"/>
  <c r="AI56" i="23"/>
  <c r="AK9" i="23"/>
  <c r="AK9" i="7"/>
  <c r="AE61" i="7"/>
  <c r="AE61" i="23"/>
  <c r="AI65" i="7"/>
  <c r="AI65" i="23"/>
  <c r="AC48" i="23"/>
  <c r="AC48" i="7"/>
  <c r="AI11" i="7"/>
  <c r="AC32" i="7"/>
  <c r="AE46" i="23"/>
  <c r="AE46" i="7"/>
  <c r="AG61" i="23"/>
  <c r="AG61" i="7"/>
  <c r="AI60" i="23"/>
  <c r="AI60" i="7"/>
  <c r="AE54" i="23"/>
  <c r="AE54" i="7"/>
  <c r="AE11" i="7"/>
  <c r="AI27" i="7"/>
  <c r="AG20" i="7"/>
  <c r="AG40" i="23"/>
  <c r="AG40" i="7"/>
  <c r="AK66" i="23"/>
  <c r="AK66" i="7"/>
  <c r="AK38" i="7"/>
  <c r="AE40" i="7"/>
  <c r="AE40" i="23"/>
  <c r="AC17" i="7"/>
  <c r="AC46" i="23"/>
  <c r="AC46" i="7"/>
  <c r="AI52" i="23"/>
  <c r="AI52" i="7"/>
  <c r="AC57" i="23"/>
  <c r="AC57" i="7"/>
  <c r="AI66" i="7"/>
  <c r="AI66" i="23"/>
  <c r="AE20" i="7"/>
  <c r="AC61" i="7"/>
  <c r="AC61" i="23"/>
  <c r="AK12" i="23"/>
  <c r="AK12" i="7"/>
  <c r="AC35" i="7"/>
  <c r="AC35" i="23"/>
  <c r="AI19" i="7"/>
  <c r="AG50" i="23"/>
  <c r="AG50" i="7"/>
  <c r="AC39" i="23"/>
  <c r="AC39" i="7"/>
  <c r="AI9" i="7"/>
  <c r="AK11" i="23"/>
  <c r="AK11" i="7"/>
  <c r="AE10" i="7"/>
  <c r="AG54" i="23"/>
  <c r="AG54" i="7"/>
  <c r="AG69" i="23"/>
  <c r="AG69" i="7"/>
  <c r="AE48" i="23"/>
  <c r="AE48" i="7"/>
  <c r="AK45" i="23"/>
  <c r="AK45" i="7"/>
  <c r="AC26" i="7"/>
  <c r="AC34" i="7"/>
  <c r="AK54" i="23"/>
  <c r="AK54" i="7"/>
  <c r="AK55" i="7"/>
  <c r="AK55" i="23"/>
  <c r="AC24" i="7"/>
  <c r="AC43" i="23"/>
  <c r="AC43" i="7"/>
  <c r="AC12" i="7"/>
  <c r="AG52" i="7"/>
  <c r="AG52" i="23"/>
  <c r="AG47" i="23"/>
  <c r="AG47" i="7"/>
  <c r="AK59" i="23"/>
  <c r="AK59" i="7"/>
  <c r="AC33" i="7"/>
  <c r="AG16" i="7"/>
  <c r="AC49" i="23"/>
  <c r="AC49" i="7"/>
  <c r="AG10" i="7"/>
  <c r="AI40" i="7"/>
  <c r="AI40" i="23"/>
  <c r="AE39" i="7"/>
  <c r="AE39" i="23"/>
  <c r="AE34" i="7"/>
  <c r="AK69" i="23"/>
  <c r="AK69" i="7"/>
  <c r="AI20" i="7"/>
  <c r="AG57" i="7"/>
  <c r="AG57" i="23"/>
  <c r="AG51" i="23"/>
  <c r="AG51" i="7"/>
  <c r="AG35" i="7"/>
  <c r="AG35" i="23"/>
  <c r="AE55" i="23"/>
  <c r="AE55" i="7"/>
  <c r="AE56" i="23"/>
  <c r="AE56" i="7"/>
  <c r="AI45" i="23"/>
  <c r="AI45" i="7"/>
  <c r="AK65" i="7"/>
  <c r="AK65" i="23"/>
  <c r="AG28" i="7"/>
  <c r="AK64" i="7"/>
  <c r="AK64" i="23"/>
  <c r="AI54" i="23"/>
  <c r="AI54" i="7"/>
  <c r="AI51" i="23"/>
  <c r="AI51" i="7"/>
  <c r="AI55" i="7"/>
  <c r="AI55" i="23"/>
  <c r="AK56" i="23"/>
  <c r="AK56" i="7"/>
  <c r="AK14" i="23"/>
  <c r="AK14" i="7"/>
  <c r="AK60" i="23"/>
  <c r="AK60" i="7"/>
  <c r="AI32" i="7"/>
  <c r="AC60" i="7"/>
  <c r="AC60" i="23"/>
  <c r="AE25" i="7"/>
  <c r="AK48" i="7"/>
  <c r="AK48" i="23"/>
  <c r="AG41" i="23"/>
  <c r="AG41" i="7"/>
  <c r="AI48" i="23"/>
  <c r="AI48" i="7"/>
  <c r="AG45" i="23"/>
  <c r="AG45" i="7"/>
  <c r="AK22" i="7"/>
  <c r="AK22" i="23"/>
  <c r="AI43" i="7"/>
  <c r="AI43" i="23"/>
  <c r="AG19" i="7"/>
  <c r="AK51" i="23"/>
  <c r="AK51" i="7"/>
  <c r="AG13" i="7"/>
  <c r="AG39" i="7"/>
  <c r="AG39" i="23"/>
  <c r="AE66" i="7"/>
  <c r="AE66" i="23"/>
  <c r="AK16" i="23"/>
  <c r="AK16" i="7"/>
  <c r="AK40" i="7"/>
  <c r="AK40" i="23"/>
  <c r="AC40" i="23"/>
  <c r="AC40" i="7"/>
  <c r="AK13" i="23"/>
  <c r="AK13" i="7"/>
  <c r="AI64" i="7"/>
  <c r="AI64" i="23"/>
  <c r="AG11" i="7"/>
  <c r="AE27" i="7"/>
  <c r="AC25" i="7"/>
  <c r="AC44" i="23"/>
  <c r="AC44" i="7"/>
  <c r="AC13" i="7"/>
  <c r="AG65" i="23"/>
  <c r="AG65" i="7"/>
  <c r="AI69" i="23"/>
  <c r="AI69" i="7"/>
  <c r="AE33" i="7"/>
  <c r="AK42" i="7"/>
  <c r="AK42" i="23"/>
  <c r="AG53" i="23"/>
  <c r="AG53" i="7"/>
  <c r="AG12" i="7"/>
  <c r="AI35" i="7"/>
  <c r="AI35" i="23"/>
  <c r="AC18" i="7"/>
  <c r="AG62" i="7"/>
  <c r="AG62" i="23"/>
  <c r="AC30" i="7"/>
  <c r="AG15" i="7"/>
  <c r="AK36" i="7"/>
  <c r="AE62" i="23"/>
  <c r="AE62" i="7"/>
  <c r="AE15" i="7"/>
  <c r="AE65" i="7"/>
  <c r="AE65" i="23"/>
  <c r="AC29" i="7"/>
  <c r="AI39" i="7"/>
  <c r="AI39" i="23"/>
  <c r="AI29" i="7"/>
  <c r="AI62" i="7"/>
  <c r="AI62" i="23"/>
  <c r="AE13" i="7"/>
  <c r="AG59" i="7"/>
  <c r="AG59" i="23"/>
  <c r="AK46" i="23"/>
  <c r="AK46" i="7"/>
  <c r="AE16" i="7"/>
  <c r="AE17" i="7"/>
  <c r="AI59" i="7"/>
  <c r="AI59" i="23"/>
  <c r="AC58" i="7"/>
  <c r="AC58" i="23"/>
  <c r="AC28" i="7"/>
  <c r="AE9" i="7"/>
  <c r="AK68" i="7"/>
  <c r="AK68" i="23"/>
  <c r="AC65" i="23"/>
  <c r="AC65" i="7"/>
  <c r="AI16" i="7"/>
  <c r="AE24" i="7"/>
  <c r="AC45" i="7"/>
  <c r="AC45" i="23"/>
  <c r="AC14" i="7"/>
  <c r="AG14" i="7"/>
  <c r="AK67" i="23"/>
  <c r="AK67" i="7"/>
  <c r="AE68" i="7"/>
  <c r="AE68" i="23"/>
  <c r="AE32" i="7"/>
  <c r="AE45" i="23"/>
  <c r="AE45" i="7"/>
  <c r="AI41" i="7"/>
  <c r="AI41" i="23"/>
  <c r="AG32" i="7"/>
  <c r="AK63" i="7"/>
  <c r="AK63" i="23"/>
  <c r="AK49" i="23"/>
  <c r="AK49" i="7"/>
  <c r="AG70" i="7"/>
  <c r="AG70" i="23"/>
  <c r="AE47" i="23"/>
  <c r="AE47" i="7"/>
  <c r="AI28" i="7"/>
  <c r="AK15" i="7"/>
  <c r="AK15" i="23"/>
  <c r="AI33" i="7"/>
  <c r="AK44" i="7"/>
  <c r="AK44" i="23"/>
  <c r="AG48" i="23"/>
  <c r="AG48" i="7"/>
  <c r="AI17" i="7"/>
  <c r="AI49" i="23"/>
  <c r="AI49" i="7"/>
  <c r="AK17" i="7"/>
  <c r="AK17" i="23"/>
  <c r="AK37" i="7"/>
  <c r="AG30" i="7"/>
  <c r="AE26" i="7"/>
  <c r="AC27" i="7"/>
  <c r="AC20" i="7"/>
  <c r="AE52" i="7"/>
  <c r="AE52" i="23"/>
  <c r="AE18" i="7"/>
  <c r="AC9" i="7"/>
  <c r="AK43" i="7"/>
  <c r="AK43" i="23"/>
  <c r="AK10" i="7"/>
  <c r="AK10" i="23"/>
  <c r="AG17" i="7"/>
  <c r="AG31" i="7"/>
  <c r="AG55" i="23"/>
  <c r="AG55" i="7"/>
  <c r="AC41" i="23"/>
  <c r="AC41" i="7"/>
  <c r="AC10" i="7"/>
  <c r="AE44" i="7"/>
  <c r="AE44" i="23"/>
  <c r="AK53" i="7"/>
  <c r="AK53" i="23"/>
  <c r="AC62" i="7"/>
  <c r="AC62" i="23"/>
  <c r="AE31" i="7"/>
  <c r="AI34" i="7"/>
  <c r="AG68" i="23"/>
  <c r="AG68" i="7"/>
  <c r="AE35" i="23"/>
  <c r="AE35" i="7"/>
  <c r="AI10" i="7"/>
  <c r="AI15" i="7"/>
  <c r="AE14" i="7"/>
  <c r="AC53" i="7"/>
  <c r="AC53" i="23"/>
  <c r="AK21" i="7"/>
  <c r="AK21" i="23"/>
  <c r="AI18" i="7"/>
  <c r="AC64" i="7"/>
  <c r="AC64" i="23"/>
  <c r="AE29" i="7"/>
  <c r="AE19" i="7"/>
  <c r="AI13" i="7"/>
  <c r="AI14" i="7"/>
  <c r="AG33" i="7"/>
  <c r="AC68" i="23"/>
  <c r="AC68" i="7"/>
  <c r="AE58" i="23"/>
  <c r="AE58" i="7"/>
  <c r="AI42" i="7"/>
  <c r="AI42" i="23"/>
  <c r="AI46" i="7"/>
  <c r="AI46" i="23"/>
  <c r="AG63" i="7"/>
  <c r="AG63" i="23"/>
  <c r="AC16" i="7"/>
  <c r="AG66" i="7"/>
  <c r="AG66" i="23"/>
  <c r="AE60" i="23"/>
  <c r="AE60" i="7"/>
  <c r="AE50" i="7"/>
  <c r="AE50" i="23"/>
  <c r="AK61" i="7"/>
  <c r="AK61" i="23"/>
  <c r="AK52" i="23"/>
  <c r="AK52" i="7"/>
  <c r="AE42" i="7"/>
  <c r="AE42" i="23"/>
  <c r="AI63" i="23"/>
  <c r="AI63" i="7"/>
  <c r="AC66" i="23"/>
  <c r="AC66" i="7"/>
  <c r="AC51" i="23"/>
  <c r="AC51" i="7"/>
  <c r="AG46" i="23"/>
  <c r="AG46" i="7"/>
  <c r="AC56" i="7"/>
  <c r="AC56" i="23"/>
  <c r="AI70" i="23"/>
  <c r="AI70" i="7"/>
  <c r="AG67" i="7"/>
  <c r="AG67" i="23"/>
  <c r="AG34" i="7"/>
  <c r="AC31" i="7"/>
  <c r="AE12" i="7"/>
  <c r="AC47" i="23"/>
  <c r="AC47" i="7"/>
  <c r="AG26" i="7"/>
  <c r="AE67" i="23"/>
  <c r="AE67" i="7"/>
  <c r="AC55" i="7"/>
  <c r="AC55" i="23"/>
  <c r="AG44" i="23"/>
  <c r="AG44" i="7"/>
  <c r="AK20" i="7"/>
  <c r="AK20" i="23"/>
  <c r="AC50" i="7"/>
  <c r="AC50" i="23"/>
  <c r="AI58" i="23"/>
  <c r="AI58" i="7"/>
  <c r="AK19" i="7"/>
  <c r="AK19" i="23"/>
  <c r="AC69" i="23"/>
  <c r="AC69" i="7"/>
  <c r="AG49" i="23"/>
  <c r="AG49" i="7"/>
  <c r="AI50" i="23"/>
  <c r="AI50" i="7"/>
  <c r="AC15" i="7"/>
  <c r="AE30" i="7"/>
  <c r="AE41" i="23"/>
  <c r="AE41" i="7"/>
  <c r="AG9" i="7"/>
  <c r="AE53" i="7"/>
  <c r="AE53" i="23"/>
  <c r="AI31" i="7"/>
  <c r="AK39" i="7"/>
  <c r="AK39" i="23"/>
  <c r="AG27" i="7"/>
  <c r="AE51" i="7"/>
  <c r="AE51" i="23"/>
  <c r="AE63" i="7"/>
  <c r="AE63" i="23"/>
  <c r="AI30" i="7"/>
  <c r="AI57" i="7"/>
  <c r="AI57" i="23"/>
  <c r="AC19" i="7"/>
  <c r="AK47" i="23"/>
  <c r="AK47" i="7"/>
  <c r="AE57" i="23"/>
  <c r="AE57" i="7"/>
  <c r="AG64" i="7"/>
  <c r="AG64" i="23"/>
  <c r="AG56" i="7"/>
  <c r="AG56" i="23"/>
  <c r="AE43" i="7"/>
  <c r="AE43" i="23"/>
  <c r="AG42" i="23"/>
  <c r="AG42" i="7"/>
  <c r="AK41" i="7"/>
  <c r="AK41" i="23"/>
  <c r="AI67" i="7"/>
  <c r="AI67" i="23"/>
  <c r="AK50" i="7"/>
  <c r="AK50" i="23"/>
  <c r="AG58" i="23"/>
  <c r="AG58" i="7"/>
  <c r="AC54" i="23"/>
  <c r="AC54" i="7"/>
  <c r="AC52" i="23"/>
  <c r="AC52" i="7"/>
  <c r="AC67" i="7"/>
  <c r="AC67" i="23"/>
  <c r="AE70" i="23"/>
  <c r="AE70" i="7"/>
  <c r="AG29" i="7"/>
  <c r="AK18" i="7"/>
  <c r="AK18" i="23"/>
  <c r="AK70" i="23"/>
  <c r="AK70" i="7"/>
  <c r="AG43" i="7"/>
  <c r="AG43" i="23"/>
  <c r="AI44" i="7"/>
  <c r="AI44" i="23"/>
  <c r="AE64" i="7"/>
  <c r="AE64" i="23"/>
  <c r="AG60" i="23"/>
  <c r="AG60" i="7"/>
  <c r="AI24" i="7"/>
  <c r="AG24" i="7"/>
  <c r="AG25" i="7"/>
  <c r="AI25" i="7"/>
  <c r="AA48" i="23" l="1"/>
  <c r="AA35" i="23"/>
  <c r="AA62" i="23"/>
  <c r="AA47" i="23"/>
  <c r="AA41" i="23"/>
  <c r="AA65" i="23"/>
  <c r="U25" i="7"/>
  <c r="R25" i="7"/>
  <c r="R24" i="7"/>
  <c r="U24" i="7"/>
  <c r="R60" i="7"/>
  <c r="R60" i="23"/>
  <c r="O64" i="23"/>
  <c r="O64" i="7"/>
  <c r="U44" i="23"/>
  <c r="U44" i="7"/>
  <c r="R43" i="23"/>
  <c r="R43" i="7"/>
  <c r="X70" i="7"/>
  <c r="X70" i="23"/>
  <c r="X18" i="23"/>
  <c r="X18" i="7"/>
  <c r="R29" i="7"/>
  <c r="O70" i="7"/>
  <c r="O70" i="23"/>
  <c r="L67" i="23"/>
  <c r="L67" i="7"/>
  <c r="L52" i="7"/>
  <c r="L52" i="23"/>
  <c r="L54" i="7"/>
  <c r="L54" i="23"/>
  <c r="R58" i="7"/>
  <c r="R58" i="23"/>
  <c r="X50" i="23"/>
  <c r="X50" i="7"/>
  <c r="U67" i="23"/>
  <c r="U67" i="7"/>
  <c r="X41" i="23"/>
  <c r="X41" i="7"/>
  <c r="R42" i="7"/>
  <c r="R42" i="23"/>
  <c r="O43" i="23"/>
  <c r="O43" i="7"/>
  <c r="R56" i="23"/>
  <c r="R56" i="7"/>
  <c r="R64" i="23"/>
  <c r="R64" i="7"/>
  <c r="O57" i="7"/>
  <c r="O57" i="23"/>
  <c r="X47" i="7"/>
  <c r="X47" i="23"/>
  <c r="L19" i="7"/>
  <c r="U57" i="23"/>
  <c r="U57" i="7"/>
  <c r="U30" i="7"/>
  <c r="O63" i="23"/>
  <c r="O63" i="7"/>
  <c r="O51" i="23"/>
  <c r="O51" i="7"/>
  <c r="R27" i="7"/>
  <c r="X39" i="23"/>
  <c r="X39" i="7"/>
  <c r="U31" i="7"/>
  <c r="O53" i="23"/>
  <c r="O53" i="7"/>
  <c r="R9" i="7"/>
  <c r="O41" i="7"/>
  <c r="O41" i="23"/>
  <c r="O30" i="7"/>
  <c r="L15" i="7"/>
  <c r="U50" i="7"/>
  <c r="U50" i="23"/>
  <c r="R49" i="7"/>
  <c r="R49" i="23"/>
  <c r="L69" i="7"/>
  <c r="L69" i="23"/>
  <c r="X19" i="23"/>
  <c r="X19" i="7"/>
  <c r="U58" i="7"/>
  <c r="U58" i="23"/>
  <c r="L50" i="23"/>
  <c r="L50" i="7"/>
  <c r="X20" i="23"/>
  <c r="X20" i="7"/>
  <c r="R44" i="7"/>
  <c r="R44" i="23"/>
  <c r="L55" i="23"/>
  <c r="L55" i="7"/>
  <c r="O67" i="7"/>
  <c r="O67" i="23"/>
  <c r="R26" i="7"/>
  <c r="L47" i="7"/>
  <c r="L47" i="23"/>
  <c r="O12" i="7"/>
  <c r="L31" i="7"/>
  <c r="R34" i="7"/>
  <c r="R67" i="23"/>
  <c r="R67" i="7"/>
  <c r="U70" i="7"/>
  <c r="U70" i="23"/>
  <c r="L56" i="23"/>
  <c r="L56" i="7"/>
  <c r="R46" i="7"/>
  <c r="R46" i="23"/>
  <c r="L51" i="7"/>
  <c r="L51" i="23"/>
  <c r="L66" i="7"/>
  <c r="L66" i="23"/>
  <c r="U63" i="7"/>
  <c r="U63" i="23"/>
  <c r="O42" i="23"/>
  <c r="O42" i="7"/>
  <c r="X52" i="7"/>
  <c r="X52" i="23"/>
  <c r="X61" i="23"/>
  <c r="X61" i="7"/>
  <c r="O50" i="23"/>
  <c r="O50" i="7"/>
  <c r="O60" i="7"/>
  <c r="O60" i="23"/>
  <c r="R66" i="23"/>
  <c r="R66" i="7"/>
  <c r="L16" i="7"/>
  <c r="R63" i="23"/>
  <c r="R63" i="7"/>
  <c r="U46" i="23"/>
  <c r="U46" i="7"/>
  <c r="U42" i="23"/>
  <c r="U42" i="7"/>
  <c r="O58" i="7"/>
  <c r="O58" i="23"/>
  <c r="L68" i="7"/>
  <c r="L68" i="23"/>
  <c r="R33" i="7"/>
  <c r="U14" i="7"/>
  <c r="U13" i="7"/>
  <c r="O19" i="7"/>
  <c r="O29" i="7"/>
  <c r="L64" i="23"/>
  <c r="L64" i="7"/>
  <c r="U18" i="7"/>
  <c r="X21" i="23"/>
  <c r="X21" i="7"/>
  <c r="L53" i="23"/>
  <c r="L53" i="7"/>
  <c r="O14" i="7"/>
  <c r="U15" i="7"/>
  <c r="U10" i="7"/>
  <c r="O35" i="7"/>
  <c r="O35" i="23"/>
  <c r="R68" i="7"/>
  <c r="R68" i="23"/>
  <c r="U34" i="7"/>
  <c r="O31" i="7"/>
  <c r="L62" i="23"/>
  <c r="L62" i="7"/>
  <c r="X53" i="23"/>
  <c r="X53" i="7"/>
  <c r="O44" i="23"/>
  <c r="O44" i="7"/>
  <c r="L10" i="7"/>
  <c r="L41" i="7"/>
  <c r="L41" i="23"/>
  <c r="R55" i="7"/>
  <c r="R55" i="23"/>
  <c r="R31" i="7"/>
  <c r="R17" i="7"/>
  <c r="X10" i="23"/>
  <c r="X10" i="7"/>
  <c r="X43" i="23"/>
  <c r="X43" i="7"/>
  <c r="L9" i="7"/>
  <c r="O18" i="7"/>
  <c r="O52" i="23"/>
  <c r="O52" i="7"/>
  <c r="L20" i="7"/>
  <c r="L27" i="7"/>
  <c r="O26" i="7"/>
  <c r="R30" i="7"/>
  <c r="X37" i="7"/>
  <c r="X17" i="23"/>
  <c r="X17" i="7"/>
  <c r="U49" i="7"/>
  <c r="U49" i="23"/>
  <c r="U17" i="7"/>
  <c r="R48" i="7"/>
  <c r="R48" i="23"/>
  <c r="X44" i="23"/>
  <c r="X44" i="7"/>
  <c r="U33" i="7"/>
  <c r="X15" i="23"/>
  <c r="X15" i="7"/>
  <c r="U28" i="7"/>
  <c r="O47" i="7"/>
  <c r="O47" i="23"/>
  <c r="R70" i="23"/>
  <c r="R70" i="7"/>
  <c r="X49" i="7"/>
  <c r="X49" i="23"/>
  <c r="X63" i="23"/>
  <c r="X63" i="7"/>
  <c r="R32" i="7"/>
  <c r="U41" i="23"/>
  <c r="U41" i="7"/>
  <c r="O45" i="7"/>
  <c r="O45" i="23"/>
  <c r="O32" i="7"/>
  <c r="O68" i="23"/>
  <c r="O68" i="7"/>
  <c r="X67" i="7"/>
  <c r="X67" i="23"/>
  <c r="R14" i="7"/>
  <c r="L14" i="7"/>
  <c r="L45" i="23"/>
  <c r="L45" i="7"/>
  <c r="O24" i="7"/>
  <c r="U16" i="7"/>
  <c r="L65" i="7"/>
  <c r="L65" i="23"/>
  <c r="X68" i="23"/>
  <c r="X68" i="7"/>
  <c r="O9" i="7"/>
  <c r="L28" i="7"/>
  <c r="L58" i="23"/>
  <c r="L58" i="7"/>
  <c r="U59" i="23"/>
  <c r="U59" i="7"/>
  <c r="O17" i="7"/>
  <c r="O16" i="7"/>
  <c r="X46" i="7"/>
  <c r="X46" i="23"/>
  <c r="R59" i="23"/>
  <c r="R59" i="7"/>
  <c r="O13" i="7"/>
  <c r="U62" i="23"/>
  <c r="U62" i="7"/>
  <c r="U29" i="7"/>
  <c r="U39" i="23"/>
  <c r="U39" i="7"/>
  <c r="L29" i="7"/>
  <c r="O65" i="23"/>
  <c r="O65" i="7"/>
  <c r="O15" i="7"/>
  <c r="O62" i="7"/>
  <c r="O62" i="23"/>
  <c r="X36" i="7"/>
  <c r="R15" i="7"/>
  <c r="L30" i="7"/>
  <c r="R62" i="23"/>
  <c r="R62" i="7"/>
  <c r="L18" i="7"/>
  <c r="U35" i="23"/>
  <c r="U35" i="7"/>
  <c r="R12" i="7"/>
  <c r="R53" i="7"/>
  <c r="R53" i="23"/>
  <c r="X42" i="23"/>
  <c r="X42" i="7"/>
  <c r="O33" i="7"/>
  <c r="U69" i="7"/>
  <c r="U69" i="23"/>
  <c r="R65" i="7"/>
  <c r="R65" i="23"/>
  <c r="L13" i="7"/>
  <c r="L44" i="7"/>
  <c r="L44" i="23"/>
  <c r="L25" i="7"/>
  <c r="O27" i="7"/>
  <c r="R11" i="7"/>
  <c r="U64" i="23"/>
  <c r="U64" i="7"/>
  <c r="X13" i="7"/>
  <c r="X13" i="23"/>
  <c r="L40" i="7"/>
  <c r="L40" i="23"/>
  <c r="X40" i="23"/>
  <c r="X40" i="7"/>
  <c r="X16" i="7"/>
  <c r="X16" i="23"/>
  <c r="O66" i="23"/>
  <c r="O66" i="7"/>
  <c r="R39" i="23"/>
  <c r="R39" i="7"/>
  <c r="R13" i="7"/>
  <c r="X51" i="7"/>
  <c r="X51" i="23"/>
  <c r="R19" i="7"/>
  <c r="U43" i="23"/>
  <c r="U43" i="7"/>
  <c r="X22" i="23"/>
  <c r="X22" i="7"/>
  <c r="R45" i="7"/>
  <c r="R45" i="23"/>
  <c r="U48" i="7"/>
  <c r="U48" i="23"/>
  <c r="R41" i="7"/>
  <c r="R41" i="23"/>
  <c r="X48" i="23"/>
  <c r="X48" i="7"/>
  <c r="O25" i="7"/>
  <c r="L60" i="23"/>
  <c r="L60" i="7"/>
  <c r="U32" i="7"/>
  <c r="X60" i="7"/>
  <c r="X60" i="23"/>
  <c r="X14" i="7"/>
  <c r="X14" i="23"/>
  <c r="X56" i="7"/>
  <c r="X56" i="23"/>
  <c r="U55" i="23"/>
  <c r="U55" i="7"/>
  <c r="U51" i="7"/>
  <c r="U51" i="23"/>
  <c r="U54" i="7"/>
  <c r="U54" i="23"/>
  <c r="X64" i="23"/>
  <c r="X64" i="7"/>
  <c r="R28" i="7"/>
  <c r="X65" i="23"/>
  <c r="X65" i="7"/>
  <c r="U45" i="7"/>
  <c r="U45" i="23"/>
  <c r="O56" i="7"/>
  <c r="O56" i="23"/>
  <c r="O55" i="7"/>
  <c r="O55" i="23"/>
  <c r="R35" i="23"/>
  <c r="R35" i="7"/>
  <c r="R51" i="7"/>
  <c r="R51" i="23"/>
  <c r="R57" i="23"/>
  <c r="R57" i="7"/>
  <c r="U20" i="7"/>
  <c r="X69" i="7"/>
  <c r="X69" i="23"/>
  <c r="O34" i="7"/>
  <c r="O39" i="23"/>
  <c r="O39" i="7"/>
  <c r="U40" i="23"/>
  <c r="U40" i="7"/>
  <c r="R10" i="7"/>
  <c r="L49" i="7"/>
  <c r="L49" i="23"/>
  <c r="R16" i="7"/>
  <c r="L33" i="7"/>
  <c r="X59" i="7"/>
  <c r="X59" i="23"/>
  <c r="R47" i="7"/>
  <c r="R47" i="23"/>
  <c r="R52" i="23"/>
  <c r="R52" i="7"/>
  <c r="L12" i="7"/>
  <c r="L43" i="7"/>
  <c r="L43" i="23"/>
  <c r="L24" i="7"/>
  <c r="X55" i="23"/>
  <c r="X55" i="7"/>
  <c r="X54" i="7"/>
  <c r="X54" i="23"/>
  <c r="L34" i="7"/>
  <c r="L26" i="7"/>
  <c r="X45" i="7"/>
  <c r="X45" i="23"/>
  <c r="O48" i="7"/>
  <c r="O48" i="23"/>
  <c r="R69" i="7"/>
  <c r="R69" i="23"/>
  <c r="R54" i="7"/>
  <c r="R54" i="23"/>
  <c r="O10" i="7"/>
  <c r="X11" i="7"/>
  <c r="X11" i="23"/>
  <c r="U9" i="7"/>
  <c r="L39" i="7"/>
  <c r="L39" i="23"/>
  <c r="R50" i="7"/>
  <c r="R50" i="23"/>
  <c r="U19" i="7"/>
  <c r="L35" i="23"/>
  <c r="L35" i="7"/>
  <c r="X12" i="7"/>
  <c r="X12" i="23"/>
  <c r="L61" i="23"/>
  <c r="L61" i="7"/>
  <c r="O20" i="7"/>
  <c r="U66" i="23"/>
  <c r="U66" i="7"/>
  <c r="L57" i="7"/>
  <c r="L57" i="23"/>
  <c r="U52" i="7"/>
  <c r="U52" i="23"/>
  <c r="L46" i="7"/>
  <c r="L46" i="23"/>
  <c r="L17" i="7"/>
  <c r="O40" i="23"/>
  <c r="O40" i="7"/>
  <c r="X38" i="7"/>
  <c r="X66" i="7"/>
  <c r="X66" i="23"/>
  <c r="R40" i="7"/>
  <c r="R40" i="23"/>
  <c r="R20" i="7"/>
  <c r="U27" i="7"/>
  <c r="O11" i="7"/>
  <c r="O54" i="7"/>
  <c r="O54" i="23"/>
  <c r="U60" i="7"/>
  <c r="U60" i="23"/>
  <c r="R61" i="7"/>
  <c r="R61" i="23"/>
  <c r="O46" i="7"/>
  <c r="O46" i="23"/>
  <c r="L32" i="7"/>
  <c r="U11" i="7"/>
  <c r="L48" i="7"/>
  <c r="L48" i="23"/>
  <c r="U65" i="23"/>
  <c r="U65" i="7"/>
  <c r="O61" i="23"/>
  <c r="O61" i="7"/>
  <c r="X9" i="7"/>
  <c r="X9" i="23"/>
  <c r="U56" i="23"/>
  <c r="U56" i="7"/>
  <c r="L59" i="23"/>
  <c r="L59" i="7"/>
  <c r="X58" i="7"/>
  <c r="X58" i="23"/>
  <c r="U61" i="7"/>
  <c r="U61" i="23"/>
  <c r="U12" i="7"/>
  <c r="X57" i="7"/>
  <c r="X57" i="23"/>
  <c r="U68" i="23"/>
  <c r="U68" i="7"/>
  <c r="L70" i="7"/>
  <c r="L70" i="23"/>
  <c r="O69" i="23"/>
  <c r="O69" i="7"/>
  <c r="X23" i="23"/>
  <c r="X23" i="7"/>
  <c r="O28" i="7"/>
  <c r="O49" i="7"/>
  <c r="O49" i="23"/>
  <c r="X62" i="23"/>
  <c r="X62" i="7"/>
  <c r="R18" i="7"/>
  <c r="U53" i="7"/>
  <c r="U53" i="23"/>
  <c r="U47" i="7"/>
  <c r="U47" i="23"/>
  <c r="O59" i="7"/>
  <c r="O59" i="23"/>
  <c r="L63" i="7"/>
  <c r="L63" i="23"/>
  <c r="U26" i="7"/>
  <c r="L11" i="7"/>
  <c r="L42" i="7"/>
  <c r="L42" i="23"/>
  <c r="AN47" i="23"/>
  <c r="AJ24" i="7"/>
  <c r="AH43" i="7"/>
  <c r="AD67" i="23"/>
  <c r="AL50" i="23"/>
  <c r="AF43" i="23"/>
  <c r="AL47" i="7"/>
  <c r="AF51" i="23"/>
  <c r="AH9" i="7"/>
  <c r="AH49" i="23"/>
  <c r="AD50" i="7"/>
  <c r="AF67" i="23"/>
  <c r="AH67" i="7"/>
  <c r="AD51" i="23"/>
  <c r="AL52" i="23"/>
  <c r="AH66" i="7"/>
  <c r="AF58" i="7"/>
  <c r="AF29" i="7"/>
  <c r="AF14" i="7"/>
  <c r="AF31" i="7"/>
  <c r="AD41" i="7"/>
  <c r="AL43" i="23"/>
  <c r="AF26" i="7"/>
  <c r="AH48" i="7"/>
  <c r="AF47" i="7"/>
  <c r="AH32" i="7"/>
  <c r="AL67" i="7"/>
  <c r="AD65" i="7"/>
  <c r="AJ59" i="23"/>
  <c r="AF13" i="7"/>
  <c r="AF65" i="7"/>
  <c r="AH62" i="7"/>
  <c r="AL42" i="7"/>
  <c r="AD44" i="23"/>
  <c r="AD40" i="7"/>
  <c r="AH39" i="23"/>
  <c r="AL22" i="23"/>
  <c r="AL48" i="23"/>
  <c r="AL14" i="7"/>
  <c r="AJ54" i="7"/>
  <c r="AJ45" i="23"/>
  <c r="AH51" i="23"/>
  <c r="AF39" i="7"/>
  <c r="AL59" i="7"/>
  <c r="AD43" i="23"/>
  <c r="AL45" i="7"/>
  <c r="AF10" i="7"/>
  <c r="AJ19" i="7"/>
  <c r="AJ66" i="23"/>
  <c r="AD17" i="7"/>
  <c r="AH20" i="7"/>
  <c r="AH61" i="23"/>
  <c r="AJ65" i="7"/>
  <c r="AD59" i="7"/>
  <c r="AJ68" i="23"/>
  <c r="AF28" i="7"/>
  <c r="AJ47" i="7"/>
  <c r="AD42" i="7"/>
  <c r="AD19" i="7"/>
  <c r="AD47" i="7"/>
  <c r="AD66" i="23"/>
  <c r="AD68" i="7"/>
  <c r="AD62" i="7"/>
  <c r="AH55" i="7"/>
  <c r="AL37" i="7"/>
  <c r="AJ41" i="7"/>
  <c r="AF17" i="7"/>
  <c r="AJ35" i="23"/>
  <c r="AN48" i="23"/>
  <c r="AH60" i="7"/>
  <c r="AL70" i="7"/>
  <c r="AD67" i="7"/>
  <c r="AL50" i="7"/>
  <c r="AF43" i="7"/>
  <c r="AL47" i="23"/>
  <c r="AF51" i="7"/>
  <c r="AF41" i="7"/>
  <c r="AD69" i="7"/>
  <c r="AL20" i="23"/>
  <c r="AH26" i="7"/>
  <c r="AJ70" i="7"/>
  <c r="AD66" i="7"/>
  <c r="AL61" i="23"/>
  <c r="AD16" i="7"/>
  <c r="AF58" i="23"/>
  <c r="AD64" i="23"/>
  <c r="AJ15" i="7"/>
  <c r="AD62" i="23"/>
  <c r="AD41" i="23"/>
  <c r="AL43" i="7"/>
  <c r="AH30" i="7"/>
  <c r="AH48" i="23"/>
  <c r="AF47" i="23"/>
  <c r="AJ41" i="23"/>
  <c r="AL67" i="23"/>
  <c r="AD65" i="23"/>
  <c r="AJ59" i="7"/>
  <c r="AJ62" i="23"/>
  <c r="AF15" i="7"/>
  <c r="AD18" i="7"/>
  <c r="AF33" i="7"/>
  <c r="AD25" i="7"/>
  <c r="AD40" i="23"/>
  <c r="AH39" i="7"/>
  <c r="AL22" i="7"/>
  <c r="AL48" i="7"/>
  <c r="AL14" i="23"/>
  <c r="AJ54" i="23"/>
  <c r="AF56" i="7"/>
  <c r="AH57" i="23"/>
  <c r="AJ40" i="23"/>
  <c r="AL59" i="23"/>
  <c r="AD24" i="7"/>
  <c r="AL45" i="23"/>
  <c r="AL11" i="7"/>
  <c r="AD35" i="23"/>
  <c r="AJ66" i="7"/>
  <c r="AF40" i="23"/>
  <c r="AJ27" i="7"/>
  <c r="AF46" i="7"/>
  <c r="AF61" i="23"/>
  <c r="AL58" i="7"/>
  <c r="AJ68" i="7"/>
  <c r="AF49" i="7"/>
  <c r="AJ47" i="23"/>
  <c r="AD42" i="23"/>
  <c r="AN41" i="23"/>
  <c r="AH60" i="23"/>
  <c r="AL70" i="23"/>
  <c r="AD52" i="7"/>
  <c r="AJ67" i="23"/>
  <c r="AH56" i="23"/>
  <c r="AH27" i="7"/>
  <c r="AF41" i="23"/>
  <c r="AD69" i="23"/>
  <c r="AL20" i="7"/>
  <c r="AJ70" i="23"/>
  <c r="AL61" i="7"/>
  <c r="AH63" i="23"/>
  <c r="AD64" i="7"/>
  <c r="AJ10" i="7"/>
  <c r="AD9" i="7"/>
  <c r="AL44" i="23"/>
  <c r="AH70" i="23"/>
  <c r="AH14" i="7"/>
  <c r="AL68" i="23"/>
  <c r="AJ62" i="7"/>
  <c r="AF62" i="7"/>
  <c r="AJ69" i="7"/>
  <c r="AF27" i="7"/>
  <c r="AL40" i="23"/>
  <c r="AH45" i="7"/>
  <c r="AL55" i="23"/>
  <c r="AF40" i="7"/>
  <c r="AL58" i="23"/>
  <c r="AF49" i="23"/>
  <c r="AL18" i="23"/>
  <c r="AH56" i="7"/>
  <c r="AL39" i="23"/>
  <c r="AL19" i="23"/>
  <c r="AD47" i="23"/>
  <c r="AJ63" i="7"/>
  <c r="AH63" i="7"/>
  <c r="AJ18" i="7"/>
  <c r="AH55" i="23"/>
  <c r="AL17" i="23"/>
  <c r="AH70" i="7"/>
  <c r="AL68" i="7"/>
  <c r="AF62" i="23"/>
  <c r="AH11" i="7"/>
  <c r="AH45" i="23"/>
  <c r="AL64" i="7"/>
  <c r="AH10" i="7"/>
  <c r="AF48" i="23"/>
  <c r="AL38" i="7"/>
  <c r="AL9" i="7"/>
  <c r="AL62" i="23"/>
  <c r="AD54" i="7"/>
  <c r="AL39" i="7"/>
  <c r="AH44" i="23"/>
  <c r="AD56" i="7"/>
  <c r="AF50" i="7"/>
  <c r="AH33" i="7"/>
  <c r="AF35" i="23"/>
  <c r="AH31" i="7"/>
  <c r="AL17" i="7"/>
  <c r="AL49" i="7"/>
  <c r="AD45" i="23"/>
  <c r="AL46" i="7"/>
  <c r="AL36" i="7"/>
  <c r="AJ64" i="23"/>
  <c r="AJ48" i="7"/>
  <c r="AH28" i="7"/>
  <c r="AH52" i="23"/>
  <c r="AD39" i="7"/>
  <c r="AL66" i="7"/>
  <c r="AL9" i="23"/>
  <c r="AL62" i="7"/>
  <c r="AH29" i="7"/>
  <c r="AL41" i="7"/>
  <c r="AJ30" i="7"/>
  <c r="AJ50" i="7"/>
  <c r="AD55" i="23"/>
  <c r="AH46" i="7"/>
  <c r="AF60" i="7"/>
  <c r="AJ14" i="7"/>
  <c r="AH68" i="7"/>
  <c r="AF52" i="7"/>
  <c r="AL15" i="23"/>
  <c r="AF32" i="7"/>
  <c r="AL46" i="23"/>
  <c r="AH53" i="7"/>
  <c r="AL16" i="23"/>
  <c r="AJ48" i="23"/>
  <c r="AJ55" i="7"/>
  <c r="AL69" i="23"/>
  <c r="AL54" i="23"/>
  <c r="AD39" i="23"/>
  <c r="AL66" i="23"/>
  <c r="AJ56" i="23"/>
  <c r="AD63" i="23"/>
  <c r="AF70" i="7"/>
  <c r="AF63" i="23"/>
  <c r="AJ58" i="23"/>
  <c r="AH46" i="23"/>
  <c r="AJ13" i="7"/>
  <c r="AF44" i="7"/>
  <c r="AL15" i="7"/>
  <c r="AF24" i="7"/>
  <c r="AH59" i="23"/>
  <c r="AH53" i="23"/>
  <c r="AJ43" i="23"/>
  <c r="AH35" i="7"/>
  <c r="AD34" i="7"/>
  <c r="AD46" i="7"/>
  <c r="AJ56" i="7"/>
  <c r="AH43" i="23"/>
  <c r="AH42" i="23"/>
  <c r="AF53" i="7"/>
  <c r="AF67" i="7"/>
  <c r="AH13" i="7"/>
  <c r="AF25" i="7"/>
  <c r="AL56" i="7"/>
  <c r="AL64" i="23"/>
  <c r="AF56" i="23"/>
  <c r="AH57" i="7"/>
  <c r="AJ40" i="7"/>
  <c r="AH47" i="7"/>
  <c r="AF48" i="7"/>
  <c r="AL11" i="23"/>
  <c r="AD35" i="7"/>
  <c r="AD57" i="7"/>
  <c r="AF11" i="7"/>
  <c r="AF46" i="23"/>
  <c r="AF61" i="7"/>
  <c r="AD70" i="7"/>
  <c r="AF59" i="7"/>
  <c r="AN35" i="23"/>
  <c r="AN65" i="23"/>
  <c r="AF64" i="23"/>
  <c r="AD52" i="23"/>
  <c r="AJ67" i="7"/>
  <c r="AJ57" i="23"/>
  <c r="AF30" i="7"/>
  <c r="AH44" i="7"/>
  <c r="AD56" i="23"/>
  <c r="AF50" i="23"/>
  <c r="AD68" i="23"/>
  <c r="AF35" i="7"/>
  <c r="AL53" i="23"/>
  <c r="AF18" i="7"/>
  <c r="AL44" i="7"/>
  <c r="AF45" i="7"/>
  <c r="AD14" i="7"/>
  <c r="AF16" i="7"/>
  <c r="AJ29" i="7"/>
  <c r="AJ35" i="7"/>
  <c r="AJ69" i="23"/>
  <c r="AL40" i="7"/>
  <c r="AL51" i="7"/>
  <c r="AD60" i="23"/>
  <c r="AL56" i="23"/>
  <c r="AF55" i="7"/>
  <c r="AJ20" i="7"/>
  <c r="AH47" i="23"/>
  <c r="AL55" i="7"/>
  <c r="AJ9" i="7"/>
  <c r="AL12" i="7"/>
  <c r="AD57" i="23"/>
  <c r="AF54" i="7"/>
  <c r="AD32" i="7"/>
  <c r="AJ61" i="7"/>
  <c r="AD70" i="23"/>
  <c r="AF59" i="23"/>
  <c r="AF64" i="7"/>
  <c r="AL18" i="7"/>
  <c r="AL41" i="23"/>
  <c r="AH64" i="23"/>
  <c r="AJ57" i="7"/>
  <c r="AD15" i="7"/>
  <c r="AL19" i="7"/>
  <c r="AF12" i="7"/>
  <c r="AJ63" i="23"/>
  <c r="AJ46" i="23"/>
  <c r="AL21" i="23"/>
  <c r="AL53" i="7"/>
  <c r="AF52" i="23"/>
  <c r="AJ33" i="7"/>
  <c r="AF45" i="23"/>
  <c r="AF9" i="7"/>
  <c r="AJ39" i="23"/>
  <c r="AH12" i="7"/>
  <c r="AH65" i="7"/>
  <c r="AL16" i="7"/>
  <c r="AL51" i="23"/>
  <c r="AD60" i="7"/>
  <c r="AJ55" i="23"/>
  <c r="AF55" i="23"/>
  <c r="AL69" i="7"/>
  <c r="AD49" i="7"/>
  <c r="AL54" i="7"/>
  <c r="AH69" i="7"/>
  <c r="AL12" i="23"/>
  <c r="AJ52" i="7"/>
  <c r="AF54" i="23"/>
  <c r="AJ11" i="7"/>
  <c r="AJ61" i="23"/>
  <c r="AF69" i="23"/>
  <c r="AD63" i="7"/>
  <c r="AN62" i="23"/>
  <c r="AJ25" i="7"/>
  <c r="AJ44" i="23"/>
  <c r="AD54" i="23"/>
  <c r="AH64" i="7"/>
  <c r="AJ31" i="7"/>
  <c r="AJ58" i="7"/>
  <c r="AD31" i="7"/>
  <c r="AF42" i="23"/>
  <c r="AJ46" i="7"/>
  <c r="AL21" i="7"/>
  <c r="AF44" i="23"/>
  <c r="AJ49" i="7"/>
  <c r="AL49" i="23"/>
  <c r="AD45" i="7"/>
  <c r="AD28" i="7"/>
  <c r="AJ39" i="7"/>
  <c r="AH65" i="23"/>
  <c r="AJ64" i="7"/>
  <c r="AH19" i="7"/>
  <c r="AJ32" i="7"/>
  <c r="AH35" i="23"/>
  <c r="AD49" i="23"/>
  <c r="AH52" i="7"/>
  <c r="AH69" i="23"/>
  <c r="AD61" i="23"/>
  <c r="AJ60" i="7"/>
  <c r="AD48" i="7"/>
  <c r="AJ12" i="7"/>
  <c r="AH18" i="7"/>
  <c r="AH25" i="7"/>
  <c r="AJ44" i="7"/>
  <c r="AH58" i="7"/>
  <c r="AH42" i="7"/>
  <c r="AF53" i="23"/>
  <c r="AJ50" i="23"/>
  <c r="AH34" i="7"/>
  <c r="AF42" i="7"/>
  <c r="AJ42" i="23"/>
  <c r="AD53" i="23"/>
  <c r="AL10" i="23"/>
  <c r="AJ49" i="23"/>
  <c r="AL63" i="23"/>
  <c r="AD58" i="23"/>
  <c r="AD30" i="7"/>
  <c r="AD13" i="7"/>
  <c r="AF66" i="23"/>
  <c r="AH41" i="7"/>
  <c r="AL60" i="7"/>
  <c r="AL65" i="7"/>
  <c r="AF34" i="7"/>
  <c r="AH16" i="7"/>
  <c r="AH54" i="7"/>
  <c r="AH50" i="7"/>
  <c r="AD61" i="7"/>
  <c r="AH40" i="7"/>
  <c r="AD48" i="23"/>
  <c r="AL57" i="7"/>
  <c r="AL23" i="23"/>
  <c r="AJ26" i="7"/>
  <c r="AH24" i="7"/>
  <c r="AF70" i="23"/>
  <c r="AF57" i="23"/>
  <c r="AH49" i="7"/>
  <c r="AH67" i="23"/>
  <c r="AH17" i="7"/>
  <c r="AH15" i="7"/>
  <c r="AL65" i="23"/>
  <c r="AJ52" i="23"/>
  <c r="AF69" i="7"/>
  <c r="AF57" i="7"/>
  <c r="AD55" i="7"/>
  <c r="AF60" i="23"/>
  <c r="AH68" i="23"/>
  <c r="AD20" i="7"/>
  <c r="AF68" i="23"/>
  <c r="AD29" i="7"/>
  <c r="AL13" i="7"/>
  <c r="AJ51" i="7"/>
  <c r="AD12" i="7"/>
  <c r="AJ60" i="23"/>
  <c r="AJ53" i="7"/>
  <c r="AH58" i="23"/>
  <c r="AF63" i="7"/>
  <c r="AD50" i="23"/>
  <c r="AD51" i="7"/>
  <c r="AF68" i="7"/>
  <c r="AF66" i="7"/>
  <c r="AH51" i="7"/>
  <c r="AD26" i="7"/>
  <c r="AF20" i="7"/>
  <c r="AH61" i="7"/>
  <c r="AL57" i="23"/>
  <c r="AL52" i="7"/>
  <c r="AH66" i="23"/>
  <c r="AJ42" i="7"/>
  <c r="AF19" i="7"/>
  <c r="AD53" i="7"/>
  <c r="AJ34" i="7"/>
  <c r="AD10" i="7"/>
  <c r="AL10" i="7"/>
  <c r="AD27" i="7"/>
  <c r="AJ17" i="7"/>
  <c r="AJ28" i="7"/>
  <c r="AL63" i="7"/>
  <c r="AJ16" i="7"/>
  <c r="AD58" i="7"/>
  <c r="AH59" i="7"/>
  <c r="AF65" i="23"/>
  <c r="AH62" i="23"/>
  <c r="AL42" i="23"/>
  <c r="AD44" i="7"/>
  <c r="AL13" i="23"/>
  <c r="AJ43" i="7"/>
  <c r="AH41" i="23"/>
  <c r="AL60" i="23"/>
  <c r="AJ51" i="23"/>
  <c r="AJ45" i="7"/>
  <c r="AF39" i="23"/>
  <c r="AD33" i="7"/>
  <c r="AD43" i="7"/>
  <c r="AH54" i="23"/>
  <c r="AH50" i="23"/>
  <c r="AD46" i="23"/>
  <c r="AH40" i="23"/>
  <c r="AJ65" i="23"/>
  <c r="AD59" i="23"/>
  <c r="AL23" i="7"/>
  <c r="AJ53" i="23"/>
  <c r="AD11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<sst xmlns="http://schemas.openxmlformats.org/spreadsheetml/2006/main" count="1558" uniqueCount="290">
  <si>
    <t>BID</t>
  </si>
  <si>
    <t>ASK</t>
  </si>
  <si>
    <t>DTSIMI1</t>
  </si>
  <si>
    <t>General Settings</t>
  </si>
  <si>
    <t>Triggers</t>
  </si>
  <si>
    <t>Trigger</t>
  </si>
  <si>
    <t>Currency</t>
  </si>
  <si>
    <t>Contribute</t>
  </si>
  <si>
    <t>SettlementDays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</si>
  <si>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</si>
  <si>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</si>
  <si>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</si>
  <si>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</si>
  <si>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</si>
  <si>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</si>
  <si>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</si>
  <si>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</si>
  <si>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</si>
  <si>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</si>
  <si>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</si>
  <si>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</si>
  <si>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</si>
  <si>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</si>
  <si>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</si>
  <si>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</si>
  <si>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</si>
  <si>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</si>
  <si>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</si>
  <si>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</si>
  <si>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</si>
  <si>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</si>
  <si>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</si>
  <si>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</si>
  <si>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</si>
  <si>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</si>
  <si>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</si>
  <si>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</si>
  <si>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</si>
  <si>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</si>
  <si>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</si>
  <si>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</si>
  <si>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</si>
  <si>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</si>
  <si>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</si>
  <si>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</si>
  <si>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</si>
  <si>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</si>
  <si>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</si>
  <si>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</si>
  <si>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</si>
  <si>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</si>
  <si>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</si>
  <si>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</si>
  <si>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</si>
  <si>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</si>
  <si>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</si>
  <si>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</si>
  <si>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</si>
  <si>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</si>
  <si>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</si>
  <si>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</si>
  <si>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</si>
  <si>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</si>
  <si>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</si>
  <si>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</si>
  <si>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</si>
  <si>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</si>
  <si>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</si>
  <si>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</si>
  <si>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</si>
  <si>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</si>
  <si>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</si>
  <si>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</si>
  <si>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</si>
  <si>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</si>
  <si>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</si>
  <si>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</si>
  <si>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</si>
  <si>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</si>
  <si>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</si>
  <si>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</si>
  <si>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</si>
  <si>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</si>
  <si>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</si>
  <si>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</si>
  <si>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</si>
  <si>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</si>
  <si>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</si>
  <si>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</si>
  <si>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</si>
  <si>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</si>
  <si>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</si>
  <si>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</si>
  <si>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</si>
  <si>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</si>
  <si>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</si>
  <si>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</si>
  <si>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</si>
  <si>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</si>
  <si>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</si>
  <si>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</si>
  <si>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</si>
  <si>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</si>
  <si>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</si>
  <si>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</si>
  <si>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</si>
  <si>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</si>
  <si>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</si>
  <si>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</si>
  <si>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</si>
  <si>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</si>
  <si>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</si>
  <si>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</si>
  <si>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</si>
  <si>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</si>
  <si>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</si>
  <si>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</si>
  <si>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</si>
  <si>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</si>
  <si>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</si>
  <si>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</si>
  <si>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</si>
  <si>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</si>
  <si>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</si>
  <si>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</si>
  <si>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</si>
  <si>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</si>
  <si>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</si>
  <si>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</si>
  <si>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</si>
  <si>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</si>
  <si>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</si>
  <si>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</si>
  <si>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</si>
  <si>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</si>
  <si>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</si>
  <si>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</si>
  <si>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</si>
  <si>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</si>
  <si>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</si>
  <si>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</si>
  <si>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</si>
  <si>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</si>
  <si>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</si>
  <si>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</si>
  <si>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</si>
  <si>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</si>
  <si>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</si>
  <si>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</si>
  <si>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</si>
  <si>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</si>
  <si>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</si>
  <si>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</si>
  <si>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</si>
  <si>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</si>
  <si>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</si>
  <si>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</si>
  <si>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</si>
  <si>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</si>
  <si>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</si>
  <si>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</si>
  <si>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</si>
  <si>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</si>
  <si>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</si>
  <si>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</si>
  <si>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</si>
  <si>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</si>
  <si>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</si>
  <si>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</si>
  <si>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</si>
  <si>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</si>
  <si>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</si>
  <si>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</si>
  <si>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</si>
  <si>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</si>
  <si>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</si>
  <si>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</si>
  <si>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</si>
  <si>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</si>
  <si>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</si>
  <si>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</si>
  <si>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</si>
  <si>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</si>
  <si>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</si>
  <si>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</si>
  <si>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</si>
  <si>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</si>
  <si>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</si>
  <si>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</si>
  <si>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</si>
  <si>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</si>
  <si>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</si>
  <si>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</si>
  <si>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</si>
  <si>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</si>
  <si>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</si>
  <si>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</si>
  <si>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</si>
  <si>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</si>
  <si>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</si>
  <si>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</si>
  <si>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</si>
  <si>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</si>
  <si>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</si>
  <si>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</si>
  <si>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</si>
  <si>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</si>
  <si>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</si>
  <si>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</si>
  <si>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</si>
  <si>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</si>
  <si>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</si>
  <si>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</si>
  <si>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</si>
  <si>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</si>
  <si>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</si>
  <si>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</si>
  <si>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</si>
  <si>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</si>
  <si>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</si>
  <si>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</si>
  <si>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</si>
  <si>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</si>
  <si>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</si>
  <si>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</si>
  <si>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</si>
  <si>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</si>
  <si>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</si>
  <si>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</si>
  <si>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</si>
  <si>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</si>
  <si>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</si>
  <si>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</si>
  <si>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</si>
  <si>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</si>
  <si>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</si>
  <si>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</si>
  <si>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</si>
  <si>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</si>
  <si>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</si>
  <si>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</si>
  <si>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</si>
  <si>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</si>
  <si>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</si>
  <si>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</si>
  <si>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</si>
  <si>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</si>
  <si>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</si>
  <si>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</si>
  <si>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</si>
  <si>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</si>
  <si>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</si>
  <si>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</si>
  <si>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</si>
  <si>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</si>
  <si>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</si>
  <si>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</si>
  <si>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</si>
  <si>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</si>
  <si>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</si>
  <si>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</si>
  <si>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</si>
  <si>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</si>
  <si>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</si>
  <si>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</si>
  <si>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</si>
  <si>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</si>
  <si>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</si>
  <si>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</si>
  <si>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</si>
  <si>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</si>
  <si>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</si>
  <si>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</si>
  <si>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</si>
  <si>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</si>
  <si>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</si>
  <si>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</si>
  <si>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</si>
  <si>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</si>
  <si>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</si>
  <si>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</si>
  <si>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</si>
  <si>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</si>
  <si>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</si>
  <si>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</si>
  <si>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FirstLiborFixingDate</t>
  </si>
  <si>
    <t>SwapFixingDate</t>
  </si>
  <si>
    <t>JoinHolidays</t>
  </si>
  <si>
    <t>JoinCalendarRule</t>
  </si>
  <si>
    <t>JoinCalendar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</si>
</sst>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5" fontId="10" fillId="2" borderId="13" xfId="0" applyNumberFormat="1" applyFont="1" applyFill="1" applyBorder="1" applyAlignment="1">
      <alignment horizontal="center" vertical="center" textRotation="255"/>
    </xf>
    <xf numFmtId="171" fontId="10" fillId="5" borderId="0" xfId="0" applyNumberFormat="1" applyFont="1" applyFill="1" applyBorder="1"/>
    <xf numFmtId="0" fontId="3" fillId="3" borderId="15" xfId="0" applyFont="1" applyFill="1" applyBorder="1" applyAlignment="1">
      <alignment horizontal="left" vertical="center"/>
    </xf>
    <xf numFmtId="167" fontId="10" fillId="0" borderId="14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right" vertical="center"/>
    </xf>
    <xf numFmtId="167" fontId="10" fillId="0" borderId="15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right" vertical="center"/>
    </xf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8" xfId="0" applyFont="1" applyFill="1" applyBorder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8" borderId="19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1.5501781690000001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1.8093922750000002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2.1694560380000003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1.9371699050000002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1.5010000000000001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1.7966907940000001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2.1800000000000002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1.976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1.4442876560000002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1.7821270220000001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2.1897031360000003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2.0102020600000001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0.504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1.381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1.7650000000000001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1.869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1.8880000000000001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1.89202812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23"/>
      </tp>
      <tp>
        <v>1.8946515830000001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23"/>
      </tp>
      <tp>
        <v>2.1983954640000003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2.0406441160000002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0.49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1.695075117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1.849105776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2.210024357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0" s="23"/>
      </tp>
      <tp>
        <v>2.2240000000000002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9" s="23"/>
      </tp>
      <tp>
        <v>2.2389999999999999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2.2189999999999999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2.1120000000000001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1.7190000000000001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1.6650405180000001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1.8404527410000002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2.1294735820000001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1.784460688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1.8350872020000002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1.7588043710000001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1.672494495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1.5723859340000002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1.4705229350000002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1.3597460190000001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1.23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23"/>
      </tp>
      <tp>
        <v>1.9683870560000001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1.9041154120000001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1.631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1.831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2.1445462210000001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1.843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1.5930709630000002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1.8207394920000002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2.1577156560000001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1.8934380960000001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1.7449165150000001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1.8634071300000001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1.9683870560000001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1.9041154120000001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1.672494495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1.5723859340000002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1.8350872020000002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1.7588043710000001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1.23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23"/>
      </tp>
      <tp>
        <v>1.4705229350000002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1.3597460190000001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1.7216743060000002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1.8567485330000002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2.206177571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2.067638112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2.2130565140000003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2.0912935250000002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1.8634071300000001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1.7449165150000001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>
        <v>1.8567485330000002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1.7216743060000002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</main>
    <main first="pldatasource.rtgetrtdserver">
      <tp>
        <v>2.067638112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2.206177571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2.0912935250000002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2.2130565140000003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1.7821270220000001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1.4442876560000002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0.504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  <tp>
        <v>2.0102020600000001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2.1897031360000003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1.869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1.7650000000000001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1.381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1.8946515830000001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23"/>
      </tp>
      <tp>
        <v>1.89202812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23"/>
      </tp>
      <tp>
        <v>1.8880000000000001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0.49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2.0406441160000002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2.1983954640000003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1.8093922750000002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1.5501781690000001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</main>
    <main first="pldatasource.rtgetrtdserver">
      <tp>
        <v>1.9371699050000002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2.1694560380000003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1.7966907940000001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1.5010000000000001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1.976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2.1800000000000002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1.831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1.631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1.843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2.1445462210000001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1.8207394920000002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1.5930709630000002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1.8934380960000001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2.1577156560000001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1.849105776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1.695075117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>
        <v>2.2389999999999999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2.2240000000000002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9" s="23"/>
      </tp>
      <tp>
        <v>2.210024357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70" s="23"/>
      </tp>
      <tp>
        <v>1.7190000000000001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2.1120000000000001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2.2189999999999999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1.8404527410000002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1.6650405180000001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  <tp>
        <v>1.784460688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2.1294735820000001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</main>
    <main first="pldatasource.rtgetrtdserver">
      <tp>
        <v>2.463080127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2.0936871780000001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2.5626863870000003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2.4442358999999998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2.0268992030000001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2.553736512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7"/>
      </tp>
      <tp>
        <v>2.567709969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7"/>
      </tp>
      <tp>
        <v>2.5827066860000003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2.4938311799999999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2.2062770950000004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2.4794299660000001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2.1535469440000004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2.5186058259999999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2.2967562830000001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0.44494666200000005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0.60192596900000006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0.81727571900000007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0.62080000000000002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0.44823916900000005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0.83430000000000004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0.44110426100000005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0.60320631400000002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0.81857868500000008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0.63660000000000005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0.46302959800000004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0.8488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0.44980000000000003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0.60114385100000001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0.81646820900000006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0.60589999999999999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0.43879999900000005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0.82130000000000003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0.69366768700000003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0.51709280300000005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0.90460000000000007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2.506806101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2.2538143850000001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0.71055453300000004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0.53638921100000003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0.92439082500000003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0.65598133200000008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0.48241895900000004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0.86920000000000008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0.67573095999999999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0.49843217500000003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0.8851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0.72620103499999999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0.553523459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0.94265533200000007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0.74344329600000003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0.57118378700000005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0.96039968200000003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2.5395283050000002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2.3673956550000002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0.94265533200000007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0.553523459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0.72620103499999999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0.96039968200000003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0.57118378700000005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0.74344329600000003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0.81646820900000006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0.60114385100000001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0.44980000000000003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0.82130000000000003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0.43879999900000005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0.60589999999999999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0.81727571900000007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0.60192596900000006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0.44494666200000005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0.83430000000000004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0.44823916900000005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0.62080000000000002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0.81857868500000008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0.60320631400000002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0.44110426100000005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0.8488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0.46302959800000004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0.63660000000000005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0.86920000000000008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0.48241895900000004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0.65598133200000008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0.8851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0.49843217500000003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0.67573095999999999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0.90460000000000007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0.51709280300000005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0.69366768700000003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0.92439082500000003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0.53638921100000003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0.71055453300000004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2.5296082280000003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2.3343050280000002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2.5561488370000003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2.4219731390000003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0.54590382700000006</v>
        <stp/>
        <stp>_x0019_USD_CURVE_DEP1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0.71908621300000009</v>
        <stp/>
        <stp>_x0019_USD_CURVE_DEP3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0.9344719050000001</v>
        <stp/>
        <stp>_x0019_USD_CURVE_DEP6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>
        <v>2.5483964980000002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2.3965358120000002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 t="s">
        <v>#N/A RIC Not Found</v>
        <stp/>
        <stp>_x0019_USD_CURVE_DEP1M_#20170315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RIC Not Found</v>
        <stp/>
        <stp>_x0019_USD_CURVE_DEP3M_#20170315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RIC Not Found</v>
        <stp/>
        <stp>_x0019_USD_CURVE_DEP6M_#20170315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 t="s">
        <v>#N/A RIC Not Found</v>
        <stp/>
        <stp>_x0019_USD_CURVE_DEP1M_#20170315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RIC Not Found</v>
        <stp/>
        <stp>_x0019_USD_CURVE_DEP3M_#20170315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RIC Not Found</v>
        <stp/>
        <stp>_x0019_USD_CURVE_DEP6M_#20170315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2.4219731390000003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2.5561488370000003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>
        <v>0.54590382700000006</v>
        <stp/>
        <stp>_x0019_USD_CURVE_DEP1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0.71908621300000009</v>
        <stp/>
        <stp>_x0019_USD_CURVE_DEP3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0.9344719050000001</v>
        <stp/>
        <stp>_x0019_USD_CURVE_DEP6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2.3965358120000002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2.5483964980000002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</main>
    <main first="pldatasource.rtgetrtdserver">
      <tp>
        <v>1.9041154120000001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1.9683870560000001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1.7588043710000001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1.8350872020000002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1.5723859340000002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1.672494495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1.3597460190000001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1.4705229350000002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1.23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7"/>
      </tp>
    </main>
    <main first="pldatasource.rtgetrtdserver">
      <tp>
        <v>99.089003699999992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99.370663286999999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98.912984804000004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99.203265615000007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98.981462180000008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98.745152535000003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99.025509711000012</v>
        <stp/>
        <stp>_x0012_USD_CURVE_FUT1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99.277898358000002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98.839742508</v>
        <stp/>
        <stp>_x0012_USD_CURVE_FUT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99.109069307000013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98.909679069000006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98.667019997000011</v>
        <stp/>
        <stp>_x0012_USD_CURVE_FUT6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 t="s">
        <v>#N/A RIC Not Found</v>
        <stp/>
        <stp>_x0012_USD_CURVE_FUT6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>_x0012_USD_CURVE_FUT3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>_x0012_USD_CURVE_FUT1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99.150060080000003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99.49051403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98.981454834000004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99.312679274000004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99.103634133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98.813060311000001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98.628144847000002</v>
        <stp/>
        <stp>_x0012_USD_CURVE_FUT6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98.786785202000004</v>
        <stp/>
        <stp>_x0012_USD_CURVE_FUT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98.958530665000012</v>
        <stp/>
        <stp>_x0012_USD_CURVE_FUT1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99.21402413700001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99.045057103000005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98.853273123000008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</main>
    <main first="pldatasource.rtgetrtdserver">
      <tp>
        <v>98.813060311000001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99.103634133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99.312679274000004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98.981454834000004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99.49051403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99.150060080000003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RIC Not Found</v>
        <stp/>
        <stp>_x0012_USD_CURVE_FUT1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>_x0012_USD_CURVE_FUT3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0012_USD_CURVE_FUT6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98.853273123000008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99.045057103000005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99.21402413700001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98.958530665000012</v>
        <stp/>
        <stp>_x0012_USD_CURVE_FUT1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98.786785202000004</v>
        <stp/>
        <stp>_x0012_USD_CURVE_FUT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98.628144847000002</v>
        <stp/>
        <stp>_x0012_USD_CURVE_FUT6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98.667019997000011</v>
        <stp/>
        <stp>_x0012_USD_CURVE_FUT6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98.909679069000006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99.109069307000013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98.839742508</v>
        <stp/>
        <stp>_x0012_USD_CURVE_FUT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99.277898358000002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99.025509711000012</v>
        <stp/>
        <stp>_x0012_USD_CURVE_FUT1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98.745152535000003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98.981462180000008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99.203265615000007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98.912984804000004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99.370663286999999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99.089003699999992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2.2062770950000004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2.4938311799999999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2.1535469440000004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2.4794299660000001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>
        <v>2.0936871780000001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2.463080127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  <tp>
        <v>2.0268992030000001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2.4442358999999998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>
        <v>2.5626863870000003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2.5827066860000003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2.567709969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7"/>
      </tp>
      <tp>
        <v>2.553736512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7"/>
      </tp>
      <tp>
        <v>1.5723859340000002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1.672494495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1.7588043710000001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1.8350872020000002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1.23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1.3597460190000001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1.4705229350000002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1.9041154120000001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1.9683870560000001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2.3673956550000002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2.5395283050000002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  <tp t="s">
        <v>#N/A RIC Not Found</v>
        <stp/>
        <stp>_x001A_USD_CURVE_DEP12M_#20170315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2.3343050280000002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2.5296082280000003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</main>
    <main first="pldatasource.rtgetrtdserver">
      <tp>
        <v>1.2062879980000001</v>
        <stp/>
        <stp>_x001A_USD_CURVE_DEP12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2.2967562830000001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2.5186058259999999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  <tp>
        <v>1.2062879980000001</v>
        <stp/>
        <stp>_x001A_USD_CURVE_DEP12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2.2538143850000001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2.506806101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 t="s">
        <v>#N/A RIC Not Found</v>
        <stp/>
        <stp>_x001A_USD_CURVE_DEP12M_#20170315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0.49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1.8946515830000001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7"/>
      </tp>
      <tp>
        <v>1.8880000000000001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1.89202812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7"/>
      </tp>
      <tp>
        <v>1.7650000000000001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1.869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1.381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</main>
    <main first="pldatasource.rtgetrtdserver">
      <tp>
        <v>1.2390000000000001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1.3120000000000001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0.64400000000000002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0.76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0.51600000000000001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1.071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1.1599999999999999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0.87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0.97199999999999998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0.61299999999999999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0.504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1.7821270220000001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1.4442876560000002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0.371042706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0.36734098300000001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0.36523614200000004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1.7966907940000001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1.5010000000000001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  <tp>
        <v>1.8093922750000002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1.5501781690000001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1.8207394920000002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1.5930709630000002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2.3720852180000001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2.0666832340000001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2.2189999999999999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2.03125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2.1897031360000003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2.3082170209999999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2.0388022299999999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2.1983954640000003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2.2948829230000003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2.045634551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2.1694560380000003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2.279663765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2.0517193750000002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2.1800000000000002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2.262009543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1.9869743999999998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2.1445462210000001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2.3503557560000004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2.0009764699999999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2.1577156560000001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2.3411876299999999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2.0126966960000003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2.1120000000000001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2.3310509260000001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2.022635014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2.1294735820000001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2.3201847630000003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2.365867041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2.35859738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2.0572122140000002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2.0621882469999999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2.206177571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2.2130565140000003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1.8281864620000001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2.0102020600000001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2.0372377190000002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1.8541630520000001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2.0406441160000002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1.9848206290000001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1.8983986220000002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1.9371699050000002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1.9241463090000002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1.9260543030000001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1.976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1.8567377660000002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1.594265292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1.843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2.18940125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1.6617321920000001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1.8934380960000001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2.1581771020000002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1.7332266730000001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1.7190000000000001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2.1229189559999999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1.7843413020000001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1.784460688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2.082681558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2.241024543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2.2169656940000002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1.9497586760000001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1.969882608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2.067638112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2.0912935250000002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2.363121053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2.0569157760000003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2.210024357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7"/>
      </tp>
      <tp>
        <v>2.377095722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2.071670015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2.2240000000000002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7"/>
      </tp>
      <tp>
        <v>2.3920942599999999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2.086671929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2.2389999999999999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0.55000000000000004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1.831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1.631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1.8404527410000002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1.6650405180000001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</main>
    <main first="pldatasource.rtgetrtdserver">
      <tp>
        <v>1.849105776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1.695075117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  <tp>
        <v>0.58099999999999996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1.8567485330000002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1.7216743060000002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</main>
    <main first="pldatasource.rtgetrtdserver">
      <tp>
        <v>1.8634071300000001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1.7449165150000001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  <tp>
        <v>2.241024543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2.2169656940000002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2.067638112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2.0912935250000002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1.9497586760000001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1.969882608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1.8983986220000002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1.9371699050000002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1.9241463090000002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1.9260543030000001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1.976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1.8567377660000002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1.8281864620000001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2.0102020600000001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2.0372377190000002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1.8541630520000001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2.0406441160000002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1.9848206290000001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1.7332266730000001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1.7190000000000001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2.1229189559999999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1.7843413020000001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1.784460688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2.082681558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1.594265292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1.843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2.18940125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1.6617321920000001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1.8934380960000001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2.1581771020000002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2.365867041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2.35859738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2.206177571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2.2130565140000003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2.0572122140000002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2.0621882469999999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2.045634551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2.1694560380000003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2.279663765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2.0517193750000002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2.1800000000000002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2.262009543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2.03125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2.1897031360000003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2.3082170209999999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2.0388022299999999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2.1983954640000003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2.2948829230000003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2.0126966960000003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2.1120000000000001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2.3310509260000001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2.022635014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2.1294735820000001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2.3201847630000003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1.9869743999999998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2.1445462210000001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2.3503557560000004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2.0009764699999999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2.1577156560000001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2.3411876299999999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2.3720852180000001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2.2189999999999999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2.0666832340000001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2.3920942599999999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2.2389999999999999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2.086671929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2.377095722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2.2240000000000002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>
        <v>2.071670015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2.363121053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2.210024357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>
        <v>2.0569157760000003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</main>
    <main first="pldatasource.rtgetrtdserver">
      <tp>
        <v>0.36734098300000001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0.36523614200000004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0.371042706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0.51600000000000001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0.64400000000000002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0.76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0.87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0.97199999999999998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1.071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1.1599999999999999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1.2390000000000001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1.3120000000000001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0.58099999999999996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1.7216743060000002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1.8567485330000002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1.7449165150000001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1.8634071300000001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0.46200000000000002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0.47600000000000003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0.376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0.38700000000000001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0.36499999999999999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0.432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0.44600000000000001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0.40300000000000002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0.41699999999999998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1.5010000000000001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1.7966907940000001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1.5501781690000001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1.8093922750000002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0.49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1.89202812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7"/>
      </tp>
      <tp>
        <v>1.8880000000000001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1.8946515830000001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7"/>
      </tp>
      <tp>
        <v>1.381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1.869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1.7650000000000001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0.504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0.61299999999999999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1.4442876560000002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1.7821270220000001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0.36499999999999999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0.376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0.38700000000000001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0.40300000000000002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0.41699999999999998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0.432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0.44600000000000001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0.46200000000000002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0.47600000000000003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1.6650405180000001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1.8404527410000002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1.695075117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1.849105776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1.5930709630000002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1.8207394920000002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0.55000000000000004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1.631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1.831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2.1535469440000004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2.4794299660000001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</main>
    <main first="pldatasource.rtgetrtdserver">
      <tp>
        <v>2.2062770950000004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2.4938311799999999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  <tp>
        <v>2.567709969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23"/>
      </tp>
      <tp>
        <v>2.5827066860000003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2.553736512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23"/>
      </tp>
      <tp>
        <v>2.0268992030000001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2.5626863870000003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2.4442358999999998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>
        <v>2.0936871780000001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2.463080127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1.286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1.1759999999999999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1.486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1.391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0.96377177600000008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5" s="23"/>
      </tp>
      <tp>
        <v>1.0580000000000001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1.021538351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1.6480000000000001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1.57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2.3343050280000002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2.5296082280000003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>
        <v>2.3673956550000002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2.5395283050000002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</main>
    <main first="pldatasource.rtgetrtdserver">
      <tp>
        <v>0.38700000000000001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0.376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0.36499999999999999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0.44600000000000001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0.432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0.41699999999999998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0.40300000000000002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0.47600000000000003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0.46200000000000002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</main>
    <main first="pldatasource.rtgetrtdserver">
      <tp>
        <v>2.2538143850000001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2.506806101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  <tp>
        <v>2.2967562830000001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2.5186058259999999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2.3965358120000002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2.5483964980000002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0.47600000000000003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0.46200000000000002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0.36499999999999999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0.38700000000000001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0.376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0.41699999999999998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0.40300000000000002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0.44600000000000001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0.432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2.4219731390000003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2.5561488370000003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1.6480000000000001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1.57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1.486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1.391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1.286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1.1759999999999999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1.0580000000000001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1.021538351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0.96377177600000008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5" s="23"/>
      </tp>
    </main>
    <main first="pldatasource.rtgetrtdserver">
      <tp>
        <v>2.5483964980000002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2.3965358120000002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0.371042706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0.36523614200000004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0.36734098300000001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2.5561488370000003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2.4219731390000003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0.76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0.64400000000000002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0.51600000000000001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1.1599999999999999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1.071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0.97199999999999998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0.87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1.3120000000000001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1.2390000000000001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2.363121053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23"/>
      </tp>
      <tp>
        <v>2.0569157760000003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3"/>
      </tp>
      <tp>
        <v>2.210024357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23"/>
      </tp>
      <tp>
        <v>2.3920942599999999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2.086671929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2.2389999999999999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2.377095722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23"/>
      </tp>
      <tp>
        <v>2.071670015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3"/>
      </tp>
      <tp>
        <v>2.2240000000000002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23"/>
      </tp>
      <tp>
        <v>2.35859738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2.365867041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2.0621882469999999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2.0572122140000002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2.2130565140000003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2.206177571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2.0388022299999999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2.1983954640000003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2.2948829230000003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2.03125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2.1897031360000003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2.3082170209999999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2.0517193750000002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2.1800000000000002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2.262009543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2.045634551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2.1694560380000003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2.279663765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2.0009764699999999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2.1577156560000001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2.3411876299999999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1.9869743999999998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2.1445462210000001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2.3503557560000004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2.022635014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2.1294735820000001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2.3201847630000003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2.0126966960000003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2.1120000000000001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2.3310509260000001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2.3720852180000001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2.0666832340000001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2.2189999999999999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2.2169656940000002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2.241024543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1.969882608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1.9497586760000001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2.0912935250000002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2.067638112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1.8541630520000001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2.0406441160000002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1.9848206290000001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1.8281864620000001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2.0102020600000001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2.0372377190000002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1.9260543030000001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1.976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1.8567377660000002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1.8983986220000002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1.9371699050000002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1.9241463090000002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1.6617321920000001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1.8934380960000001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2.1581771020000002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1.594265292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1.843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2.18940125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1.7843413020000001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1.784460688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2.082681558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1.7332266730000001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1.7190000000000001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2.1229189559999999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2.553736512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23"/>
      </tp>
      <tp>
        <v>2.5827066860000003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2.567709969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23"/>
      </tp>
      <tp>
        <v>2.4442358999999998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2.5626863870000003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2.0268992030000001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2.463080127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2.0936871780000001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2.4794299660000001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2.1535469440000004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2.377095722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23"/>
      </tp>
      <tp>
        <v>2.2240000000000002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23"/>
      </tp>
      <tp>
        <v>2.071670015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3"/>
      </tp>
      <tp>
        <v>2.3920942599999999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2.2389999999999999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2.086671929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2.363121053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23"/>
      </tp>
      <tp>
        <v>2.210024357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23"/>
      </tp>
      <tp>
        <v>2.0569157760000003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3"/>
      </tp>
      <tp>
        <v>1.9260543030000001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1.976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1.8567377660000002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1.8983986220000002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1.9371699050000002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1.9241463090000002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1.8541630520000001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2.0406441160000002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1.9848206290000001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1.8281864620000001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2.0102020600000001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2.0372377190000002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1.7843413020000001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1.784460688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2.082681558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1.7332266730000001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1.7190000000000001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2.1229189559999999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1.6617321920000001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1.8934380960000001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2.1581771020000002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1.594265292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1.843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2.18940125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2.2169656940000002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2.241024543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2.0912935250000002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2.067638112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1.969882608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1.9497586760000001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2.3720852180000001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2.2189999999999999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2.0666832340000001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2.0517193750000002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2.1800000000000002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2.262009543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2.045634551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2.1694560380000003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2.279663765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2.0388022299999999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2.1983954640000003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2.2948829230000003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2.03125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2.1897031360000003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2.3082170209999999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2.022635014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2.1294735820000001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2.3201847630000003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2.0126966960000003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2.1120000000000001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2.3310509260000001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2.0009764699999999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2.1577156560000001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2.3411876299999999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1.9869743999999998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2.1445462210000001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2.3503557560000004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2.35859738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2.365867041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2.2130565140000003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2.206177571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2.0621882469999999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2.0572122140000002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2.4938311799999999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2.2062770950000004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2.506806101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2.2538143850000001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2.5186058259999999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2.2967562830000001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2.5296082280000003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2.3343050280000002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1.3120000000000001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1.2390000000000001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0.51600000000000001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0.76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0.64400000000000002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0.97199999999999998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0.87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1.1599999999999999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1.071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2.5395283050000002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2.3673956550000002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0.36523614200000004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0.36734098300000001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0.371042706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1.2683088150000001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1.391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1.5346068940000002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1.371299931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1.486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1.6256348810000001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1.0143659090000001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1.1759999999999999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1.335557882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1.131330693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1.286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1.435578389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0.76445683500000006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0.93862140700000007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1.130132838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0.91140784800000008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1.0580000000000001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1.2325385790000001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0.61699999100000003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0.78882703400000009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0.99794097000000004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1.4602844450000001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1.57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1.7076655980000002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1.54327452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1.6480000000000001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1.7846984770000001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1.7076655980000002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1.57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1.4602844450000001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1.7846984770000001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1.6480000000000001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1.54327452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1.335557882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1.1759999999999999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1.0143659090000001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1.435578389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1.286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1.131330693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1.5346068940000002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1.391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1.2683088150000001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1.6256348810000001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1.486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1.371299931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0.99794097000000004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0.78882703400000009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0.61699999100000003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1.130132838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0.93862140700000007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0.76445683500000006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1.2325385790000001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1.0580000000000001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0.91140784800000008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1.2029873340000001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1.1959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1.1889000000000001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1.1839999999999999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1.1695709940000001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1.1761000000000001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1.169278391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1.1724000000000001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1.1690497280000001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1.1701000000000001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1.2146000000000001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1.2088580440000001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1.2146000000000001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1.2088580440000001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1.1889000000000001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1.1839999999999999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1.2029873340000001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1.1959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1.1690497280000001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1.1701000000000001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1.1695709940000001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1.1761000000000001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1.169278391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1.1724000000000001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1.54327452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1.6480000000000001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1.7846984770000001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1.4602844450000001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1.57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1.7076655980000002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1.371299931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1.486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1.6256348810000001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1.2683088150000001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1.391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1.5346068940000002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1.131330693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1.286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1.435578389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1.0143659090000001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1.1759999999999999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1.335557882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0.91140784800000008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1.0580000000000001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1.2325385790000001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0.76445683500000006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0.93862140700000007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1.130132838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0.61699999100000003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3"/>
      </tp>
      <tp>
        <v>0.78882703400000009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23"/>
      </tp>
      <tp>
        <v>0.99794097000000004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23"/>
      </tp>
      <tp>
        <v>1.435578389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1.286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1.131330693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1.335557882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1.1759999999999999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1.0143659090000001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1.6256348810000001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1.486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1.371299931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1.5346068940000002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1.391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1.2683088150000001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0.99794097000000004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23"/>
      </tp>
      <tp>
        <v>0.78882703400000009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23"/>
      </tp>
      <tp>
        <v>0.61699999100000003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3"/>
      </tp>
      <tp>
        <v>1.2325385790000001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1.0580000000000001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0.91140784800000008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1.130132838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0.93862140700000007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0.76445683500000006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1.7846984770000001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1.6480000000000001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1.54327452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1.7076655980000002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1.57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1.4602844450000001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98.769087812000009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98.544278871000003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>
        <v>98.745683266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98.35730636400001</v>
        <stp/>
        <stp>_x0013_USD_CURVE_FUT12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 t="s">
        <v>#N/A RIC Not Found</v>
        <stp/>
        <stp>_x0013_USD_CURVE_FUT12M_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7"/>
      </tp>
      <tp>
        <v>98.809094576000007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98.689132760000007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98.183587838000008</v>
        <stp/>
        <stp>_x0013_USD_CURVE_FUT12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98.740410665000013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98.689132760000007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98.809094576000007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RIC Not Found</v>
        <stp/>
        <stp>_x0013_USD_CURVE_FUT12M_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98.740410665000013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98.183587838000008</v>
        <stp/>
        <stp>_x0013_USD_CURVE_FUT12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98.35730636400001</v>
        <stp/>
        <stp>_x0013_USD_CURVE_FUT12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98.745683266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98.544278871000003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98.769087812000009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43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N6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Quote ID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5" customWidth="1"/>
    <col min="3" max="4" width="26.7109375" style="155" customWidth="1"/>
    <col min="5" max="5" width="2.7109375" style="155" customWidth="1"/>
    <col min="6" max="6" width="3.42578125" style="155" customWidth="1"/>
    <col min="7" max="16384" width="9.140625" style="155"/>
  </cols>
  <sheetData>
    <row r="1" spans="2:5" s="2" customFormat="1" ht="12" thickBot="1" x14ac:dyDescent="0.25">
      <c r="B1" s="2" t="str">
        <f>_xll.qlxlVersion(TRUE)</f>
        <v>QuantLibXL 1.7.0 - MS VC++ (version unknown) - Multithreaded Dynamic Runtime library - Release Configuration - Apr 26 2016 16:16:38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91">
        <v>42488.732187499998</v>
      </c>
      <c r="E4" s="127"/>
    </row>
    <row r="5" spans="2:5" s="2" customFormat="1" ht="11.25" x14ac:dyDescent="0.2">
      <c r="B5" s="125"/>
      <c r="C5" s="146" t="s">
        <v>10</v>
      </c>
      <c r="D5" s="147">
        <f>_xll.qlSettingsEvaluationDate(Trigger)</f>
        <v>42492</v>
      </c>
      <c r="E5" s="127"/>
    </row>
    <row r="6" spans="2:5" s="2" customFormat="1" ht="11.25" x14ac:dyDescent="0.2">
      <c r="B6" s="125"/>
      <c r="C6" s="146" t="s">
        <v>285</v>
      </c>
      <c r="D6" s="147">
        <f>_xll.qlCalendarAdjust(LiborCalendar,EvaluationDate)</f>
        <v>42493</v>
      </c>
      <c r="E6" s="127"/>
    </row>
    <row r="7" spans="2:5" s="2" customFormat="1" ht="11.25" x14ac:dyDescent="0.2">
      <c r="B7" s="125"/>
      <c r="C7" s="146" t="s">
        <v>286</v>
      </c>
      <c r="D7" s="147">
        <f>_xll.qlCalendarAdjust(JoinCalendar,FirstLiborFixingDate)</f>
        <v>42493</v>
      </c>
      <c r="E7" s="127"/>
    </row>
    <row r="8" spans="2:5" x14ac:dyDescent="0.25">
      <c r="B8" s="125"/>
      <c r="C8" s="148" t="s">
        <v>42</v>
      </c>
      <c r="D8" s="149">
        <f>[1]!TriggerCounter</f>
        <v>43</v>
      </c>
      <c r="E8" s="127"/>
    </row>
    <row r="9" spans="2:5" ht="14.25" thickBot="1" x14ac:dyDescent="0.3">
      <c r="B9" s="122"/>
      <c r="C9" s="123"/>
      <c r="D9" s="123"/>
      <c r="E9" s="124"/>
    </row>
    <row r="10" spans="2:5" s="2" customFormat="1" ht="14.25" thickBot="1" x14ac:dyDescent="0.3">
      <c r="B10" s="155"/>
      <c r="C10" s="155"/>
      <c r="D10" s="155"/>
      <c r="E10" s="155"/>
    </row>
    <row r="11" spans="2:5" s="2" customFormat="1" ht="16.5" x14ac:dyDescent="0.3">
      <c r="B11" s="31" t="s">
        <v>3</v>
      </c>
      <c r="C11" s="32"/>
      <c r="D11" s="32"/>
      <c r="E11" s="33"/>
    </row>
    <row r="12" spans="2:5" s="2" customFormat="1" ht="11.25" x14ac:dyDescent="0.2">
      <c r="B12" s="125"/>
      <c r="C12" s="126"/>
      <c r="D12" s="126"/>
      <c r="E12" s="127"/>
    </row>
    <row r="13" spans="2:5" s="2" customFormat="1" ht="11.25" x14ac:dyDescent="0.2">
      <c r="B13" s="125"/>
      <c r="C13" s="145" t="s">
        <v>6</v>
      </c>
      <c r="D13" s="150" t="s">
        <v>101</v>
      </c>
      <c r="E13" s="127"/>
    </row>
    <row r="14" spans="2:5" s="2" customFormat="1" ht="11.25" x14ac:dyDescent="0.2">
      <c r="B14" s="125"/>
      <c r="C14" s="146" t="s">
        <v>56</v>
      </c>
      <c r="D14" s="151" t="str">
        <f>Currency&amp;"ON"</f>
        <v>USDON</v>
      </c>
      <c r="E14" s="127"/>
    </row>
    <row r="15" spans="2:5" s="2" customFormat="1" ht="11.25" x14ac:dyDescent="0.2">
      <c r="B15" s="125"/>
      <c r="C15" s="146" t="s">
        <v>9</v>
      </c>
      <c r="D15" s="152" t="str">
        <f>PROPER(Currency)&amp;IF(UPPER(Currency)="EUR","","L")&amp;"ibor"</f>
        <v>UsdLibor</v>
      </c>
      <c r="E15" s="127"/>
    </row>
    <row r="16" spans="2:5" s="2" customFormat="1" ht="11.25" x14ac:dyDescent="0.2">
      <c r="B16" s="125"/>
      <c r="C16" s="146" t="s">
        <v>8</v>
      </c>
      <c r="D16" s="153">
        <v>2</v>
      </c>
      <c r="E16" s="127"/>
    </row>
    <row r="17" spans="2:5" s="2" customFormat="1" ht="11.25" x14ac:dyDescent="0.2">
      <c r="B17" s="125"/>
      <c r="C17" s="146" t="s">
        <v>108</v>
      </c>
      <c r="D17" s="153">
        <v>0</v>
      </c>
      <c r="E17" s="127"/>
    </row>
    <row r="18" spans="2:5" s="2" customFormat="1" ht="11.25" x14ac:dyDescent="0.2">
      <c r="B18" s="125"/>
      <c r="C18" s="146" t="s">
        <v>53</v>
      </c>
      <c r="D18" s="152" t="s">
        <v>103</v>
      </c>
      <c r="E18" s="127"/>
    </row>
    <row r="19" spans="2:5" s="2" customFormat="1" ht="11.25" x14ac:dyDescent="0.2">
      <c r="B19" s="125"/>
      <c r="C19" s="146" t="s">
        <v>54</v>
      </c>
      <c r="D19" s="152" t="s">
        <v>102</v>
      </c>
      <c r="E19" s="127"/>
    </row>
    <row r="20" spans="2:5" s="2" customFormat="1" ht="11.25" x14ac:dyDescent="0.2">
      <c r="B20" s="125"/>
      <c r="C20" s="146" t="s">
        <v>288</v>
      </c>
      <c r="D20" s="152" t="s">
        <v>287</v>
      </c>
      <c r="E20" s="127"/>
    </row>
    <row r="21" spans="2:5" s="2" customFormat="1" ht="11.25" x14ac:dyDescent="0.2">
      <c r="B21" s="125"/>
      <c r="C21" s="146" t="s">
        <v>289</v>
      </c>
      <c r="D21" s="152" t="str">
        <f>D20&amp;"("&amp;LiborCalendar&amp;","&amp;LocalCalendar&amp;")"</f>
        <v>JoinHolidays(UnitedKingdom::Exchange,UnitedStates::Settlement)</v>
      </c>
      <c r="E21" s="127"/>
    </row>
    <row r="22" spans="2:5" s="2" customFormat="1" ht="11.25" x14ac:dyDescent="0.2">
      <c r="B22" s="125"/>
      <c r="C22" s="148" t="s">
        <v>38</v>
      </c>
      <c r="D22" s="154" t="s">
        <v>39</v>
      </c>
      <c r="E22" s="127"/>
    </row>
    <row r="23" spans="2:5" s="2" customFormat="1" ht="12" thickBot="1" x14ac:dyDescent="0.25">
      <c r="B23" s="122"/>
      <c r="C23" s="123"/>
      <c r="D23" s="123"/>
      <c r="E23" s="124"/>
    </row>
    <row r="24" spans="2:5" s="2" customFormat="1" x14ac:dyDescent="0.25">
      <c r="B24" s="155"/>
      <c r="C24" s="155"/>
      <c r="D24" s="155"/>
      <c r="E24" s="155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4"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3">
      <formula1>"EUR,USD,GBP,JPY,CHF,AUD,CNY,CNH,HKD,RMB"</formula1>
    </dataValidation>
    <dataValidation type="list" allowBlank="1" showInputMessage="1" showErrorMessage="1" sqref="D20">
      <formula1>"JoinBusinessDays,JoinHolidays"</formula1>
    </dataValidation>
  </dataValidations>
  <pageMargins left="0.7" right="0.7" top="0.75" bottom="0.75" header="0.3" footer="0.3"/>
  <pageSetup paperSize="9" orientation="portrait" r:id="rId1"/>
  <ignoredErrors>
    <ignoredError sqref="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70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7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57</v>
      </c>
      <c r="C4" s="39"/>
      <c r="D4" s="17"/>
      <c r="E4" s="17"/>
      <c r="F4" s="40"/>
      <c r="G4" s="40"/>
      <c r="H4" s="40"/>
      <c r="I4" s="2" t="s">
        <v>44</v>
      </c>
      <c r="J4" s="129" t="s">
        <v>14</v>
      </c>
      <c r="K4" s="130"/>
      <c r="L4" s="131"/>
      <c r="M4" s="129" t="s">
        <v>16</v>
      </c>
      <c r="N4" s="130"/>
      <c r="O4" s="131"/>
      <c r="P4" s="129" t="s">
        <v>11</v>
      </c>
      <c r="Q4" s="130"/>
      <c r="R4" s="131"/>
      <c r="S4" s="129" t="s">
        <v>20</v>
      </c>
      <c r="T4" s="130"/>
      <c r="U4" s="131"/>
      <c r="V4" s="129" t="s">
        <v>12</v>
      </c>
      <c r="W4" s="130"/>
      <c r="X4" s="131"/>
      <c r="Y4" s="129" t="s">
        <v>284</v>
      </c>
      <c r="Z4" s="130"/>
      <c r="AA4" s="131"/>
      <c r="AB4" s="38" t="s">
        <v>44</v>
      </c>
      <c r="AC4" s="39" t="s">
        <v>14</v>
      </c>
      <c r="AD4" s="40"/>
      <c r="AE4" s="39" t="s">
        <v>16</v>
      </c>
      <c r="AF4" s="40"/>
      <c r="AG4" s="39" t="s">
        <v>11</v>
      </c>
      <c r="AH4" s="40"/>
      <c r="AI4" s="39" t="s">
        <v>20</v>
      </c>
      <c r="AJ4" s="40"/>
      <c r="AK4" s="39" t="s">
        <v>12</v>
      </c>
      <c r="AL4" s="40"/>
      <c r="AM4" s="39" t="s">
        <v>284</v>
      </c>
      <c r="AN4" s="40"/>
    </row>
    <row r="5" spans="1:40" s="18" customFormat="1" ht="11.25" customHeight="1" x14ac:dyDescent="0.2">
      <c r="A5" s="2"/>
      <c r="B5" s="7" t="s">
        <v>55</v>
      </c>
      <c r="C5" s="7" t="s">
        <v>14</v>
      </c>
      <c r="D5" s="7" t="s">
        <v>16</v>
      </c>
      <c r="E5" s="7" t="s">
        <v>11</v>
      </c>
      <c r="F5" s="7" t="s">
        <v>20</v>
      </c>
      <c r="G5" s="7" t="s">
        <v>12</v>
      </c>
      <c r="H5" s="7" t="s">
        <v>284</v>
      </c>
      <c r="I5" s="18" t="s">
        <v>44</v>
      </c>
      <c r="J5" s="19" t="s">
        <v>41</v>
      </c>
      <c r="K5" s="11" t="s">
        <v>0</v>
      </c>
      <c r="L5" s="11" t="s">
        <v>1</v>
      </c>
      <c r="M5" s="19" t="s">
        <v>41</v>
      </c>
      <c r="N5" s="11" t="s">
        <v>0</v>
      </c>
      <c r="O5" s="10" t="s">
        <v>1</v>
      </c>
      <c r="P5" s="19" t="s">
        <v>41</v>
      </c>
      <c r="Q5" s="10" t="s">
        <v>0</v>
      </c>
      <c r="R5" s="10" t="s">
        <v>1</v>
      </c>
      <c r="S5" s="19" t="s">
        <v>41</v>
      </c>
      <c r="T5" s="10" t="s">
        <v>0</v>
      </c>
      <c r="U5" s="10" t="s">
        <v>1</v>
      </c>
      <c r="V5" s="19" t="s">
        <v>41</v>
      </c>
      <c r="W5" s="11" t="s">
        <v>0</v>
      </c>
      <c r="X5" s="11" t="s">
        <v>1</v>
      </c>
      <c r="Y5" s="19" t="s">
        <v>41</v>
      </c>
      <c r="Z5" s="11" t="s">
        <v>0</v>
      </c>
      <c r="AA5" s="11" t="s">
        <v>1</v>
      </c>
      <c r="AB5" s="38" t="s">
        <v>44</v>
      </c>
      <c r="AC5" s="7" t="s">
        <v>45</v>
      </c>
      <c r="AD5" s="7" t="s">
        <v>46</v>
      </c>
      <c r="AE5" s="7" t="s">
        <v>45</v>
      </c>
      <c r="AF5" s="7" t="s">
        <v>46</v>
      </c>
      <c r="AG5" s="7" t="s">
        <v>45</v>
      </c>
      <c r="AH5" s="7" t="s">
        <v>46</v>
      </c>
      <c r="AI5" s="7" t="s">
        <v>45</v>
      </c>
      <c r="AJ5" s="7" t="s">
        <v>46</v>
      </c>
      <c r="AK5" s="7" t="s">
        <v>45</v>
      </c>
      <c r="AL5" s="7" t="s">
        <v>46</v>
      </c>
      <c r="AM5" s="7" t="s">
        <v>45</v>
      </c>
      <c r="AN5" s="7" t="s">
        <v>46</v>
      </c>
    </row>
    <row r="6" spans="1:40" ht="11.25" customHeight="1" x14ac:dyDescent="0.2">
      <c r="A6" s="195" t="s">
        <v>99</v>
      </c>
      <c r="B6" s="48" t="s">
        <v>12</v>
      </c>
      <c r="C6" s="83" t="s">
        <v>44</v>
      </c>
      <c r="D6" s="134" t="s">
        <v>44</v>
      </c>
      <c r="E6" s="83" t="s">
        <v>44</v>
      </c>
      <c r="F6" s="83" t="s">
        <v>44</v>
      </c>
      <c r="G6" s="135" t="s">
        <v>44</v>
      </c>
      <c r="H6" s="135" t="s">
        <v>44</v>
      </c>
      <c r="I6" s="18" t="s">
        <v>44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44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6"/>
      <c r="B7" s="50" t="s">
        <v>90</v>
      </c>
      <c r="C7" s="89" t="s">
        <v>44</v>
      </c>
      <c r="D7" s="137" t="s">
        <v>44</v>
      </c>
      <c r="E7" s="89" t="s">
        <v>44</v>
      </c>
      <c r="F7" s="89" t="s">
        <v>44</v>
      </c>
      <c r="G7" s="138" t="s">
        <v>44</v>
      </c>
      <c r="H7" s="138" t="s">
        <v>44</v>
      </c>
      <c r="I7" s="18" t="s">
        <v>44</v>
      </c>
      <c r="J7" s="121" t="str">
        <v/>
      </c>
      <c r="K7" s="119" t="str">
        <f>IF(J7="","",'1M Pricing'!$I7*100)</f>
        <v/>
      </c>
      <c r="L7" s="119" t="str">
        <f t="shared" ref="L7:L39" si="0">K7</f>
        <v/>
      </c>
      <c r="M7" s="118" t="str">
        <v/>
      </c>
      <c r="N7" s="119" t="str">
        <f>IF(M7="","",'3M Pricing'!$I7*100)</f>
        <v/>
      </c>
      <c r="O7" s="119" t="str">
        <f t="shared" ref="O7:O39" si="1">N7</f>
        <v/>
      </c>
      <c r="P7" s="118" t="str">
        <v/>
      </c>
      <c r="Q7" s="119" t="str">
        <f>IF(P7="","",'6M Pricing'!$I7*100)</f>
        <v/>
      </c>
      <c r="R7" s="119" t="str">
        <f t="shared" ref="R7:R39" si="2">Q7</f>
        <v/>
      </c>
      <c r="S7" s="118" t="str">
        <v/>
      </c>
      <c r="T7" s="119" t="str">
        <f>IF(S7="","",'1Y Pricing'!$I7*100)</f>
        <v/>
      </c>
      <c r="U7" s="119" t="str">
        <f t="shared" ref="U7:U39" si="3">T7</f>
        <v/>
      </c>
      <c r="V7" s="121" t="str">
        <v/>
      </c>
      <c r="W7" s="119" t="str">
        <f>IF(V7="","",'ON Pricing'!$G7*100)</f>
        <v/>
      </c>
      <c r="X7" s="119" t="str">
        <f t="shared" ref="X7:X39" si="4">W7</f>
        <v/>
      </c>
      <c r="Y7" s="121"/>
      <c r="Z7" s="119" t="str">
        <f>IF(Y7="","",'STD Pricing'!$G7*100)</f>
        <v/>
      </c>
      <c r="AA7" s="119" t="str">
        <f t="shared" ref="AA7:AA70" si="5">Z7</f>
        <v/>
      </c>
      <c r="AB7" s="23" t="s">
        <v>44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6"/>
      <c r="B8" s="48" t="s">
        <v>91</v>
      </c>
      <c r="C8" s="83" t="s">
        <v>44</v>
      </c>
      <c r="D8" s="83" t="s">
        <v>44</v>
      </c>
      <c r="E8" s="83" t="s">
        <v>44</v>
      </c>
      <c r="F8" s="83" t="s">
        <v>44</v>
      </c>
      <c r="G8" s="135" t="s">
        <v>44</v>
      </c>
      <c r="H8" s="135" t="s">
        <v>44</v>
      </c>
      <c r="I8" s="18" t="s">
        <v>44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44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6"/>
      <c r="B9" s="49" t="s">
        <v>63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44</v>
      </c>
      <c r="I9" s="18" t="s">
        <v>44</v>
      </c>
      <c r="J9" s="115" t="str">
        <v>USD_CURVE_DEP1M_1W</v>
      </c>
      <c r="K9" s="116">
        <f>IF(J9="","",'1M Pricing'!$I9*100)</f>
        <v>0.45529999998183968</v>
      </c>
      <c r="L9" s="116">
        <f t="shared" si="0"/>
        <v>0.45529999998183968</v>
      </c>
      <c r="M9" s="117" t="str">
        <v>USD_CURVE_DEP3M_1W</v>
      </c>
      <c r="N9" s="116">
        <f>IF(M9="","",'3M Pricing'!$I9*100)</f>
        <v>0.59422418886713657</v>
      </c>
      <c r="O9" s="116">
        <f t="shared" si="1"/>
        <v>0.59422418886713657</v>
      </c>
      <c r="P9" s="117" t="str">
        <v>USD_CURVE_DEP6M_1W</v>
      </c>
      <c r="Q9" s="116">
        <f>IF(P9="","",'6M Pricing'!$I9*100)</f>
        <v>0.80491346608495862</v>
      </c>
      <c r="R9" s="116">
        <f t="shared" si="2"/>
        <v>0.80491346608495862</v>
      </c>
      <c r="S9" s="117" t="str">
        <v>USD_CURVE_DEP12M_1W</v>
      </c>
      <c r="T9" s="116">
        <f>IF(S9="","",'1Y Pricing'!$I9*100)</f>
        <v>1.1667627882136091</v>
      </c>
      <c r="U9" s="116">
        <f t="shared" si="3"/>
        <v>1.1667627882136091</v>
      </c>
      <c r="V9" s="115" t="str">
        <v>USD_CURVE_OIS_1W</v>
      </c>
      <c r="W9" s="116">
        <f>IF(V9="","",'ON Pricing'!$G9*100)</f>
        <v>0.37310100188113277</v>
      </c>
      <c r="X9" s="116">
        <f t="shared" si="4"/>
        <v>0.37310100188113277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44</v>
      </c>
      <c r="AC9" s="142">
        <f>IF($C9=" ","",ROUND(ABS(_xll.RtGet(SourceAlias,$J9,BID)-K9),4))</f>
        <v>5.4999999999999997E-3</v>
      </c>
      <c r="AD9" s="142">
        <f>IF($C9=" ","",ROUND(ABS(_xll.RtGet(SourceAlias,$J9,ASK)-L9),4))</f>
        <v>5.4999999999999997E-3</v>
      </c>
      <c r="AE9" s="142">
        <f>IF($D9=" ","",ROUND(ABS(_xll.RtGet(SourceAlias,$M9,BID)-N9),4))</f>
        <v>6.8999999999999999E-3</v>
      </c>
      <c r="AF9" s="142">
        <f>IF($D9=" ","",ROUND(ABS(_xll.RtGet(SourceAlias,$M9,ASK)-O9),4))</f>
        <v>6.8999999999999999E-3</v>
      </c>
      <c r="AG9" s="142">
        <f>IF($E9=" ","",ROUND(ABS(_xll.RtGet(SourceAlias,$P9,BID)-Q9),4))</f>
        <v>1.1599999999999999E-2</v>
      </c>
      <c r="AH9" s="142">
        <f>IF($E9=" ","",ROUND(ABS(_xll.RtGet(SourceAlias,$P9,ASK)-R9),4))</f>
        <v>1.1599999999999999E-2</v>
      </c>
      <c r="AI9" s="142">
        <f>IF($F9=" ","",ROUND(ABS(_xll.RtGet(SourceAlias,$S9,BID)-T9),4))</f>
        <v>2.3E-3</v>
      </c>
      <c r="AJ9" s="142">
        <f>IF($F9=" ","",ROUND(ABS(_xll.RtGet(SourceAlias,$S9,ASK)-U9),4))</f>
        <v>2.3E-3</v>
      </c>
      <c r="AK9" s="142">
        <f>IF($G9=" ","",ROUND(ABS(_xll.RtGet(SourceAlias,$V9,BID)-W9),4))</f>
        <v>2.0999999999999999E-3</v>
      </c>
      <c r="AL9" s="142">
        <f>IF($G9=" ","",ROUND(ABS(_xll.RtGet(SourceAlias,$V9,ASK)-X9),4))</f>
        <v>2.0999999999999999E-3</v>
      </c>
      <c r="AM9" s="142"/>
      <c r="AN9" s="142"/>
    </row>
    <row r="10" spans="1:40" ht="11.25" customHeight="1" x14ac:dyDescent="0.2">
      <c r="A10" s="196"/>
      <c r="B10" s="49" t="s">
        <v>13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44</v>
      </c>
      <c r="I10" s="18" t="s">
        <v>44</v>
      </c>
      <c r="J10" s="115" t="str">
        <v>USD_CURVE_DEP1M_2W</v>
      </c>
      <c r="K10" s="116">
        <f>IF(J10="","",'1M Pricing'!$I10*100)</f>
        <v>0.44853605735698365</v>
      </c>
      <c r="L10" s="116">
        <f t="shared" si="0"/>
        <v>0.44853605735698365</v>
      </c>
      <c r="M10" s="117" t="str">
        <v>USD_CURVE_DEP3M_2W</v>
      </c>
      <c r="N10" s="116">
        <f>IF(M10="","",'3M Pricing'!$I10*100)</f>
        <v>0.59539696566738143</v>
      </c>
      <c r="O10" s="116">
        <f t="shared" si="1"/>
        <v>0.59539696566738143</v>
      </c>
      <c r="P10" s="117" t="str">
        <v>USD_CURVE_DEP6M_2W</v>
      </c>
      <c r="Q10" s="116">
        <f>IF(P10="","",'6M Pricing'!$I10*100)</f>
        <v>0.8060557576046179</v>
      </c>
      <c r="R10" s="116">
        <f t="shared" si="2"/>
        <v>0.8060557576046179</v>
      </c>
      <c r="S10" s="117" t="str">
        <v>USD_CURVE_DEP12M_2W</v>
      </c>
      <c r="T10" s="116">
        <f>IF(S10="","",'1Y Pricing'!$I10*100)</f>
        <v>1.1671308710178454</v>
      </c>
      <c r="U10" s="116">
        <f t="shared" si="3"/>
        <v>1.1671308710178454</v>
      </c>
      <c r="V10" s="115" t="str">
        <v>USD_CURVE_OIS_2W</v>
      </c>
      <c r="W10" s="116">
        <f>IF(V10="","",'ON Pricing'!$G10*100)</f>
        <v>0.36836575193697846</v>
      </c>
      <c r="X10" s="116">
        <f t="shared" si="4"/>
        <v>0.36836575193697846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44</v>
      </c>
      <c r="AC10" s="142">
        <f>IF($C10=" ","",ROUND(ABS(_xll.RtGet(SourceAlias,$J10,BID)-K10),4))</f>
        <v>3.5999999999999999E-3</v>
      </c>
      <c r="AD10" s="142">
        <f>IF($C10=" ","",ROUND(ABS(_xll.RtGet(SourceAlias,$J10,ASK)-L10),4))</f>
        <v>3.5999999999999999E-3</v>
      </c>
      <c r="AE10" s="142">
        <f>IF($D10=" ","",ROUND(ABS(_xll.RtGet(SourceAlias,$M10,BID)-N10),4))</f>
        <v>6.4999999999999997E-3</v>
      </c>
      <c r="AF10" s="142">
        <f>IF($D10=" ","",ROUND(ABS(_xll.RtGet(SourceAlias,$M10,ASK)-O10),4))</f>
        <v>6.4999999999999997E-3</v>
      </c>
      <c r="AG10" s="142">
        <f>IF($E10=" ","",ROUND(ABS(_xll.RtGet(SourceAlias,$P10,BID)-Q10),4))</f>
        <v>1.12E-2</v>
      </c>
      <c r="AH10" s="142">
        <f>IF($E10=" ","",ROUND(ABS(_xll.RtGet(SourceAlias,$P10,ASK)-R10),4))</f>
        <v>1.12E-2</v>
      </c>
      <c r="AI10" s="142">
        <f>IF($F10=" ","",ROUND(ABS(_xll.RtGet(SourceAlias,$S10,BID)-T10),4))</f>
        <v>2.0999999999999999E-3</v>
      </c>
      <c r="AJ10" s="142">
        <f>IF($F10=" ","",ROUND(ABS(_xll.RtGet(SourceAlias,$S10,ASK)-U10),4))</f>
        <v>2.0999999999999999E-3</v>
      </c>
      <c r="AK10" s="142">
        <f>IF($G10=" ","",ROUND(ABS(_xll.RtGet(SourceAlias,$V10,BID)-W10),4))</f>
        <v>1E-3</v>
      </c>
      <c r="AL10" s="142">
        <f>IF($G10=" ","",ROUND(ABS(_xll.RtGet(SourceAlias,$V10,ASK)-X10),4))</f>
        <v>1E-3</v>
      </c>
      <c r="AM10" s="142"/>
      <c r="AN10" s="142"/>
    </row>
    <row r="11" spans="1:40" ht="11.25" customHeight="1" x14ac:dyDescent="0.2">
      <c r="A11" s="196"/>
      <c r="B11" s="49" t="s">
        <v>65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44</v>
      </c>
      <c r="I11" s="18" t="s">
        <v>44</v>
      </c>
      <c r="J11" s="115" t="str">
        <v>USD_CURVE_DEP1M_3W</v>
      </c>
      <c r="K11" s="116">
        <f>IF(J11="","",'1M Pricing'!$I11*100)</f>
        <v>0.44294941841562163</v>
      </c>
      <c r="L11" s="116">
        <f t="shared" si="0"/>
        <v>0.44294941841562163</v>
      </c>
      <c r="M11" s="117" t="str">
        <v>USD_CURVE_DEP3M_3W</v>
      </c>
      <c r="N11" s="116">
        <f>IF(M11="","",'3M Pricing'!$I11*100)</f>
        <v>0.59732906283573228</v>
      </c>
      <c r="O11" s="116">
        <f t="shared" si="1"/>
        <v>0.59732906283573228</v>
      </c>
      <c r="P11" s="117" t="str">
        <v>USD_CURVE_DEP6M_3W</v>
      </c>
      <c r="Q11" s="116">
        <f>IF(P11="","",'6M Pricing'!$I11*100)</f>
        <v>0.8079180430569417</v>
      </c>
      <c r="R11" s="116">
        <f t="shared" si="2"/>
        <v>0.8079180430569417</v>
      </c>
      <c r="S11" s="117" t="str">
        <v>USD_CURVE_DEP12M_3W</v>
      </c>
      <c r="T11" s="116">
        <f>IF(S11="","",'1Y Pricing'!$I11*100)</f>
        <v>1.1676562703738671</v>
      </c>
      <c r="U11" s="116">
        <f t="shared" si="3"/>
        <v>1.1676562703738671</v>
      </c>
      <c r="V11" s="115" t="str">
        <v>USD_CURVE_OIS_3W</v>
      </c>
      <c r="W11" s="116">
        <f>IF(V11="","",'ON Pricing'!$G11*100)</f>
        <v>0.36551232343663886</v>
      </c>
      <c r="X11" s="116">
        <f t="shared" si="4"/>
        <v>0.36551232343663886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44</v>
      </c>
      <c r="AC11" s="142">
        <f>IF($C11=" ","",ROUND(ABS(_xll.RtGet(SourceAlias,$J11,BID)-K11),4))</f>
        <v>1.8E-3</v>
      </c>
      <c r="AD11" s="142">
        <f>IF($C11=" ","",ROUND(ABS(_xll.RtGet(SourceAlias,$J11,ASK)-L11),4))</f>
        <v>1.8E-3</v>
      </c>
      <c r="AE11" s="142">
        <f>IF($D11=" ","",ROUND(ABS(_xll.RtGet(SourceAlias,$M11,BID)-N11),4))</f>
        <v>5.8999999999999999E-3</v>
      </c>
      <c r="AF11" s="142">
        <f>IF($D11=" ","",ROUND(ABS(_xll.RtGet(SourceAlias,$M11,ASK)-O11),4))</f>
        <v>5.8999999999999999E-3</v>
      </c>
      <c r="AG11" s="142">
        <f>IF($E11=" ","",ROUND(ABS(_xll.RtGet(SourceAlias,$P11,BID)-Q11),4))</f>
        <v>1.0699999999999999E-2</v>
      </c>
      <c r="AH11" s="142">
        <f>IF($E11=" ","",ROUND(ABS(_xll.RtGet(SourceAlias,$P11,ASK)-R11),4))</f>
        <v>1.0699999999999999E-2</v>
      </c>
      <c r="AI11" s="142">
        <f>IF($F11=" ","",ROUND(ABS(_xll.RtGet(SourceAlias,$S11,BID)-T11),4))</f>
        <v>1.9E-3</v>
      </c>
      <c r="AJ11" s="142">
        <f>IF($F11=" ","",ROUND(ABS(_xll.RtGet(SourceAlias,$S11,ASK)-U11),4))</f>
        <v>1.9E-3</v>
      </c>
      <c r="AK11" s="142">
        <f>IF($G11=" ","",ROUND(ABS(_xll.RtGet(SourceAlias,$V11,BID)-W11),4))</f>
        <v>2.9999999999999997E-4</v>
      </c>
      <c r="AL11" s="142">
        <f>IF($G11=" ","",ROUND(ABS(_xll.RtGet(SourceAlias,$V11,ASK)-X11),4))</f>
        <v>2.9999999999999997E-4</v>
      </c>
      <c r="AM11" s="142"/>
      <c r="AN11" s="142"/>
    </row>
    <row r="12" spans="1:40" ht="11.25" customHeight="1" x14ac:dyDescent="0.2">
      <c r="A12" s="196"/>
      <c r="B12" s="49" t="s">
        <v>14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44</v>
      </c>
      <c r="I12" s="18" t="s">
        <v>44</v>
      </c>
      <c r="J12" s="115" t="str">
        <v>USD_CURVE_DEP1M_1M</v>
      </c>
      <c r="K12" s="116">
        <f>IF(J12="","",'1M Pricing'!$I12*100)</f>
        <v>0.43880000000001695</v>
      </c>
      <c r="L12" s="116">
        <f t="shared" si="0"/>
        <v>0.43880000000001695</v>
      </c>
      <c r="M12" s="117" t="str">
        <v>USD_CURVE_DEP3M_1M</v>
      </c>
      <c r="N12" s="116">
        <f>IF(M12="","",'3M Pricing'!$I12*100)</f>
        <v>0.60189999999277211</v>
      </c>
      <c r="O12" s="116">
        <f t="shared" si="1"/>
        <v>0.60189999999277211</v>
      </c>
      <c r="P12" s="117" t="str">
        <v>USD_CURVE_DEP6M_1M</v>
      </c>
      <c r="Q12" s="116">
        <f>IF(P12="","",'6M Pricing'!$I12*100)</f>
        <v>0.81229999915943818</v>
      </c>
      <c r="R12" s="116">
        <f t="shared" si="2"/>
        <v>0.81229999915943818</v>
      </c>
      <c r="S12" s="117" t="str">
        <v>USD_CURVE_DEP12M_1M</v>
      </c>
      <c r="T12" s="116">
        <f>IF(S12="","",'1Y Pricing'!$I12*100)</f>
        <v>1.1687999996368437</v>
      </c>
      <c r="U12" s="116">
        <f t="shared" si="3"/>
        <v>1.1687999996368437</v>
      </c>
      <c r="V12" s="115" t="str">
        <v>USD_CURVE_OIS_1M</v>
      </c>
      <c r="W12" s="116">
        <f>IF(V12="","",'ON Pricing'!$G12*100)</f>
        <v>0.36499999999748606</v>
      </c>
      <c r="X12" s="116">
        <f t="shared" si="4"/>
        <v>0.36499999999748606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44</v>
      </c>
      <c r="AC12" s="142">
        <f>IF($C12=" ","",ROUND(ABS(_xll.RtGet(SourceAlias,$J12,BID)-K12),4))</f>
        <v>0</v>
      </c>
      <c r="AD12" s="142">
        <f>IF($C12=" ","",ROUND(ABS(_xll.RtGet(SourceAlias,$J12,ASK)-L12),4))</f>
        <v>0</v>
      </c>
      <c r="AE12" s="142">
        <f>IF($D12=" ","",ROUND(ABS(_xll.RtGet(SourceAlias,$M12,BID)-N12),4))</f>
        <v>4.0000000000000001E-3</v>
      </c>
      <c r="AF12" s="142">
        <f>IF($D12=" ","",ROUND(ABS(_xll.RtGet(SourceAlias,$M12,ASK)-O12),4))</f>
        <v>4.0000000000000001E-3</v>
      </c>
      <c r="AG12" s="142">
        <f>IF($E12=" ","",ROUND(ABS(_xll.RtGet(SourceAlias,$P12,BID)-Q12),4))</f>
        <v>8.9999999999999993E-3</v>
      </c>
      <c r="AH12" s="142">
        <f>IF($E12=" ","",ROUND(ABS(_xll.RtGet(SourceAlias,$P12,ASK)-R12),4))</f>
        <v>8.9999999999999993E-3</v>
      </c>
      <c r="AI12" s="142">
        <f>IF($F12=" ","",ROUND(ABS(_xll.RtGet(SourceAlias,$S12,BID)-T12),4))</f>
        <v>1.2999999999999999E-3</v>
      </c>
      <c r="AJ12" s="142">
        <f>IF($F12=" ","",ROUND(ABS(_xll.RtGet(SourceAlias,$S12,ASK)-U12),4))</f>
        <v>1.2999999999999999E-3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6"/>
      <c r="B13" s="49" t="s">
        <v>15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44</v>
      </c>
      <c r="I13" s="18" t="s">
        <v>44</v>
      </c>
      <c r="J13" s="115" t="str">
        <v>USD_CURVE_DEP1M_2M</v>
      </c>
      <c r="K13" s="116">
        <f>IF(J13="","",'1M Pricing'!$I13*100)</f>
        <v>0.44689153452992514</v>
      </c>
      <c r="L13" s="116">
        <f t="shared" si="0"/>
        <v>0.44689153452992514</v>
      </c>
      <c r="M13" s="117" t="str">
        <v>USD_CURVE_DEP3M_2M</v>
      </c>
      <c r="N13" s="116">
        <f>IF(M13="","",'3M Pricing'!$I13*100)</f>
        <v>0.61939999999857887</v>
      </c>
      <c r="O13" s="116">
        <f t="shared" si="1"/>
        <v>0.61939999999857887</v>
      </c>
      <c r="P13" s="117" t="str">
        <v>USD_CURVE_DEP6M_2M</v>
      </c>
      <c r="Q13" s="116">
        <f>IF(P13="","",'6M Pricing'!$I13*100)</f>
        <v>0.82799999999871499</v>
      </c>
      <c r="R13" s="116">
        <f t="shared" si="2"/>
        <v>0.82799999999871499</v>
      </c>
      <c r="S13" s="117" t="str">
        <v>USD_CURVE_DEP12M_2M</v>
      </c>
      <c r="T13" s="116">
        <f>IF(S13="","",'1Y Pricing'!$I13*100)</f>
        <v>1.1722000000000095</v>
      </c>
      <c r="U13" s="116">
        <f t="shared" si="3"/>
        <v>1.1722000000000095</v>
      </c>
      <c r="V13" s="115" t="str">
        <v>USD_CURVE_OIS_2M</v>
      </c>
      <c r="W13" s="116">
        <f>IF(V13="","",'ON Pricing'!$G13*100)</f>
        <v>0.37600000002414918</v>
      </c>
      <c r="X13" s="116">
        <f t="shared" si="4"/>
        <v>0.37600000002414918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44</v>
      </c>
      <c r="AC13" s="142">
        <f>IF($C13=" ","",ROUND(ABS(_xll.RtGet(SourceAlias,$J13,BID)-K13),4))</f>
        <v>1.2999999999999999E-3</v>
      </c>
      <c r="AD13" s="142">
        <f>IF($C13=" ","",ROUND(ABS(_xll.RtGet(SourceAlias,$J13,ASK)-L13),4))</f>
        <v>1.2999999999999999E-3</v>
      </c>
      <c r="AE13" s="142">
        <f>IF($D13=" ","",ROUND(ABS(_xll.RtGet(SourceAlias,$M13,BID)-N13),4))</f>
        <v>1.4E-3</v>
      </c>
      <c r="AF13" s="142">
        <f>IF($D13=" ","",ROUND(ABS(_xll.RtGet(SourceAlias,$M13,ASK)-O13),4))</f>
        <v>1.4E-3</v>
      </c>
      <c r="AG13" s="142">
        <f>IF($E13=" ","",ROUND(ABS(_xll.RtGet(SourceAlias,$P13,BID)-Q13),4))</f>
        <v>6.3E-3</v>
      </c>
      <c r="AH13" s="142">
        <f>IF($E13=" ","",ROUND(ABS(_xll.RtGet(SourceAlias,$P13,ASK)-R13),4))</f>
        <v>6.3E-3</v>
      </c>
      <c r="AI13" s="142">
        <f>IF($F13=" ","",ROUND(ABS(_xll.RtGet(SourceAlias,$S13,BID)-T13),4))</f>
        <v>2.0000000000000001E-4</v>
      </c>
      <c r="AJ13" s="142">
        <f>IF($F13=" ","",ROUND(ABS(_xll.RtGet(SourceAlias,$S13,ASK)-U13),4))</f>
        <v>2.0000000000000001E-4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6"/>
      <c r="B14" s="49" t="s">
        <v>16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44</v>
      </c>
      <c r="I14" s="18" t="s">
        <v>44</v>
      </c>
      <c r="J14" s="115" t="str">
        <v>USD_CURVE_DEP1M_3M</v>
      </c>
      <c r="K14" s="116">
        <f>IF(J14="","",'1M Pricing'!$I14*100)</f>
        <v>0.46302980475053807</v>
      </c>
      <c r="L14" s="116">
        <f t="shared" si="0"/>
        <v>0.46302980475053807</v>
      </c>
      <c r="M14" s="117" t="str">
        <v>USD_CURVE_DEP3M_3M</v>
      </c>
      <c r="N14" s="116">
        <f>IF(M14="","",'3M Pricing'!$I14*100)</f>
        <v>0.63659999999995831</v>
      </c>
      <c r="O14" s="116">
        <f t="shared" si="1"/>
        <v>0.63659999999995831</v>
      </c>
      <c r="P14" s="117" t="str">
        <v>USD_CURVE_DEP6M_3M</v>
      </c>
      <c r="Q14" s="116">
        <f>IF(P14="","",'6M Pricing'!$I14*100)</f>
        <v>0.84419999999773165</v>
      </c>
      <c r="R14" s="116">
        <f t="shared" si="2"/>
        <v>0.84419999999773165</v>
      </c>
      <c r="S14" s="117" t="str">
        <v>USD_CURVE_DEP12M_3M</v>
      </c>
      <c r="T14" s="116">
        <f>IF(S14="","",'1Y Pricing'!$I14*100)</f>
        <v>1.175300000000024</v>
      </c>
      <c r="U14" s="116">
        <f t="shared" si="3"/>
        <v>1.175300000000024</v>
      </c>
      <c r="V14" s="115" t="str">
        <v>USD_CURVE_OIS_3M</v>
      </c>
      <c r="W14" s="116">
        <f>IF(V14="","",'ON Pricing'!$G14*100)</f>
        <v>0.38700000001456053</v>
      </c>
      <c r="X14" s="116">
        <f t="shared" si="4"/>
        <v>0.38700000001456053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44</v>
      </c>
      <c r="AC14" s="142">
        <f>IF($C14=" ","",ROUND(ABS(_xll.RtGet(SourceAlias,$J14,BID)-K14),4))</f>
        <v>0</v>
      </c>
      <c r="AD14" s="142">
        <f>IF($C14=" ","",ROUND(ABS(_xll.RtGet(SourceAlias,$J14,ASK)-L14),4))</f>
        <v>0</v>
      </c>
      <c r="AE14" s="142">
        <f>IF($D14=" ","",ROUND(ABS(_xll.RtGet(SourceAlias,$M14,BID)-N14),4))</f>
        <v>0</v>
      </c>
      <c r="AF14" s="142">
        <f>IF($D14=" ","",ROUND(ABS(_xll.RtGet(SourceAlias,$M14,ASK)-O14),4))</f>
        <v>0</v>
      </c>
      <c r="AG14" s="142">
        <f>IF($E14=" ","",ROUND(ABS(_xll.RtGet(SourceAlias,$P14,BID)-Q14),4))</f>
        <v>4.5999999999999999E-3</v>
      </c>
      <c r="AH14" s="142">
        <f>IF($E14=" ","",ROUND(ABS(_xll.RtGet(SourceAlias,$P14,ASK)-R14),4))</f>
        <v>4.5999999999999999E-3</v>
      </c>
      <c r="AI14" s="142">
        <f>IF($F14=" ","",ROUND(ABS(_xll.RtGet(SourceAlias,$S14,BID)-T14),4))</f>
        <v>8.0000000000000004E-4</v>
      </c>
      <c r="AJ14" s="142">
        <f>IF($F14=" ","",ROUND(ABS(_xll.RtGet(SourceAlias,$S14,ASK)-U14),4))</f>
        <v>8.0000000000000004E-4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6"/>
      <c r="B15" s="49" t="s">
        <v>17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44</v>
      </c>
      <c r="I15" s="18" t="s">
        <v>44</v>
      </c>
      <c r="J15" s="115" t="str">
        <v>USD_CURVE_DEP1M_4M</v>
      </c>
      <c r="K15" s="116">
        <f>IF(J15="","",'1M Pricing'!$I15*100)</f>
        <v>0.48086670949067867</v>
      </c>
      <c r="L15" s="116">
        <f t="shared" si="0"/>
        <v>0.48086670949067867</v>
      </c>
      <c r="M15" s="117" t="str">
        <v>USD_CURVE_DEP3M_4M</v>
      </c>
      <c r="N15" s="116">
        <f>IF(M15="","",'3M Pricing'!$I15*100)</f>
        <v>0.65581699635641033</v>
      </c>
      <c r="O15" s="116">
        <f t="shared" si="1"/>
        <v>0.65581699635641033</v>
      </c>
      <c r="P15" s="117" t="str">
        <v>USD_CURVE_DEP6M_4M</v>
      </c>
      <c r="Q15" s="116">
        <f>IF(P15="","",'6M Pricing'!$I15*100)</f>
        <v>0.86399999999686727</v>
      </c>
      <c r="R15" s="116">
        <f t="shared" si="2"/>
        <v>0.86399999999686727</v>
      </c>
      <c r="S15" s="117" t="str">
        <v>USD_CURVE_DEP12M_4M</v>
      </c>
      <c r="T15" s="116">
        <f>IF(S15="","",'1Y Pricing'!$I15*100)</f>
        <v>1.1819999999999948</v>
      </c>
      <c r="U15" s="116">
        <f t="shared" si="3"/>
        <v>1.1819999999999948</v>
      </c>
      <c r="V15" s="115" t="str">
        <v>USD_CURVE_OIS_4M</v>
      </c>
      <c r="W15" s="116">
        <f>IF(V15="","",'ON Pricing'!$G15*100)</f>
        <v>0.40300000000137715</v>
      </c>
      <c r="X15" s="116">
        <f t="shared" si="4"/>
        <v>0.40300000000137715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1.6000000000000001E-3</v>
      </c>
      <c r="AD15" s="142">
        <f>IF($C15=" ","",ROUND(ABS(_xll.RtGet(SourceAlias,$J15,ASK)-L15),4))</f>
        <v>1.6000000000000001E-3</v>
      </c>
      <c r="AE15" s="142">
        <f>IF($D15=" ","",ROUND(ABS(_xll.RtGet(SourceAlias,$M15,BID)-N15),4))</f>
        <v>2.0000000000000001E-4</v>
      </c>
      <c r="AF15" s="142">
        <f>IF($D15=" ","",ROUND(ABS(_xll.RtGet(SourceAlias,$M15,ASK)-O15),4))</f>
        <v>2.0000000000000001E-4</v>
      </c>
      <c r="AG15" s="142">
        <f>IF($E15=" ","",ROUND(ABS(_xll.RtGet(SourceAlias,$P15,BID)-Q15),4))</f>
        <v>5.1999999999999998E-3</v>
      </c>
      <c r="AH15" s="142">
        <f>IF($E15=" ","",ROUND(ABS(_xll.RtGet(SourceAlias,$P15,ASK)-R15),4))</f>
        <v>5.1999999999999998E-3</v>
      </c>
      <c r="AI15" s="142">
        <f>IF($F15=" ","",ROUND(ABS(_xll.RtGet(SourceAlias,$S15,BID)-T15),4))</f>
        <v>2E-3</v>
      </c>
      <c r="AJ15" s="142">
        <f>IF($F15=" ","",ROUND(ABS(_xll.RtGet(SourceAlias,$S15,ASK)-U15),4))</f>
        <v>2E-3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6"/>
      <c r="B16" s="49" t="s">
        <v>18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44</v>
      </c>
      <c r="I16" s="18" t="s">
        <v>44</v>
      </c>
      <c r="J16" s="115" t="str">
        <v>USD_CURVE_DEP1M_5M</v>
      </c>
      <c r="K16" s="116">
        <f>IF(J16="","",'1M Pricing'!$I16*100)</f>
        <v>0.49754256017674281</v>
      </c>
      <c r="L16" s="116">
        <f t="shared" si="0"/>
        <v>0.49754256017674281</v>
      </c>
      <c r="M16" s="117" t="str">
        <v>USD_CURVE_DEP3M_5M</v>
      </c>
      <c r="N16" s="116">
        <f>IF(M16="","",'3M Pricing'!$I16*100)</f>
        <v>0.67657943951062471</v>
      </c>
      <c r="O16" s="116">
        <f t="shared" si="1"/>
        <v>0.67657943951062471</v>
      </c>
      <c r="P16" s="117" t="str">
        <v>USD_CURVE_DEP6M_5M</v>
      </c>
      <c r="Q16" s="116">
        <f>IF(P16="","",'6M Pricing'!$I16*100)</f>
        <v>0.88369999998589077</v>
      </c>
      <c r="R16" s="116">
        <f t="shared" si="2"/>
        <v>0.88369999998589077</v>
      </c>
      <c r="S16" s="117" t="str">
        <v>USD_CURVE_DEP12M_5M</v>
      </c>
      <c r="T16" s="116">
        <f>IF(S16="","",'1Y Pricing'!$I16*100)</f>
        <v>1.1889000000000352</v>
      </c>
      <c r="U16" s="116">
        <f t="shared" si="3"/>
        <v>1.1889000000000352</v>
      </c>
      <c r="V16" s="115" t="str">
        <v>USD_CURVE_OIS_5M</v>
      </c>
      <c r="W16" s="116">
        <f>IF(V16="","",'ON Pricing'!$G16*100)</f>
        <v>0.41700000001356496</v>
      </c>
      <c r="X16" s="116">
        <f t="shared" si="4"/>
        <v>0.41700000001356496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8.9999999999999998E-4</v>
      </c>
      <c r="AD16" s="142">
        <f>IF($C16=" ","",ROUND(ABS(_xll.RtGet(SourceAlias,$J16,ASK)-L16),4))</f>
        <v>8.9999999999999998E-4</v>
      </c>
      <c r="AE16" s="142">
        <f>IF($D16=" ","",ROUND(ABS(_xll.RtGet(SourceAlias,$M16,BID)-N16),4))</f>
        <v>8.0000000000000004E-4</v>
      </c>
      <c r="AF16" s="142">
        <f>IF($D16=" ","",ROUND(ABS(_xll.RtGet(SourceAlias,$M16,ASK)-O16),4))</f>
        <v>8.0000000000000004E-4</v>
      </c>
      <c r="AG16" s="142">
        <f>IF($E16=" ","",ROUND(ABS(_xll.RtGet(SourceAlias,$P16,BID)-Q16),4))</f>
        <v>1.4E-3</v>
      </c>
      <c r="AH16" s="142">
        <f>IF($E16=" ","",ROUND(ABS(_xll.RtGet(SourceAlias,$P16,ASK)-R16),4))</f>
        <v>1.4E-3</v>
      </c>
      <c r="AI16" s="142">
        <f>IF($F16=" ","",ROUND(ABS(_xll.RtGet(SourceAlias,$S16,BID)-T16),4))</f>
        <v>0</v>
      </c>
      <c r="AJ16" s="142">
        <f>IF($F16=" ","",ROUND(ABS(_xll.RtGet(SourceAlias,$S16,ASK)-U16),4))</f>
        <v>0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6"/>
      <c r="B17" s="49" t="s">
        <v>11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44</v>
      </c>
      <c r="I17" s="18" t="s">
        <v>44</v>
      </c>
      <c r="J17" s="115" t="str">
        <v>USD_CURVE_DEP1M_6M</v>
      </c>
      <c r="K17" s="116">
        <f>IF(J17="","",'1M Pricing'!$I17*100)</f>
        <v>0.51709230301909936</v>
      </c>
      <c r="L17" s="116">
        <f t="shared" si="0"/>
        <v>0.51709230301909936</v>
      </c>
      <c r="M17" s="117" t="str">
        <v>USD_CURVE_DEP3M_6M</v>
      </c>
      <c r="N17" s="116">
        <f>IF(M17="","",'3M Pricing'!$I17*100)</f>
        <v>0.69561447266343734</v>
      </c>
      <c r="O17" s="116">
        <f t="shared" si="1"/>
        <v>0.69561447266343734</v>
      </c>
      <c r="P17" s="117" t="str">
        <v>USD_CURVE_DEP6M_6M</v>
      </c>
      <c r="Q17" s="116">
        <f>IF(P17="","",'6M Pricing'!$I17*100)</f>
        <v>0.9045999999998432</v>
      </c>
      <c r="R17" s="116">
        <f t="shared" si="2"/>
        <v>0.9045999999998432</v>
      </c>
      <c r="S17" s="117" t="str">
        <v>USD_CURVE_DEP12M_6M</v>
      </c>
      <c r="T17" s="116">
        <f>IF(S17="","",'1Y Pricing'!$I17*100)</f>
        <v>1.1957999999999511</v>
      </c>
      <c r="U17" s="116">
        <f t="shared" si="3"/>
        <v>1.1957999999999511</v>
      </c>
      <c r="V17" s="115" t="str">
        <v>USD_CURVE_OIS_6M</v>
      </c>
      <c r="W17" s="116">
        <f>IF(V17="","",'ON Pricing'!$G17*100)</f>
        <v>0.43200000000508049</v>
      </c>
      <c r="X17" s="116">
        <f t="shared" si="4"/>
        <v>0.43200000000508049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44</v>
      </c>
      <c r="AC17" s="142">
        <f>IF($C17=" ","",ROUND(ABS(_xll.RtGet(SourceAlias,$J17,BID)-K17),4))</f>
        <v>0</v>
      </c>
      <c r="AD17" s="142">
        <f>IF($C17=" ","",ROUND(ABS(_xll.RtGet(SourceAlias,$J17,ASK)-L17),4))</f>
        <v>0</v>
      </c>
      <c r="AE17" s="142">
        <f>IF($D17=" ","",ROUND(ABS(_xll.RtGet(SourceAlias,$M17,BID)-N17),4))</f>
        <v>1.9E-3</v>
      </c>
      <c r="AF17" s="142">
        <f>IF($D17=" ","",ROUND(ABS(_xll.RtGet(SourceAlias,$M17,ASK)-O17),4))</f>
        <v>1.9E-3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1E-4</v>
      </c>
      <c r="AJ17" s="142">
        <f>IF($F17=" ","",ROUND(ABS(_xll.RtGet(SourceAlias,$S17,ASK)-U17),4))</f>
        <v>1E-4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6"/>
      <c r="B18" s="49" t="s">
        <v>59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44</v>
      </c>
      <c r="I18" s="18" t="s">
        <v>44</v>
      </c>
      <c r="J18" s="115" t="str">
        <v>USD_CURVE_DEP1M_7M</v>
      </c>
      <c r="K18" s="116">
        <f>IF(J18="","",'1M Pricing'!$I18*100)</f>
        <v>0.53404314648392792</v>
      </c>
      <c r="L18" s="116">
        <f t="shared" si="0"/>
        <v>0.53404314648392792</v>
      </c>
      <c r="M18" s="117" t="str">
        <v>USD_CURVE_DEP3M_7M</v>
      </c>
      <c r="N18" s="116">
        <f>IF(M18="","",'3M Pricing'!$I18*100)</f>
        <v>0.7106420385603176</v>
      </c>
      <c r="O18" s="116">
        <f t="shared" si="1"/>
        <v>0.7106420385603176</v>
      </c>
      <c r="P18" s="117" t="str">
        <v>USD_CURVE_DEP6M_7M</v>
      </c>
      <c r="Q18" s="116">
        <f>IF(P18="","",'6M Pricing'!$I18*100)</f>
        <v>0.92173739837815072</v>
      </c>
      <c r="R18" s="116">
        <f t="shared" si="2"/>
        <v>0.92173739837815072</v>
      </c>
      <c r="S18" s="117" t="str">
        <v>USD_CURVE_DEP12M_7M</v>
      </c>
      <c r="T18" s="116">
        <f>IF(S18="","",'1Y Pricing'!$I18*100)</f>
        <v>1.2013758685825962</v>
      </c>
      <c r="U18" s="116">
        <f t="shared" si="3"/>
        <v>1.2013758685825962</v>
      </c>
      <c r="V18" s="115" t="str">
        <v>USD_CURVE_OIS_7M</v>
      </c>
      <c r="W18" s="116">
        <f>IF(V18="","",'ON Pricing'!$G18*100)</f>
        <v>0.44600000000513407</v>
      </c>
      <c r="X18" s="116">
        <f t="shared" si="4"/>
        <v>0.44600000000513407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2.3E-3</v>
      </c>
      <c r="AD18" s="142">
        <f>IF($C18=" ","",ROUND(ABS(_xll.RtGet(SourceAlias,$J18,ASK)-L18),4))</f>
        <v>2.3E-3</v>
      </c>
      <c r="AE18" s="142">
        <f>IF($D18=" ","",ROUND(ABS(_xll.RtGet(SourceAlias,$M18,BID)-N18),4))</f>
        <v>1E-4</v>
      </c>
      <c r="AF18" s="142">
        <f>IF($D18=" ","",ROUND(ABS(_xll.RtGet(SourceAlias,$M18,ASK)-O18),4))</f>
        <v>1E-4</v>
      </c>
      <c r="AG18" s="142">
        <f>IF($E18=" ","",ROUND(ABS(_xll.RtGet(SourceAlias,$P18,BID)-Q18),4))</f>
        <v>2.7000000000000001E-3</v>
      </c>
      <c r="AH18" s="142">
        <f>IF($E18=" ","",ROUND(ABS(_xll.RtGet(SourceAlias,$P18,ASK)-R18),4))</f>
        <v>2.7000000000000001E-3</v>
      </c>
      <c r="AI18" s="142">
        <f>IF($F18=" ","",ROUND(ABS(_xll.RtGet(SourceAlias,$S18,BID)-T18),4))</f>
        <v>1.6000000000000001E-3</v>
      </c>
      <c r="AJ18" s="142">
        <f>IF($F18=" ","",ROUND(ABS(_xll.RtGet(SourceAlias,$S18,ASK)-U18),4))</f>
        <v>1.6000000000000001E-3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6"/>
      <c r="B19" s="49" t="s">
        <v>60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44</v>
      </c>
      <c r="I19" s="18" t="s">
        <v>44</v>
      </c>
      <c r="J19" s="115" t="str">
        <v>USD_CURVE_DEP1M_8M</v>
      </c>
      <c r="K19" s="116">
        <f>IF(J19="","",'1M Pricing'!$I19*100)</f>
        <v>0.55264386429412049</v>
      </c>
      <c r="L19" s="116">
        <f t="shared" si="0"/>
        <v>0.55264386429412049</v>
      </c>
      <c r="M19" s="117" t="str">
        <v>USD_CURVE_DEP3M_8M</v>
      </c>
      <c r="N19" s="116">
        <f>IF(M19="","",'3M Pricing'!$I19*100)</f>
        <v>0.72761746683469841</v>
      </c>
      <c r="O19" s="116">
        <f t="shared" si="1"/>
        <v>0.72761746683469841</v>
      </c>
      <c r="P19" s="117" t="str">
        <v>USD_CURVE_DEP6M_8M</v>
      </c>
      <c r="Q19" s="116">
        <f>IF(P19="","",'6M Pricing'!$I19*100)</f>
        <v>0.94318771004008617</v>
      </c>
      <c r="R19" s="116">
        <f t="shared" si="2"/>
        <v>0.94318771004008617</v>
      </c>
      <c r="S19" s="117" t="str">
        <v>USD_CURVE_DEP12M_8M</v>
      </c>
      <c r="T19" s="116">
        <f>IF(S19="","",'1Y Pricing'!$I19*100)</f>
        <v>1.2074446691895548</v>
      </c>
      <c r="U19" s="116">
        <f t="shared" si="3"/>
        <v>1.2074446691895548</v>
      </c>
      <c r="V19" s="115" t="str">
        <v>USD_CURVE_OIS_8M</v>
      </c>
      <c r="W19" s="116">
        <f>IF(V19="","",'ON Pricing'!$G19*100)</f>
        <v>0.46200000004810077</v>
      </c>
      <c r="X19" s="116">
        <f t="shared" si="4"/>
        <v>0.46200000004810077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8.9999999999999998E-4</v>
      </c>
      <c r="AD19" s="142">
        <f>IF($C19=" ","",ROUND(ABS(_xll.RtGet(SourceAlias,$J19,ASK)-L19),4))</f>
        <v>8.9999999999999998E-4</v>
      </c>
      <c r="AE19" s="142">
        <f>IF($D19=" ","",ROUND(ABS(_xll.RtGet(SourceAlias,$M19,BID)-N19),4))</f>
        <v>1.4E-3</v>
      </c>
      <c r="AF19" s="142">
        <f>IF($D19=" ","",ROUND(ABS(_xll.RtGet(SourceAlias,$M19,ASK)-O19),4))</f>
        <v>1.4E-3</v>
      </c>
      <c r="AG19" s="142">
        <f>IF($E19=" ","",ROUND(ABS(_xll.RtGet(SourceAlias,$P19,BID)-Q19),4))</f>
        <v>5.0000000000000001E-4</v>
      </c>
      <c r="AH19" s="142">
        <f>IF($E19=" ","",ROUND(ABS(_xll.RtGet(SourceAlias,$P19,ASK)-R19),4))</f>
        <v>5.0000000000000001E-4</v>
      </c>
      <c r="AI19" s="142">
        <f>IF($F19=" ","",ROUND(ABS(_xll.RtGet(SourceAlias,$S19,BID)-T19),4))</f>
        <v>1.4E-3</v>
      </c>
      <c r="AJ19" s="142">
        <f>IF($F19=" ","",ROUND(ABS(_xll.RtGet(SourceAlias,$S19,ASK)-U19),4))</f>
        <v>1.4E-3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6"/>
      <c r="B20" s="49" t="s">
        <v>19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44</v>
      </c>
      <c r="I20" s="18" t="s">
        <v>44</v>
      </c>
      <c r="J20" s="115" t="str">
        <v>USD_CURVE_DEP1M_9M</v>
      </c>
      <c r="K20" s="116">
        <f>IF(J20="","",'1M Pricing'!$I20*100)</f>
        <v>0.57118762254866207</v>
      </c>
      <c r="L20" s="116">
        <f t="shared" si="0"/>
        <v>0.57118762254866207</v>
      </c>
      <c r="M20" s="117" t="str">
        <v>USD_CURVE_DEP3M_9M</v>
      </c>
      <c r="N20" s="116">
        <f>IF(M20="","",'3M Pricing'!$I20*100)</f>
        <v>0.74551843386045868</v>
      </c>
      <c r="O20" s="116">
        <f t="shared" si="1"/>
        <v>0.74551843386045868</v>
      </c>
      <c r="P20" s="117" t="str">
        <v>USD_CURVE_DEP6M_9M</v>
      </c>
      <c r="Q20" s="116">
        <f>IF(P20="","",'6M Pricing'!$I20*100)</f>
        <v>0.95906536702372902</v>
      </c>
      <c r="R20" s="116">
        <f t="shared" si="2"/>
        <v>0.95906536702372902</v>
      </c>
      <c r="S20" s="117" t="str">
        <v>USD_CURVE_DEP12M_9M</v>
      </c>
      <c r="T20" s="116">
        <f>IF(S20="","",'1Y Pricing'!$I20*100)</f>
        <v>1.2136000000000009</v>
      </c>
      <c r="U20" s="116">
        <f t="shared" si="3"/>
        <v>1.2136000000000009</v>
      </c>
      <c r="V20" s="115" t="str">
        <v>USD_CURVE_OIS_9M</v>
      </c>
      <c r="W20" s="116">
        <f>IF(V20="","",'ON Pricing'!$G20*100)</f>
        <v>0.47600000000193371</v>
      </c>
      <c r="X20" s="116">
        <f t="shared" si="4"/>
        <v>0.47600000000193371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44</v>
      </c>
      <c r="AC20" s="142">
        <f>IF($C20=" ","",ROUND(ABS(_xll.RtGet(SourceAlias,$J20,BID)-K20),4))</f>
        <v>0</v>
      </c>
      <c r="AD20" s="142">
        <f>IF($C20=" ","",ROUND(ABS(_xll.RtGet(SourceAlias,$J20,ASK)-L20),4))</f>
        <v>0</v>
      </c>
      <c r="AE20" s="142">
        <f>IF($D20=" ","",ROUND(ABS(_xll.RtGet(SourceAlias,$M20,BID)-N20),4))</f>
        <v>2.0999999999999999E-3</v>
      </c>
      <c r="AF20" s="142">
        <f>IF($D20=" ","",ROUND(ABS(_xll.RtGet(SourceAlias,$M20,ASK)-O20),4))</f>
        <v>2.0999999999999999E-3</v>
      </c>
      <c r="AG20" s="142">
        <f>IF($E20=" ","",ROUND(ABS(_xll.RtGet(SourceAlias,$P20,BID)-Q20),4))</f>
        <v>1.2999999999999999E-3</v>
      </c>
      <c r="AH20" s="142">
        <f>IF($E20=" ","",ROUND(ABS(_xll.RtGet(SourceAlias,$P20,ASK)-R20),4))</f>
        <v>1.2999999999999999E-3</v>
      </c>
      <c r="AI20" s="142">
        <f>IF($F20=" ","",ROUND(ABS(_xll.RtGet(SourceAlias,$S20,BID)-T20),4))</f>
        <v>1E-3</v>
      </c>
      <c r="AJ20" s="142">
        <f>IF($F20=" ","",ROUND(ABS(_xll.RtGet(SourceAlias,$S20,ASK)-U20),4))</f>
        <v>1E-3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6"/>
      <c r="B21" s="49" t="s">
        <v>61</v>
      </c>
      <c r="C21" s="86" t="s">
        <v>44</v>
      </c>
      <c r="D21" s="86" t="s">
        <v>44</v>
      </c>
      <c r="E21" s="86" t="s">
        <v>44</v>
      </c>
      <c r="F21" s="86" t="s">
        <v>44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44</v>
      </c>
      <c r="I21" s="18" t="s">
        <v>44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0.49000000000198235</v>
      </c>
      <c r="X21" s="120">
        <f t="shared" si="4"/>
        <v>0.49000000000198235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44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6"/>
      <c r="B22" s="49" t="s">
        <v>62</v>
      </c>
      <c r="C22" s="86" t="s">
        <v>44</v>
      </c>
      <c r="D22" s="86" t="s">
        <v>44</v>
      </c>
      <c r="E22" s="86" t="s">
        <v>44</v>
      </c>
      <c r="F22" s="86" t="s">
        <v>44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44</v>
      </c>
      <c r="I22" s="18" t="s">
        <v>44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0.50299999999999634</v>
      </c>
      <c r="X22" s="116">
        <f t="shared" si="4"/>
        <v>0.50299999999999634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44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1E-3</v>
      </c>
      <c r="AL22" s="142">
        <f>IF($G22=" ","",ROUND(ABS(_xll.RtGet(SourceAlias,$V22,ASK)-X22),4))</f>
        <v>1E-3</v>
      </c>
      <c r="AM22" s="142"/>
      <c r="AN22" s="142"/>
    </row>
    <row r="23" spans="1:40" ht="11.25" customHeight="1" x14ac:dyDescent="0.2">
      <c r="A23" s="196"/>
      <c r="B23" s="50" t="s">
        <v>64</v>
      </c>
      <c r="C23" s="89" t="s">
        <v>44</v>
      </c>
      <c r="D23" s="89" t="s">
        <v>44</v>
      </c>
      <c r="E23" s="89" t="s">
        <v>44</v>
      </c>
      <c r="F23" s="89" t="s">
        <v>44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44</v>
      </c>
      <c r="I23" s="18" t="s">
        <v>44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0.5160000000080015</v>
      </c>
      <c r="X23" s="119">
        <f t="shared" si="4"/>
        <v>0.5160000000080015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44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6"/>
      <c r="B24" s="188" t="str">
        <f t="array" ref="B24:B25">'1M Pricing'!D24:D25</f>
        <v>#20161221</v>
      </c>
      <c r="C24" s="86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6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6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6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6" t="s">
        <v>44</v>
      </c>
      <c r="H24" s="136" t="s">
        <v>44</v>
      </c>
      <c r="I24" s="189"/>
      <c r="J24" s="115" t="str">
        <v>USD_CURVE_DEP1M_#20161221</v>
      </c>
      <c r="K24" s="116">
        <f>IF(J24="","",'1M Pricing'!I24*100)</f>
        <v>0.54369815112730457</v>
      </c>
      <c r="L24" s="116">
        <f t="shared" ref="L24" si="6">K24</f>
        <v>0.54369815112730457</v>
      </c>
      <c r="M24" s="117" t="str">
        <v>USD_CURVE_DEP3M_#20161221</v>
      </c>
      <c r="N24" s="116">
        <f>IF(M24="","",'3M Pricing'!$I24*100)</f>
        <v>0.71930828392576229</v>
      </c>
      <c r="O24" s="116">
        <f t="shared" ref="O24" si="7">N24</f>
        <v>0.71930828392576229</v>
      </c>
      <c r="P24" s="117" t="str">
        <v>USD_CURVE_DEP6M_#20161221</v>
      </c>
      <c r="Q24" s="116">
        <f>IF(P24="","",'6M Pricing'!$I24*100)</f>
        <v>0.93315656874215802</v>
      </c>
      <c r="R24" s="116">
        <f t="shared" ref="R24" si="8">Q24</f>
        <v>0.93315656874215802</v>
      </c>
      <c r="S24" s="117" t="str">
        <v>USD_CURVE_DEP12M_#20161221</v>
      </c>
      <c r="T24" s="116">
        <f>IF(S24="","",'1Y Pricing'!$I24*100)</f>
        <v>1.2045214489413811</v>
      </c>
      <c r="U24" s="116">
        <f t="shared" ref="U24" si="9">T24</f>
        <v>1.2045214489413811</v>
      </c>
      <c r="V24" s="115" t="str">
        <v/>
      </c>
      <c r="W24" s="116" t="str">
        <f>IF(V24="","",'ON Pricing'!$G24*100)</f>
        <v/>
      </c>
      <c r="X24" s="116" t="str">
        <f t="shared" ref="X24" si="10">W24</f>
        <v/>
      </c>
      <c r="Y24" s="115"/>
      <c r="Z24" s="116" t="str">
        <f>IF(Y24="","",'STD Pricing'!$G24*100)</f>
        <v/>
      </c>
      <c r="AA24" s="116" t="str">
        <f t="shared" si="5"/>
        <v/>
      </c>
      <c r="AB24" s="23"/>
      <c r="AC24" s="142">
        <f>IF($C24=" ","",ROUND(ABS(_xll.RtGet(SourceAlias,$J24,BID)-K24),4))</f>
        <v>2.2000000000000001E-3</v>
      </c>
      <c r="AD24" s="142">
        <f>IF($C24=" ","",ROUND(ABS(_xll.RtGet(SourceAlias,$J24,ASK)-L24),4))</f>
        <v>2.2000000000000001E-3</v>
      </c>
      <c r="AE24" s="142">
        <f>IF($D24=" ","",ROUND(ABS(_xll.RtGet(SourceAlias,$M24,BID)-N24),4))</f>
        <v>2.0000000000000001E-4</v>
      </c>
      <c r="AF24" s="142">
        <f>IF($D24=" ","",ROUND(ABS(_xll.RtGet(SourceAlias,$M24,ASK)-O24),4))</f>
        <v>2.0000000000000001E-4</v>
      </c>
      <c r="AG24" s="142">
        <f>IF($E24=" ","",ROUND(ABS(_xll.RtGet(SourceAlias,$P24,BID)-Q24),4))</f>
        <v>1.2999999999999999E-3</v>
      </c>
      <c r="AH24" s="142">
        <f>IF($E24=" ","",ROUND(ABS(_xll.RtGet(SourceAlias,$P24,ASK)-R24),4))</f>
        <v>1.2999999999999999E-3</v>
      </c>
      <c r="AI24" s="142">
        <f>IF($F24=" ","",ROUND(ABS(_xll.RtGet(SourceAlias,$S24,BID)-T24),4))</f>
        <v>1.8E-3</v>
      </c>
      <c r="AJ24" s="142">
        <f>IF($F24=" ","",ROUND(ABS(_xll.RtGet(SourceAlias,$S24,ASK)-U24),4))</f>
        <v>1.8E-3</v>
      </c>
      <c r="AK24" s="142" t="str">
        <f>IF($G24=" ","",ROUND(ABS(_xll.RtGet(SourceAlias,$V24,BID)-W24),4))</f>
        <v/>
      </c>
      <c r="AL24" s="142" t="str">
        <f>IF($G24=" ","",ROUND(ABS(_xll.RtGet(SourceAlias,$V24,ASK)-X24),4))</f>
        <v/>
      </c>
      <c r="AM24" s="142"/>
      <c r="AN24" s="142"/>
    </row>
    <row r="25" spans="1:40" ht="11.25" customHeight="1" x14ac:dyDescent="0.2">
      <c r="A25" s="196"/>
      <c r="B25" s="167" t="str">
        <v>#20170315</v>
      </c>
      <c r="C25" s="89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9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9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9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8" t="s">
        <v>44</v>
      </c>
      <c r="H25" s="138" t="s">
        <v>44</v>
      </c>
      <c r="I25" s="189" t="s">
        <v>44</v>
      </c>
      <c r="J25" s="118" t="str">
        <v>USD_CURVE_DEP1M_#20170315</v>
      </c>
      <c r="K25" s="119">
        <f>IF(J25="","",'1M Pricing'!I25*100)</f>
        <v>0.59146129012449278</v>
      </c>
      <c r="L25" s="119">
        <f t="shared" si="0"/>
        <v>0.59146129012449278</v>
      </c>
      <c r="M25" s="118" t="str">
        <v>USD_CURVE_DEP3M_#20170315</v>
      </c>
      <c r="N25" s="119">
        <f>IF(M25="","",'3M Pricing'!$I25*100)</f>
        <v>0.76560401421666502</v>
      </c>
      <c r="O25" s="119">
        <f t="shared" si="1"/>
        <v>0.76560401421666502</v>
      </c>
      <c r="P25" s="118" t="str">
        <v>USD_CURVE_DEP6M_#20170315</v>
      </c>
      <c r="Q25" s="119">
        <f>IF(P25="","",'6M Pricing'!$I25*100)</f>
        <v>0.97607094217301671</v>
      </c>
      <c r="R25" s="119">
        <f t="shared" si="2"/>
        <v>0.97607094217301671</v>
      </c>
      <c r="S25" s="118" t="str">
        <v>USD_CURVE_DEP12M_#20170315</v>
      </c>
      <c r="T25" s="119">
        <f>IF(S25="","",'1Y Pricing'!$I25*100)</f>
        <v>1.2205852209876178</v>
      </c>
      <c r="U25" s="119">
        <f t="shared" si="3"/>
        <v>1.2205852209876178</v>
      </c>
      <c r="V25" s="121" t="str">
        <v/>
      </c>
      <c r="W25" s="119" t="str">
        <f>IF(V25="","",'ON Pricing'!$G25*100)</f>
        <v/>
      </c>
      <c r="X25" s="119" t="str">
        <f t="shared" si="4"/>
        <v/>
      </c>
      <c r="Y25" s="121"/>
      <c r="Z25" s="119" t="str">
        <f>IF(Y25="","",'STD Pricing'!$G25*100)</f>
        <v/>
      </c>
      <c r="AA25" s="119" t="str">
        <f t="shared" si="5"/>
        <v/>
      </c>
      <c r="AB25" s="23" t="s">
        <v>44</v>
      </c>
      <c r="AC25" s="144" t="e">
        <f>IF($C25=" ","",ROUND(ABS(_xll.RtGet(SourceAlias,$J25,BID)-K25),4))</f>
        <v>#VALUE!</v>
      </c>
      <c r="AD25" s="144" t="e">
        <f>IF($C25=" ","",ROUND(ABS(_xll.RtGet(SourceAlias,$J25,ASK)-L25),4))</f>
        <v>#VALUE!</v>
      </c>
      <c r="AE25" s="144" t="e">
        <f>IF($D25=" ","",ROUND(ABS(_xll.RtGet(SourceAlias,$M25,BID)-N25),4))</f>
        <v>#VALUE!</v>
      </c>
      <c r="AF25" s="144" t="e">
        <f>IF($D25=" ","",ROUND(ABS(_xll.RtGet(SourceAlias,$M25,ASK)-O25),4))</f>
        <v>#VALUE!</v>
      </c>
      <c r="AG25" s="144" t="e">
        <f>IF($E25=" ","",ROUND(ABS(_xll.RtGet(SourceAlias,$P25,BID)-Q25),4))</f>
        <v>#VALUE!</v>
      </c>
      <c r="AH25" s="144" t="e">
        <f>IF($E25=" ","",ROUND(ABS(_xll.RtGet(SourceAlias,$P25,ASK)-R25),4))</f>
        <v>#VALUE!</v>
      </c>
      <c r="AI25" s="144" t="e">
        <f>IF($F25=" ","",ROUND(ABS(_xll.RtGet(SourceAlias,$S25,BID)-T25),4))</f>
        <v>#VALUE!</v>
      </c>
      <c r="AJ25" s="144" t="e">
        <f>IF($F25=" ","",ROUND(ABS(_xll.RtGet(SourceAlias,$S25,ASK)-U25),4))</f>
        <v>#VALUE!</v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/>
      <c r="AN25" s="144"/>
    </row>
    <row r="26" spans="1:40" ht="11.25" customHeight="1" x14ac:dyDescent="0.2">
      <c r="A26" s="195" t="s">
        <v>114</v>
      </c>
      <c r="B26" s="49" t="str">
        <f t="array" ref="B26:B34">'1M Pricing'!D26:D34</f>
        <v>M6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44</v>
      </c>
      <c r="H26" s="136" t="s">
        <v>44</v>
      </c>
      <c r="I26" s="18" t="s">
        <v>44</v>
      </c>
      <c r="J26" s="115" t="str">
        <v>USD_CURVE_FUT1M_M6</v>
      </c>
      <c r="K26" s="116">
        <f>IF(J26="","",'1M Pricing'!$I26)</f>
        <v>99.493546202149801</v>
      </c>
      <c r="L26" s="116">
        <f t="shared" si="0"/>
        <v>99.493546202149801</v>
      </c>
      <c r="M26" s="117" t="str">
        <v>USD_CURVE_FUT3M_M6</v>
      </c>
      <c r="N26" s="116">
        <f>IF(M26="","",'3M Pricing'!$I26)</f>
        <v>99.31266154548635</v>
      </c>
      <c r="O26" s="116">
        <f t="shared" si="1"/>
        <v>99.31266154548635</v>
      </c>
      <c r="P26" s="117" t="str">
        <v>USD_CURVE_FUT6M_M6</v>
      </c>
      <c r="Q26" s="116">
        <f>IF(P26="","",'6M Pricing'!$I26)</f>
        <v>99.107090979335112</v>
      </c>
      <c r="R26" s="116">
        <f t="shared" si="2"/>
        <v>99.107090979335112</v>
      </c>
      <c r="S26" s="117" t="str">
        <v>USD_CURVE_FUT12M_M6</v>
      </c>
      <c r="T26" s="116">
        <f>IF(S26="","",'1Y Pricing'!$I26)</f>
        <v>98.81107001512504</v>
      </c>
      <c r="U26" s="116">
        <f t="shared" si="3"/>
        <v>98.81107001512504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44</v>
      </c>
      <c r="AC26" s="142">
        <f>IF($C26=" ","",ROUND(ABS(_xll.RtGet(SourceAlias,$J26,BID)-K26),4))</f>
        <v>3.0000000000000001E-3</v>
      </c>
      <c r="AD26" s="142">
        <f>IF($C26=" ","",ROUND(ABS(_xll.RtGet(SourceAlias,$J26,ASK)-L26),4))</f>
        <v>3.0000000000000001E-3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3.5000000000000001E-3</v>
      </c>
      <c r="AH26" s="142">
        <f>IF($E26=" ","",ROUND(ABS(_xll.RtGet(SourceAlias,$P26,ASK)-R26),4))</f>
        <v>3.5000000000000001E-3</v>
      </c>
      <c r="AI26" s="142">
        <f>IF($F26=" ","",ROUND(ABS(_xll.RtGet(SourceAlias,$S26,BID)-T26),4))</f>
        <v>2E-3</v>
      </c>
      <c r="AJ26" s="142">
        <f>IF($F26=" ","",ROUND(ABS(_xll.RtGet(SourceAlias,$S26,ASK)-U26),4))</f>
        <v>2E-3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6"/>
      <c r="B27" s="49" t="str">
        <v>U6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44</v>
      </c>
      <c r="H27" s="136" t="s">
        <v>44</v>
      </c>
      <c r="I27" s="18" t="s">
        <v>44</v>
      </c>
      <c r="J27" s="115" t="str">
        <v>USD_CURVE_FUT1M_U6</v>
      </c>
      <c r="K27" s="116">
        <f>IF(J27="","",'1M Pricing'!$I27)</f>
        <v>99.37459472099836</v>
      </c>
      <c r="L27" s="116">
        <f t="shared" si="0"/>
        <v>99.37459472099836</v>
      </c>
      <c r="M27" s="117" t="str">
        <v>USD_CURVE_FUT3M_U6</v>
      </c>
      <c r="N27" s="116">
        <f>IF(M27="","",'3M Pricing'!$I27)</f>
        <v>99.203235783712387</v>
      </c>
      <c r="O27" s="116">
        <f t="shared" si="1"/>
        <v>99.203235783712387</v>
      </c>
      <c r="P27" s="117" t="str">
        <v>USD_CURVE_FUT6M_U6</v>
      </c>
      <c r="Q27" s="116">
        <f>IF(P27="","",'6M Pricing'!$I27)</f>
        <v>98.98021907102769</v>
      </c>
      <c r="R27" s="116">
        <f t="shared" si="2"/>
        <v>98.98021907102769</v>
      </c>
      <c r="S27" s="117" t="str">
        <v>USD_CURVE_FUT12M_U6</v>
      </c>
      <c r="T27" s="116">
        <f>IF(S27="","",'1Y Pricing'!$I27)</f>
        <v>98.772240492178227</v>
      </c>
      <c r="U27" s="116">
        <f t="shared" si="3"/>
        <v>98.772240492178227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44</v>
      </c>
      <c r="AC27" s="142">
        <f>IF($C27=" ","",ROUND(ABS(_xll.RtGet(SourceAlias,$J27,BID)-K27),4))</f>
        <v>3.8999999999999998E-3</v>
      </c>
      <c r="AD27" s="142">
        <f>IF($C27=" ","",ROUND(ABS(_xll.RtGet(SourceAlias,$J27,ASK)-L27),4))</f>
        <v>3.8999999999999998E-3</v>
      </c>
      <c r="AE27" s="142">
        <f>IF($D27=" ","",ROUND(ABS(_xll.RtGet(SourceAlias,$M27,BID)-N27),4))</f>
        <v>0</v>
      </c>
      <c r="AF27" s="142">
        <f>IF($D27=" ","",ROUND(ABS(_xll.RtGet(SourceAlias,$M27,ASK)-O27),4))</f>
        <v>0</v>
      </c>
      <c r="AG27" s="142">
        <f>IF($E27=" ","",ROUND(ABS(_xll.RtGet(SourceAlias,$P27,BID)-Q27),4))</f>
        <v>1.1999999999999999E-3</v>
      </c>
      <c r="AH27" s="142">
        <f>IF($E27=" ","",ROUND(ABS(_xll.RtGet(SourceAlias,$P27,ASK)-R27),4))</f>
        <v>1.1999999999999999E-3</v>
      </c>
      <c r="AI27" s="142">
        <f>IF($F27=" ","",ROUND(ABS(_xll.RtGet(SourceAlias,$S27,BID)-T27),4))</f>
        <v>3.2000000000000002E-3</v>
      </c>
      <c r="AJ27" s="142">
        <f>IF($F27=" ","",ROUND(ABS(_xll.RtGet(SourceAlias,$S27,ASK)-U27),4))</f>
        <v>3.2000000000000002E-3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6"/>
      <c r="B28" s="49" t="str">
        <v>Z6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44</v>
      </c>
      <c r="H28" s="136" t="s">
        <v>44</v>
      </c>
      <c r="I28" s="18" t="s">
        <v>44</v>
      </c>
      <c r="J28" s="115" t="str">
        <v>USD_CURVE_FUT1M_Z6</v>
      </c>
      <c r="K28" s="116">
        <f>IF(J28="","",'1M Pricing'!$I28)</f>
        <v>99.277731984136693</v>
      </c>
      <c r="L28" s="116">
        <f t="shared" si="0"/>
        <v>99.277731984136693</v>
      </c>
      <c r="M28" s="117" t="str">
        <v>USD_CURVE_FUT3M_Z6</v>
      </c>
      <c r="N28" s="116">
        <f>IF(M28="","",'3M Pricing'!$I28)</f>
        <v>99.109028505318435</v>
      </c>
      <c r="O28" s="116">
        <f t="shared" si="1"/>
        <v>99.109028505318435</v>
      </c>
      <c r="P28" s="117" t="str">
        <v>USD_CURVE_FUT6M_Z6</v>
      </c>
      <c r="Q28" s="116">
        <f>IF(P28="","",'6M Pricing'!$I28)</f>
        <v>98.91152869859701</v>
      </c>
      <c r="R28" s="116">
        <f t="shared" si="2"/>
        <v>98.91152869859701</v>
      </c>
      <c r="S28" s="117" t="str">
        <v>USD_CURVE_FUT12M_Z6</v>
      </c>
      <c r="T28" s="116">
        <f>IF(S28="","",'1Y Pricing'!$I28)</f>
        <v>98.744045540468932</v>
      </c>
      <c r="U28" s="116">
        <f t="shared" si="3"/>
        <v>98.744045540468932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44</v>
      </c>
      <c r="AC28" s="142">
        <f>IF($C28=" ","",ROUND(ABS(_xll.RtGet(SourceAlias,$J28,BID)-K28),4))</f>
        <v>2.0000000000000001E-4</v>
      </c>
      <c r="AD28" s="142">
        <f>IF($C28=" ","",ROUND(ABS(_xll.RtGet(SourceAlias,$J28,ASK)-L28),4))</f>
        <v>2.0000000000000001E-4</v>
      </c>
      <c r="AE28" s="142">
        <f>IF($D28=" ","",ROUND(ABS(_xll.RtGet(SourceAlias,$M28,BID)-N28),4))</f>
        <v>0</v>
      </c>
      <c r="AF28" s="142">
        <f>IF($D28=" ","",ROUND(ABS(_xll.RtGet(SourceAlias,$M28,ASK)-O28),4))</f>
        <v>0</v>
      </c>
      <c r="AG28" s="142">
        <f>IF($E28=" ","",ROUND(ABS(_xll.RtGet(SourceAlias,$P28,BID)-Q28),4))</f>
        <v>1.8E-3</v>
      </c>
      <c r="AH28" s="142">
        <f>IF($E28=" ","",ROUND(ABS(_xll.RtGet(SourceAlias,$P28,ASK)-R28),4))</f>
        <v>1.8E-3</v>
      </c>
      <c r="AI28" s="142">
        <f>IF($F28=" ","",ROUND(ABS(_xll.RtGet(SourceAlias,$S28,BID)-T28),4))</f>
        <v>1.6000000000000001E-3</v>
      </c>
      <c r="AJ28" s="142">
        <f>IF($F28=" ","",ROUND(ABS(_xll.RtGet(SourceAlias,$S28,ASK)-U28),4))</f>
        <v>1.6000000000000001E-3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6"/>
      <c r="B29" s="49" t="str">
        <v>H7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44</v>
      </c>
      <c r="H29" s="136" t="s">
        <v>44</v>
      </c>
      <c r="I29" s="18" t="s">
        <v>44</v>
      </c>
      <c r="J29" s="115" t="str">
        <v>USD_CURVE_FUT1M_H7</v>
      </c>
      <c r="K29" s="116">
        <f>IF(J29="","",'1M Pricing'!$I29)</f>
        <v>99.214429120472772</v>
      </c>
      <c r="L29" s="116">
        <f t="shared" si="0"/>
        <v>99.214429120472772</v>
      </c>
      <c r="M29" s="117" t="str">
        <v>USD_CURVE_FUT3M_H7</v>
      </c>
      <c r="N29" s="116">
        <f>IF(M29="","",'3M Pricing'!$I29)</f>
        <v>99.045006039341104</v>
      </c>
      <c r="O29" s="116">
        <f t="shared" si="1"/>
        <v>99.045006039341104</v>
      </c>
      <c r="P29" s="117" t="str">
        <v>USD_CURVE_FUT6M_H7</v>
      </c>
      <c r="Q29" s="116">
        <f>IF(P29="","",'6M Pricing'!$I29)</f>
        <v>98.85235213406321</v>
      </c>
      <c r="R29" s="116">
        <f t="shared" si="2"/>
        <v>98.85235213406321</v>
      </c>
      <c r="S29" s="117" t="str">
        <v>USD_CURVE_FUT12M_H7</v>
      </c>
      <c r="T29" s="116">
        <f>IF(S29="","",'1Y Pricing'!$I29)</f>
        <v>98.738106610375084</v>
      </c>
      <c r="U29" s="116">
        <f t="shared" si="3"/>
        <v>98.738106610375084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B29" s="23" t="s">
        <v>44</v>
      </c>
      <c r="AC29" s="142">
        <f>IF($C29=" ","",ROUND(ABS(_xll.RtGet(SourceAlias,$J29,BID)-K29),4))</f>
        <v>4.0000000000000002E-4</v>
      </c>
      <c r="AD29" s="142">
        <f>IF($C29=" ","",ROUND(ABS(_xll.RtGet(SourceAlias,$J29,ASK)-L29),4))</f>
        <v>4.0000000000000002E-4</v>
      </c>
      <c r="AE29" s="142">
        <f>IF($D29=" ","",ROUND(ABS(_xll.RtGet(SourceAlias,$M29,BID)-N29),4))</f>
        <v>1E-4</v>
      </c>
      <c r="AF29" s="142">
        <f>IF($D29=" ","",ROUND(ABS(_xll.RtGet(SourceAlias,$M29,ASK)-O29),4))</f>
        <v>1E-4</v>
      </c>
      <c r="AG29" s="142">
        <f>IF($E29=" ","",ROUND(ABS(_xll.RtGet(SourceAlias,$P29,BID)-Q29),4))</f>
        <v>8.9999999999999998E-4</v>
      </c>
      <c r="AH29" s="142">
        <f>IF($E29=" ","",ROUND(ABS(_xll.RtGet(SourceAlias,$P29,ASK)-R29),4))</f>
        <v>8.9999999999999998E-4</v>
      </c>
      <c r="AI29" s="142">
        <f>IF($F29=" ","",ROUND(ABS(_xll.RtGet(SourceAlias,$S29,BID)-T29),4))</f>
        <v>2.3E-3</v>
      </c>
      <c r="AJ29" s="142">
        <f>IF($F29=" ","",ROUND(ABS(_xll.RtGet(SourceAlias,$S29,ASK)-U29),4))</f>
        <v>2.3E-3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6"/>
      <c r="B30" s="49" t="str">
        <v>M7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44</v>
      </c>
      <c r="H30" s="136" t="s">
        <v>44</v>
      </c>
      <c r="I30" s="18" t="s">
        <v>44</v>
      </c>
      <c r="J30" s="115" t="str">
        <v>USD_CURVE_FUT1M_M7</v>
      </c>
      <c r="K30" s="116">
        <f>IF(J30="","",'1M Pricing'!$I30)</f>
        <v>99.152867853036952</v>
      </c>
      <c r="L30" s="116">
        <f t="shared" si="0"/>
        <v>99.152867853036952</v>
      </c>
      <c r="M30" s="117" t="str">
        <v>USD_CURVE_FUT3M_M7</v>
      </c>
      <c r="N30" s="116">
        <f>IF(M30="","",'3M Pricing'!$I30)</f>
        <v>98.981392353035659</v>
      </c>
      <c r="O30" s="116">
        <f t="shared" si="1"/>
        <v>98.981392353035659</v>
      </c>
      <c r="P30" s="117" t="str">
        <v>USD_CURVE_FUT6M_M7</v>
      </c>
      <c r="Q30" s="116">
        <f>IF(P30="","",'6M Pricing'!$I30)</f>
        <v>98.81838034402675</v>
      </c>
      <c r="R30" s="116">
        <f t="shared" si="2"/>
        <v>98.81838034402675</v>
      </c>
      <c r="S30" s="117" t="str">
        <v>USD_CURVE_FUT12M_M7</v>
      </c>
      <c r="T30" s="116">
        <f>IF(S30="","",'1Y Pricing'!$I30)</f>
        <v>98.691100229528544</v>
      </c>
      <c r="U30" s="116">
        <f t="shared" si="3"/>
        <v>98.691100229528544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2.8E-3</v>
      </c>
      <c r="AD30" s="142">
        <f>IF($C30=" ","",ROUND(ABS(_xll.RtGet(SourceAlias,$J30,ASK)-L30),4))</f>
        <v>2.8E-3</v>
      </c>
      <c r="AE30" s="142">
        <f>IF($D30=" ","",ROUND(ABS(_xll.RtGet(SourceAlias,$M30,BID)-N30),4))</f>
        <v>1E-4</v>
      </c>
      <c r="AF30" s="142">
        <f>IF($D30=" ","",ROUND(ABS(_xll.RtGet(SourceAlias,$M30,ASK)-O30),4))</f>
        <v>1E-4</v>
      </c>
      <c r="AG30" s="142">
        <f>IF($E30=" ","",ROUND(ABS(_xll.RtGet(SourceAlias,$P30,BID)-Q30),4))</f>
        <v>5.3E-3</v>
      </c>
      <c r="AH30" s="142">
        <f>IF($E30=" ","",ROUND(ABS(_xll.RtGet(SourceAlias,$P30,ASK)-R30),4))</f>
        <v>5.3E-3</v>
      </c>
      <c r="AI30" s="142">
        <f>IF($F30=" ","",ROUND(ABS(_xll.RtGet(SourceAlias,$S30,BID)-T30),4))</f>
        <v>2E-3</v>
      </c>
      <c r="AJ30" s="142">
        <f>IF($F30=" ","",ROUND(ABS(_xll.RtGet(SourceAlias,$S30,ASK)-U30),4))</f>
        <v>2E-3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6"/>
      <c r="B31" s="49" t="str">
        <v>U7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44</v>
      </c>
      <c r="H31" s="136" t="s">
        <v>44</v>
      </c>
      <c r="I31" s="18" t="s">
        <v>44</v>
      </c>
      <c r="J31" s="115" t="str">
        <v>USD_CURVE_FUT1M_U7</v>
      </c>
      <c r="K31" s="116">
        <f>IF(J31="","",'1M Pricing'!$I31)</f>
        <v>99.093263971953434</v>
      </c>
      <c r="L31" s="116">
        <f t="shared" si="0"/>
        <v>99.093263971953434</v>
      </c>
      <c r="M31" s="117" t="str">
        <v>USD_CURVE_FUT3M_U7</v>
      </c>
      <c r="N31" s="116">
        <f>IF(M31="","",'3M Pricing'!$I31)</f>
        <v>98.912912088590858</v>
      </c>
      <c r="O31" s="116">
        <f t="shared" si="1"/>
        <v>98.912912088590858</v>
      </c>
      <c r="P31" s="117" t="str">
        <v>USD_CURVE_FUT6M_U7</v>
      </c>
      <c r="Q31" s="116">
        <f>IF(P31="","",'6M Pricing'!$I31)</f>
        <v>98.737991684460994</v>
      </c>
      <c r="R31" s="116">
        <f t="shared" si="2"/>
        <v>98.737991684460994</v>
      </c>
      <c r="S31" s="117" t="str">
        <v>USD_CURVE_FUT12M_U7</v>
      </c>
      <c r="T31" s="116">
        <f>IF(S31="","",'1Y Pricing'!$I31)</f>
        <v>98.554603154776771</v>
      </c>
      <c r="U31" s="116">
        <f t="shared" si="3"/>
        <v>98.554603154776771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/>
      <c r="Z31" s="116" t="str">
        <f>IF(Y31="","",'STD Pricing'!$G32*100)</f>
        <v/>
      </c>
      <c r="AA31" s="116" t="str">
        <f t="shared" si="5"/>
        <v/>
      </c>
      <c r="AC31" s="142">
        <f>IF($C31=" ","",ROUND(ABS(_xll.RtGet(SourceAlias,$J31,BID)-K31),4))</f>
        <v>4.3E-3</v>
      </c>
      <c r="AD31" s="142">
        <f>IF($C31=" ","",ROUND(ABS(_xll.RtGet(SourceAlias,$J31,ASK)-L31),4))</f>
        <v>4.3E-3</v>
      </c>
      <c r="AE31" s="142">
        <f>IF($D31=" ","",ROUND(ABS(_xll.RtGet(SourceAlias,$M31,BID)-N31),4))</f>
        <v>1E-4</v>
      </c>
      <c r="AF31" s="142">
        <f>IF($D31=" ","",ROUND(ABS(_xll.RtGet(SourceAlias,$M31,ASK)-O31),4))</f>
        <v>1E-4</v>
      </c>
      <c r="AG31" s="142">
        <f>IF($E31=" ","",ROUND(ABS(_xll.RtGet(SourceAlias,$P31,BID)-Q31),4))</f>
        <v>7.1999999999999998E-3</v>
      </c>
      <c r="AH31" s="142">
        <f>IF($E31=" ","",ROUND(ABS(_xll.RtGet(SourceAlias,$P31,ASK)-R31),4))</f>
        <v>7.1999999999999998E-3</v>
      </c>
      <c r="AI31" s="142">
        <f>IF($F31=" ","",ROUND(ABS(_xll.RtGet(SourceAlias,$S31,BID)-T31),4))</f>
        <v>1.03E-2</v>
      </c>
      <c r="AJ31" s="142">
        <f>IF($F31=" ","",ROUND(ABS(_xll.RtGet(SourceAlias,$S31,ASK)-U31),4))</f>
        <v>1.03E-2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6"/>
      <c r="B32" s="49" t="str">
        <v>Z7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44</v>
      </c>
      <c r="H32" s="136" t="s">
        <v>44</v>
      </c>
      <c r="I32" s="18" t="s">
        <v>44</v>
      </c>
      <c r="J32" s="115" t="str">
        <v>USD_CURVE_FUT1M_Z7</v>
      </c>
      <c r="K32" s="116">
        <f>IF(J32="","",'1M Pricing'!$I32)</f>
        <v>99.030318436644109</v>
      </c>
      <c r="L32" s="116">
        <f t="shared" si="0"/>
        <v>99.030318436644109</v>
      </c>
      <c r="M32" s="117" t="str">
        <v>USD_CURVE_FUT3M_Z7</v>
      </c>
      <c r="N32" s="116">
        <f>IF(M32="","",'3M Pricing'!$I32)</f>
        <v>98.839659789836361</v>
      </c>
      <c r="O32" s="116">
        <f t="shared" si="1"/>
        <v>98.839659789836361</v>
      </c>
      <c r="P32" s="117" t="str">
        <v>USD_CURVE_FUT6M_Z7</v>
      </c>
      <c r="Q32" s="116">
        <f>IF(P32="","",'6M Pricing'!$I32)</f>
        <v>98.658914635716059</v>
      </c>
      <c r="R32" s="116">
        <f t="shared" si="2"/>
        <v>98.658914635716059</v>
      </c>
      <c r="S32" s="117" t="str">
        <v>USD_CURVE_FUT12M_Z7</v>
      </c>
      <c r="T32" s="116">
        <f>IF(S32="","",'1Y Pricing'!$I32)</f>
        <v>98.355910389748757</v>
      </c>
      <c r="U32" s="116">
        <f t="shared" si="3"/>
        <v>98.355910389748757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/>
      <c r="Z32" s="116" t="str">
        <f>IF(Y32="","",'STD Pricing'!$G33*100)</f>
        <v/>
      </c>
      <c r="AA32" s="116" t="str">
        <f t="shared" si="5"/>
        <v/>
      </c>
      <c r="AC32" s="142">
        <f>IF($C32=" ","",ROUND(ABS(_xll.RtGet(SourceAlias,$J32,BID)-K32),4))</f>
        <v>4.7999999999999996E-3</v>
      </c>
      <c r="AD32" s="142">
        <f>IF($C32=" ","",ROUND(ABS(_xll.RtGet(SourceAlias,$J32,ASK)-L32),4))</f>
        <v>4.7999999999999996E-3</v>
      </c>
      <c r="AE32" s="142">
        <f>IF($D32=" ","",ROUND(ABS(_xll.RtGet(SourceAlias,$M32,BID)-N32),4))</f>
        <v>1E-4</v>
      </c>
      <c r="AF32" s="142">
        <f>IF($D32=" ","",ROUND(ABS(_xll.RtGet(SourceAlias,$M32,ASK)-O32),4))</f>
        <v>1E-4</v>
      </c>
      <c r="AG32" s="142">
        <f>IF($E32=" ","",ROUND(ABS(_xll.RtGet(SourceAlias,$P32,BID)-Q32),4))</f>
        <v>8.0999999999999996E-3</v>
      </c>
      <c r="AH32" s="142">
        <f>IF($E32=" ","",ROUND(ABS(_xll.RtGet(SourceAlias,$P32,ASK)-R32),4))</f>
        <v>8.0999999999999996E-3</v>
      </c>
      <c r="AI32" s="142">
        <f>IF($F32=" ","",ROUND(ABS(_xll.RtGet(SourceAlias,$S32,BID)-T32),4))</f>
        <v>1.4E-3</v>
      </c>
      <c r="AJ32" s="142">
        <f>IF($F32=" ","",ROUND(ABS(_xll.RtGet(SourceAlias,$S32,ASK)-U32),4))</f>
        <v>1.4E-3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6"/>
      <c r="B33" s="49" t="str">
        <v>H8</v>
      </c>
      <c r="C33" s="86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6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6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6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6" t="s">
        <v>44</v>
      </c>
      <c r="H33" s="136" t="s">
        <v>44</v>
      </c>
      <c r="I33" s="18"/>
      <c r="J33" s="115" t="str">
        <v>USD_CURVE_FUT1M_H8</v>
      </c>
      <c r="K33" s="116">
        <f>IF(J33="","",'1M Pricing'!$I33)</f>
        <v>98.962945003027585</v>
      </c>
      <c r="L33" s="116">
        <f t="shared" ref="L33" si="11">K33</f>
        <v>98.962945003027585</v>
      </c>
      <c r="M33" s="117" t="str">
        <v>USD_CURVE_FUT3M_H8</v>
      </c>
      <c r="N33" s="116">
        <f>IF(M33="","",'3M Pricing'!$I33)</f>
        <v>98.786692375272395</v>
      </c>
      <c r="O33" s="116">
        <f t="shared" ref="O33" si="12">N33</f>
        <v>98.786692375272395</v>
      </c>
      <c r="P33" s="117" t="str">
        <v>USD_CURVE_FUT6M_H8</v>
      </c>
      <c r="Q33" s="116">
        <f>IF(P33="","",'6M Pricing'!$I33)</f>
        <v>98.63385361034932</v>
      </c>
      <c r="R33" s="116">
        <f t="shared" ref="R33" si="13">Q33</f>
        <v>98.63385361034932</v>
      </c>
      <c r="S33" s="117" t="str">
        <v>USD_CURVE_FUT12M_H8</v>
      </c>
      <c r="T33" s="116">
        <f>IF(S33="","",'1Y Pricing'!$I33)</f>
        <v>98.177065036619737</v>
      </c>
      <c r="U33" s="116">
        <f t="shared" ref="U33" si="14">T33</f>
        <v>98.177065036619737</v>
      </c>
      <c r="V33" s="115" t="str">
        <v/>
      </c>
      <c r="W33" s="116" t="str">
        <f>IF(V33="","",'ON Pricing'!G33*100)</f>
        <v/>
      </c>
      <c r="X33" s="116"/>
      <c r="Y33" s="115"/>
      <c r="Z33" s="116"/>
      <c r="AA33" s="116"/>
      <c r="AC33" s="142">
        <f>IF($C33=" ","",ROUND(ABS(_xll.RtGet(SourceAlias,$J33,BID)-K33),4))</f>
        <v>4.4000000000000003E-3</v>
      </c>
      <c r="AD33" s="142">
        <f>IF($C33=" ","",ROUND(ABS(_xll.RtGet(SourceAlias,$J33,ASK)-L33),4))</f>
        <v>4.4000000000000003E-3</v>
      </c>
      <c r="AE33" s="142">
        <f>IF($D33=" ","",ROUND(ABS(_xll.RtGet(SourceAlias,$M33,BID)-N33),4))</f>
        <v>1E-4</v>
      </c>
      <c r="AF33" s="142">
        <f>IF($D33=" ","",ROUND(ABS(_xll.RtGet(SourceAlias,$M33,ASK)-O33),4))</f>
        <v>1E-4</v>
      </c>
      <c r="AG33" s="142">
        <f>IF($E33=" ","",ROUND(ABS(_xll.RtGet(SourceAlias,$P33,BID)-Q33),4))</f>
        <v>5.7000000000000002E-3</v>
      </c>
      <c r="AH33" s="142">
        <f>IF($E33=" ","",ROUND(ABS(_xll.RtGet(SourceAlias,$P33,ASK)-R33),4))</f>
        <v>5.7000000000000002E-3</v>
      </c>
      <c r="AI33" s="142">
        <f>IF($F33=" ","",ROUND(ABS(_xll.RtGet(SourceAlias,$S33,BID)-T33),4))</f>
        <v>6.4999999999999997E-3</v>
      </c>
      <c r="AJ33" s="142">
        <f>IF($F33=" ","",ROUND(ABS(_xll.RtGet(SourceAlias,$S33,ASK)-U33),4))</f>
        <v>6.4999999999999997E-3</v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/>
      <c r="AN33" s="142"/>
    </row>
    <row r="34" spans="1:40" x14ac:dyDescent="0.2">
      <c r="A34" s="197"/>
      <c r="B34" s="49" t="str">
        <v>M8</v>
      </c>
      <c r="C34" s="86" t="str">
        <f>IF(Contribute="abcd",IF($E$2&lt;&gt;-1,_xll.RtContribute(SourceAlias,J34,Fields,K34:L34,"SCOPE:SERVER"),_xll.RtContribute(SourceAlias,"DDS_INSERT_S",$E$2:$G$2,J34:L34,"SCOPE:SERVER FTC:ALL")),"stopped")</f>
        <v>stopped</v>
      </c>
      <c r="D34" s="86" t="str">
        <f>IF(Contribute="abcd",IF($E$2&lt;&gt;-1,_xll.RtContribute(SourceAlias,M34,Fields,N34:O34,"SCOPE:SERVER"),_xll.RtContribute(SourceAlias,"DDS_INSERT_S",$E$2:$G$2,M34:O34,"SCOPE:SERVER FTC:ALL")),"stopped")</f>
        <v>stopped</v>
      </c>
      <c r="E34" s="86" t="str">
        <f>IF(Contribute="abcd",IF($E$2&lt;&gt;-1,_xll.RtContribute(SourceAlias,P34,Fields,Q34:R34,"SCOPE:SERVER"),_xll.RtContribute(SourceAlias,"DDS_INSERT_S",$E$2:$G$2,P34:R34,"SCOPE:SERVER FTC:ALL")),"stopped")</f>
        <v>stopped</v>
      </c>
      <c r="F34" s="86" t="str">
        <f>IF(Contribute="abcd",IF($E$2&lt;&gt;-1,_xll.RtContribute(SourceAlias,S34,Fields,T34:U34,"SCOPE:SERVER"),_xll.RtContribute(SourceAlias,"DDS_INSERT_S",$E$2:$G$2,T34:U34,"SCOPE:SERVER FTC:ALL")),"stopped")</f>
        <v>stopped</v>
      </c>
      <c r="G34" s="136" t="s">
        <v>44</v>
      </c>
      <c r="H34" s="136" t="s">
        <v>44</v>
      </c>
      <c r="I34" s="18" t="s">
        <v>44</v>
      </c>
      <c r="J34" s="115" t="str">
        <v>USD_CURVE_FUT1M_M8</v>
      </c>
      <c r="K34" s="116">
        <f>IF(J34="","",'1M Pricing'!$I34)</f>
        <v>98.895422092703981</v>
      </c>
      <c r="L34" s="116">
        <f t="shared" si="0"/>
        <v>98.895422092703981</v>
      </c>
      <c r="M34" s="117" t="str">
        <v>USD_CURVE_FUT3M_M8</v>
      </c>
      <c r="N34" s="116">
        <f>IF(M34="","",'3M Pricing'!$I34)</f>
        <v>98.756623341921681</v>
      </c>
      <c r="O34" s="116">
        <f t="shared" si="1"/>
        <v>98.756623341921681</v>
      </c>
      <c r="P34" s="117" t="str">
        <v>USD_CURVE_FUT6M_M8</v>
      </c>
      <c r="Q34" s="116">
        <f>IF(P34="","",'6M Pricing'!$I34)</f>
        <v>98.612677443843438</v>
      </c>
      <c r="R34" s="116">
        <f t="shared" si="2"/>
        <v>98.612677443843438</v>
      </c>
      <c r="S34" s="117" t="str">
        <v>USD_CURVE_FUT12M_M8</v>
      </c>
      <c r="T34" s="116">
        <f>IF(S34="","",'1Y Pricing'!$I34)</f>
        <v>98.293929205241099</v>
      </c>
      <c r="U34" s="116">
        <f t="shared" si="3"/>
        <v>98.293929205241099</v>
      </c>
      <c r="V34" s="115" t="str">
        <v/>
      </c>
      <c r="W34" s="116" t="str">
        <f>IF(V34="","",'ON Pricing'!G34*100)</f>
        <v/>
      </c>
      <c r="X34" s="116" t="str">
        <f t="shared" si="4"/>
        <v/>
      </c>
      <c r="Y34" s="115"/>
      <c r="Z34" s="116" t="str">
        <f>IF(Y34="","",'STD Pricing'!$G34*100)</f>
        <v/>
      </c>
      <c r="AA34" s="116" t="str">
        <f t="shared" si="5"/>
        <v/>
      </c>
      <c r="AC34" s="142" t="e">
        <f>IF($C34=" ","",ROUND(ABS(_xll.RtGet(SourceAlias,$J34,BID)-K34),4))</f>
        <v>#VALUE!</v>
      </c>
      <c r="AD34" s="142" t="e">
        <f>IF($C34=" ","",ROUND(ABS(_xll.RtGet(SourceAlias,$J34,ASK)-L34),4))</f>
        <v>#VALUE!</v>
      </c>
      <c r="AE34" s="142" t="e">
        <f>IF($D34=" ","",ROUND(ABS(_xll.RtGet(SourceAlias,$M34,BID)-N34),4))</f>
        <v>#VALUE!</v>
      </c>
      <c r="AF34" s="142" t="e">
        <f>IF($D34=" ","",ROUND(ABS(_xll.RtGet(SourceAlias,$M34,ASK)-O34),4))</f>
        <v>#VALUE!</v>
      </c>
      <c r="AG34" s="142" t="e">
        <f>IF($E34=" ","",ROUND(ABS(_xll.RtGet(SourceAlias,$P34,BID)-Q34),4))</f>
        <v>#VALUE!</v>
      </c>
      <c r="AH34" s="142" t="e">
        <f>IF($E34=" ","",ROUND(ABS(_xll.RtGet(SourceAlias,$P34,ASK)-R34),4))</f>
        <v>#VALUE!</v>
      </c>
      <c r="AI34" s="142" t="e">
        <f>IF($F34=" ","",ROUND(ABS(_xll.RtGet(SourceAlias,$S34,BID)-T34),4))</f>
        <v>#VALUE!</v>
      </c>
      <c r="AJ34" s="142" t="e">
        <f>IF($F34=" ","",ROUND(ABS(_xll.RtGet(SourceAlias,$S34,ASK)-U34),4))</f>
        <v>#VALUE!</v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/>
      <c r="AN34" s="142"/>
    </row>
    <row r="35" spans="1:40" x14ac:dyDescent="0.2">
      <c r="A35" s="193" t="s">
        <v>100</v>
      </c>
      <c r="B35" s="48" t="s">
        <v>20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44</v>
      </c>
      <c r="H35" s="135" t="str">
        <f t="array" ref="H35:H70">D35:D70</f>
        <v>stopped</v>
      </c>
      <c r="I35" s="3" t="s">
        <v>44</v>
      </c>
      <c r="J35" s="112" t="str">
        <v>USD_CURVE_1M_1Y</v>
      </c>
      <c r="K35" s="113">
        <f>IF(J35="","",'1M Pricing'!$I35*100)</f>
        <v>0.61700000118381482</v>
      </c>
      <c r="L35" s="113">
        <f t="shared" si="0"/>
        <v>0.61700000118381482</v>
      </c>
      <c r="M35" s="114" t="str">
        <v>USD_CURVE_3M_1Y</v>
      </c>
      <c r="N35" s="113">
        <f>IF(M35="","",'3M Pricing'!$I35*100)</f>
        <v>0.79030212301756531</v>
      </c>
      <c r="O35" s="113">
        <f t="shared" si="1"/>
        <v>0.79030212301756531</v>
      </c>
      <c r="P35" s="114" t="str">
        <v>USD_CURVE_6M_1Y</v>
      </c>
      <c r="Q35" s="113">
        <f>IF(P35="","",'6M Pricing'!$I35*100)</f>
        <v>0.99631568850278851</v>
      </c>
      <c r="R35" s="113">
        <f t="shared" si="2"/>
        <v>0.99631568850278851</v>
      </c>
      <c r="S35" s="114" t="str">
        <v>USD_CURVE_12M_1Y</v>
      </c>
      <c r="T35" s="113">
        <f>IF(S35="","",'1Y Pricing'!$I35*100)</f>
        <v>1.229999999998389</v>
      </c>
      <c r="U35" s="113">
        <f t="shared" si="3"/>
        <v>1.229999999998389</v>
      </c>
      <c r="V35" s="112" t="str">
        <v/>
      </c>
      <c r="W35" s="113" t="str">
        <f>IF(V35="","",'ON Pricing'!$G35*100)</f>
        <v/>
      </c>
      <c r="X35" s="113" t="str">
        <f t="shared" si="4"/>
        <v/>
      </c>
      <c r="Y35" s="112"/>
      <c r="Z35" s="113" t="str">
        <f>IF(Y35="","",'STD Pricing'!$G35*100)</f>
        <v/>
      </c>
      <c r="AA35" s="113" t="str">
        <f t="shared" si="5"/>
        <v/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1.5E-3</v>
      </c>
      <c r="AF35" s="141">
        <f>IF($D35=" ","",ROUND(ABS(_xll.RtGet(SourceAlias,$M35,ASK)-O35),4))</f>
        <v>1.5E-3</v>
      </c>
      <c r="AG35" s="141">
        <f>IF($E35=" ","",ROUND(ABS(_xll.RtGet(SourceAlias,$P35,BID)-Q35),4))</f>
        <v>1.6000000000000001E-3</v>
      </c>
      <c r="AH35" s="141">
        <f>IF($E35=" ","",ROUND(ABS(_xll.RtGet(SourceAlias,$P35,ASK)-R35),4))</f>
        <v>1.6000000000000001E-3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/>
      <c r="AN35" s="141"/>
    </row>
    <row r="36" spans="1:40" x14ac:dyDescent="0.2">
      <c r="A36" s="193"/>
      <c r="B36" s="49" t="s">
        <v>104</v>
      </c>
      <c r="C36" s="86" t="s">
        <v>44</v>
      </c>
      <c r="D36" s="86" t="s">
        <v>44</v>
      </c>
      <c r="E36" s="86" t="s">
        <v>44</v>
      </c>
      <c r="F36" s="86" t="s">
        <v>44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44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USD_CURVE_OIS_15M</v>
      </c>
      <c r="W36" s="116">
        <f>IF(V36="","",'ON Pricing'!$G36*100)</f>
        <v>0.5500000000255526</v>
      </c>
      <c r="X36" s="116">
        <f t="shared" si="4"/>
        <v>0.5500000000255526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3"/>
      <c r="B37" s="49" t="s">
        <v>105</v>
      </c>
      <c r="C37" s="86" t="s">
        <v>44</v>
      </c>
      <c r="D37" s="86" t="s">
        <v>44</v>
      </c>
      <c r="E37" s="86" t="s">
        <v>44</v>
      </c>
      <c r="F37" s="86" t="s">
        <v>44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 xml:space="preserve"> </v>
      </c>
      <c r="I37" s="3" t="s">
        <v>44</v>
      </c>
      <c r="J37" s="115" t="str">
        <v/>
      </c>
      <c r="K37" s="116" t="str">
        <f>IF(J37="","",'1M Pricing'!$I37*100)</f>
        <v/>
      </c>
      <c r="L37" s="116" t="str">
        <f t="shared" si="0"/>
        <v/>
      </c>
      <c r="M37" s="117" t="str">
        <v/>
      </c>
      <c r="N37" s="116" t="str">
        <f>IF(M37="","",'3M Pricing'!$I37*100)</f>
        <v/>
      </c>
      <c r="O37" s="116" t="str">
        <f t="shared" si="1"/>
        <v/>
      </c>
      <c r="P37" s="117" t="str">
        <v/>
      </c>
      <c r="Q37" s="116" t="str">
        <f>IF(P37="","",'6M Pricing'!$I37*100)</f>
        <v/>
      </c>
      <c r="R37" s="116" t="str">
        <f t="shared" si="2"/>
        <v/>
      </c>
      <c r="S37" s="117" t="str">
        <v/>
      </c>
      <c r="T37" s="116" t="str">
        <f>IF(S37="","",'1Y Pricing'!$I37*100)</f>
        <v/>
      </c>
      <c r="U37" s="116" t="str">
        <f t="shared" si="3"/>
        <v/>
      </c>
      <c r="V37" s="115" t="str">
        <v>USD_CURVE_OIS_18M</v>
      </c>
      <c r="W37" s="116">
        <f>IF(V37="","",'ON Pricing'!$G37*100)</f>
        <v>0.58099999997387541</v>
      </c>
      <c r="X37" s="116">
        <f t="shared" si="4"/>
        <v>0.58099999997387541</v>
      </c>
      <c r="Y37" s="115"/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/>
      <c r="AN37" s="142"/>
    </row>
    <row r="38" spans="1:40" x14ac:dyDescent="0.2">
      <c r="A38" s="193"/>
      <c r="B38" s="49" t="s">
        <v>106</v>
      </c>
      <c r="C38" s="86" t="s">
        <v>44</v>
      </c>
      <c r="D38" s="86" t="s">
        <v>44</v>
      </c>
      <c r="E38" s="86" t="s">
        <v>44</v>
      </c>
      <c r="F38" s="86" t="s">
        <v>44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 xml:space="preserve"> </v>
      </c>
      <c r="I38" s="3" t="s">
        <v>44</v>
      </c>
      <c r="J38" s="115" t="str">
        <v/>
      </c>
      <c r="K38" s="116" t="str">
        <f>IF(J38="","",'1M Pricing'!$I38*100)</f>
        <v/>
      </c>
      <c r="L38" s="116" t="str">
        <f t="shared" si="0"/>
        <v/>
      </c>
      <c r="M38" s="117" t="str">
        <v/>
      </c>
      <c r="N38" s="116" t="str">
        <f>IF(M38="","",'3M Pricing'!$I38*100)</f>
        <v/>
      </c>
      <c r="O38" s="116" t="str">
        <f t="shared" si="1"/>
        <v/>
      </c>
      <c r="P38" s="117" t="str">
        <v/>
      </c>
      <c r="Q38" s="116" t="str">
        <f>IF(P38="","",'6M Pricing'!$I38*100)</f>
        <v/>
      </c>
      <c r="R38" s="116" t="str">
        <f t="shared" si="2"/>
        <v/>
      </c>
      <c r="S38" s="117" t="str">
        <v/>
      </c>
      <c r="T38" s="116" t="str">
        <f>IF(S38="","",'1Y Pricing'!$I38*100)</f>
        <v/>
      </c>
      <c r="U38" s="116" t="str">
        <f t="shared" si="3"/>
        <v/>
      </c>
      <c r="V38" s="115" t="str">
        <v>USD_CURVE_OIS_21M</v>
      </c>
      <c r="W38" s="116">
        <f>IF(V38="","",'ON Pricing'!$G38*100)</f>
        <v>0.61299999998677501</v>
      </c>
      <c r="X38" s="116">
        <f t="shared" si="4"/>
        <v>0.61299999998677501</v>
      </c>
      <c r="Y38" s="115"/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>
        <f>IF($G38=" ","",ROUND(ABS(_xll.RtGet(SourceAlias,$V38,BID)-W38),4))</f>
        <v>0</v>
      </c>
      <c r="AL38" s="142">
        <f>IF($G38=" ","",ROUND(ABS(_xll.RtGet(SourceAlias,$V38,ASK)-X38),4))</f>
        <v>0</v>
      </c>
      <c r="AM38" s="142"/>
      <c r="AN38" s="142"/>
    </row>
    <row r="39" spans="1:40" x14ac:dyDescent="0.2">
      <c r="A39" s="193"/>
      <c r="B39" s="49" t="s">
        <v>21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8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86" t="str">
        <v>stopped</v>
      </c>
      <c r="I39" s="3" t="s">
        <v>44</v>
      </c>
      <c r="J39" s="115" t="str">
        <v>USD_CURVE_1M_2Y</v>
      </c>
      <c r="K39" s="116">
        <f>IF(J39="","",'1M Pricing'!$I39*100)</f>
        <v>0.7644528251284014</v>
      </c>
      <c r="L39" s="116">
        <f t="shared" si="0"/>
        <v>0.7644528251284014</v>
      </c>
      <c r="M39" s="117" t="str">
        <v>USD_CURVE_3M_2Y</v>
      </c>
      <c r="N39" s="116">
        <f>IF(M39="","",'3M Pricing'!$I39*100)</f>
        <v>0.94129984193883454</v>
      </c>
      <c r="O39" s="116">
        <f t="shared" si="1"/>
        <v>0.94129984193883454</v>
      </c>
      <c r="P39" s="117" t="str">
        <v>USD_CURVE_6M_2Y</v>
      </c>
      <c r="Q39" s="116">
        <f>IF(P39="","",'6M Pricing'!$I39*100)</f>
        <v>1.1328152663885449</v>
      </c>
      <c r="R39" s="116">
        <f t="shared" si="2"/>
        <v>1.1328152663885449</v>
      </c>
      <c r="S39" s="117" t="str">
        <v>USD_CURVE_12M_2Y</v>
      </c>
      <c r="T39" s="116">
        <f>IF(S39="","",'1Y Pricing'!$I39*100)</f>
        <v>1.3624332360167322</v>
      </c>
      <c r="U39" s="116">
        <f t="shared" si="3"/>
        <v>1.3624332360167322</v>
      </c>
      <c r="V39" s="115" t="str">
        <v>USD_CURVE_OIS_2Y</v>
      </c>
      <c r="W39" s="116">
        <f>IF(V39="","",'ON Pricing'!$G39*100)</f>
        <v>0.64400000000398727</v>
      </c>
      <c r="X39" s="116">
        <f t="shared" si="4"/>
        <v>0.64400000000398727</v>
      </c>
      <c r="Y39" s="115"/>
      <c r="Z39" s="116" t="str">
        <f>IF(Y39="","",'STD Pricing'!$G39*100)</f>
        <v/>
      </c>
      <c r="AA39" s="116" t="str">
        <f t="shared" si="5"/>
        <v/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2.7000000000000001E-3</v>
      </c>
      <c r="AF39" s="142">
        <f>IF($D39=" ","",ROUND(ABS(_xll.RtGet(SourceAlias,$M39,ASK)-O39),4))</f>
        <v>2.7000000000000001E-3</v>
      </c>
      <c r="AG39" s="142">
        <f>IF($E39=" ","",ROUND(ABS(_xll.RtGet(SourceAlias,$P39,BID)-Q39),4))</f>
        <v>2.7000000000000001E-3</v>
      </c>
      <c r="AH39" s="142">
        <f>IF($E39=" ","",ROUND(ABS(_xll.RtGet(SourceAlias,$P39,ASK)-R39),4))</f>
        <v>2.7000000000000001E-3</v>
      </c>
      <c r="AI39" s="142">
        <f>IF($F39=" ","",ROUND(ABS(_xll.RtGet(SourceAlias,$S39,BID)-T39),4))</f>
        <v>2.7000000000000001E-3</v>
      </c>
      <c r="AJ39" s="142">
        <f>IF($F39=" ","",ROUND(ABS(_xll.RtGet(SourceAlias,$S39,ASK)-U39),4))</f>
        <v>2.7000000000000001E-3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/>
      <c r="AN39" s="142"/>
    </row>
    <row r="40" spans="1:40" x14ac:dyDescent="0.2">
      <c r="A40" s="193"/>
      <c r="B40" s="49" t="s">
        <v>22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8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86" t="str">
        <v>stopped</v>
      </c>
      <c r="I40" s="3" t="s">
        <v>44</v>
      </c>
      <c r="J40" s="115" t="str">
        <v>USD_CURVE_1M_3Y</v>
      </c>
      <c r="K40" s="120">
        <f>IF(J40="","",'1M Pricing'!$I40*100)</f>
        <v>0.89940652167532353</v>
      </c>
      <c r="L40" s="120">
        <f t="shared" ref="L40:L69" si="15">K40</f>
        <v>0.89940652167532353</v>
      </c>
      <c r="M40" s="115" t="str">
        <v>USD_CURVE_3M_3Y</v>
      </c>
      <c r="N40" s="120">
        <f>IF(M40="","",'3M Pricing'!$I40*100)</f>
        <v>1.0579999999987544</v>
      </c>
      <c r="O40" s="116">
        <f t="shared" ref="O40:O69" si="16">N40</f>
        <v>1.0579999999987544</v>
      </c>
      <c r="P40" s="115" t="str">
        <v>USD_CURVE_6M_3Y</v>
      </c>
      <c r="Q40" s="116">
        <f>IF(P40="","",'6M Pricing'!$I40*100)</f>
        <v>1.2325399060263227</v>
      </c>
      <c r="R40" s="116">
        <f t="shared" ref="R40:R69" si="17">Q40</f>
        <v>1.2325399060263227</v>
      </c>
      <c r="S40" s="115" t="str">
        <v>USD_CURVE_12M_3Y</v>
      </c>
      <c r="T40" s="116">
        <f>IF(S40="","",'1Y Pricing'!$I40*100)</f>
        <v>1.4705260709997754</v>
      </c>
      <c r="U40" s="116">
        <f t="shared" ref="U40:U69" si="18">T40</f>
        <v>1.4705260709997754</v>
      </c>
      <c r="V40" s="115" t="str">
        <v>USD_CURVE_OIS_3Y</v>
      </c>
      <c r="W40" s="120">
        <f>IF(V40="","",'ON Pricing'!$G40*100)</f>
        <v>0.76000000000269241</v>
      </c>
      <c r="X40" s="120">
        <f t="shared" ref="X40:X69" si="19">W40</f>
        <v>0.76000000000269241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1.2E-2</v>
      </c>
      <c r="AD40" s="143">
        <f>IF($C40=" ","",ROUND(ABS(_xll.RtGet(SourceAlias,$J40,ASK)-L40),4))</f>
        <v>1.2E-2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3"/>
      <c r="B41" s="49" t="s">
        <v>23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44</v>
      </c>
      <c r="J41" s="115" t="str">
        <v>USD_CURVE_1M_4Y</v>
      </c>
      <c r="K41" s="120">
        <f>IF(J41="","",'1M Pricing'!$I41*100)</f>
        <v>1.0263673228713965</v>
      </c>
      <c r="L41" s="120">
        <f t="shared" si="15"/>
        <v>1.0263673228713965</v>
      </c>
      <c r="M41" s="115" t="str">
        <v>USD_CURVE_3M_4Y</v>
      </c>
      <c r="N41" s="120">
        <f>IF(M41="","",'3M Pricing'!$I41*100)</f>
        <v>1.1760000000013653</v>
      </c>
      <c r="O41" s="116">
        <f t="shared" si="16"/>
        <v>1.1760000000013653</v>
      </c>
      <c r="P41" s="115" t="str">
        <v>USD_CURVE_6M_4Y</v>
      </c>
      <c r="Q41" s="116">
        <f>IF(P41="","",'6M Pricing'!$I41*100)</f>
        <v>1.3355567069252527</v>
      </c>
      <c r="R41" s="116">
        <f t="shared" si="17"/>
        <v>1.3355567069252527</v>
      </c>
      <c r="S41" s="115" t="str">
        <v>USD_CURVE_12M_4Y</v>
      </c>
      <c r="T41" s="116">
        <f>IF(S41="","",'1Y Pricing'!$I41*100)</f>
        <v>1.5723830140559714</v>
      </c>
      <c r="U41" s="116">
        <f t="shared" si="18"/>
        <v>1.5723830140559714</v>
      </c>
      <c r="V41" s="115" t="str">
        <v>USD_CURVE_OIS_4Y</v>
      </c>
      <c r="W41" s="120">
        <f>IF(V41="","",'ON Pricing'!$G41*100)</f>
        <v>0.87000000000203426</v>
      </c>
      <c r="X41" s="120">
        <f t="shared" si="19"/>
        <v>0.87000000000203426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1.2E-2</v>
      </c>
      <c r="AD41" s="143">
        <f>IF($C41=" ","",ROUND(ABS(_xll.RtGet(SourceAlias,$J41,ASK)-L41),4))</f>
        <v>1.2E-2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3"/>
      <c r="B42" s="49" t="s">
        <v>24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44</v>
      </c>
      <c r="J42" s="115" t="str">
        <v>USD_CURVE_1M_5Y</v>
      </c>
      <c r="K42" s="120">
        <f>IF(J42="","",'1M Pricing'!$I42*100)</f>
        <v>1.1433312152932624</v>
      </c>
      <c r="L42" s="120">
        <f t="shared" si="15"/>
        <v>1.1433312152932624</v>
      </c>
      <c r="M42" s="115" t="str">
        <v>USD_CURVE_3M_5Y</v>
      </c>
      <c r="N42" s="120">
        <f>IF(M42="","",'3M Pricing'!$I42*100)</f>
        <v>1.2859999999983007</v>
      </c>
      <c r="O42" s="116">
        <f t="shared" si="16"/>
        <v>1.2859999999983007</v>
      </c>
      <c r="P42" s="115" t="str">
        <v>USD_CURVE_6M_5Y</v>
      </c>
      <c r="Q42" s="116">
        <f>IF(P42="","",'6M Pricing'!$I42*100)</f>
        <v>1.43557799191563</v>
      </c>
      <c r="R42" s="116">
        <f t="shared" si="17"/>
        <v>1.43557799191563</v>
      </c>
      <c r="S42" s="115" t="str">
        <v>USD_CURVE_12M_5Y</v>
      </c>
      <c r="T42" s="116">
        <f>IF(S42="","",'1Y Pricing'!$I42*100)</f>
        <v>1.6724934690486768</v>
      </c>
      <c r="U42" s="116">
        <f t="shared" si="18"/>
        <v>1.6724934690486768</v>
      </c>
      <c r="V42" s="115" t="str">
        <v>USD_CURVE_OIS_5Y</v>
      </c>
      <c r="W42" s="120">
        <f>IF(V42="","",'ON Pricing'!$G42*100)</f>
        <v>0.97200000000163367</v>
      </c>
      <c r="X42" s="120">
        <f t="shared" si="19"/>
        <v>0.97200000000163367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1.2E-2</v>
      </c>
      <c r="AD42" s="143">
        <f>IF($C42=" ","",ROUND(ABS(_xll.RtGet(SourceAlias,$J42,ASK)-L42),4))</f>
        <v>1.2E-2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93"/>
      <c r="B43" s="49" t="s">
        <v>66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44</v>
      </c>
      <c r="J43" s="115" t="str">
        <v>USD_CURVE_1M_6Y</v>
      </c>
      <c r="K43" s="120">
        <f>IF(J43="","",'1M Pricing'!$I43*100)</f>
        <v>1.2573082726891132</v>
      </c>
      <c r="L43" s="120">
        <f t="shared" si="15"/>
        <v>1.2573082726891132</v>
      </c>
      <c r="M43" s="115" t="str">
        <v>USD_CURVE_3M_6Y</v>
      </c>
      <c r="N43" s="120">
        <f>IF(M43="","",'3M Pricing'!$I43*100)</f>
        <v>1.3920000000000536</v>
      </c>
      <c r="O43" s="116">
        <f t="shared" si="16"/>
        <v>1.3920000000000536</v>
      </c>
      <c r="P43" s="115" t="str">
        <v>USD_CURVE_6M_6Y</v>
      </c>
      <c r="Q43" s="116">
        <f>IF(P43="","",'6M Pricing'!$I43*100)</f>
        <v>1.5356073943408337</v>
      </c>
      <c r="R43" s="116">
        <f t="shared" si="17"/>
        <v>1.5356073943408337</v>
      </c>
      <c r="S43" s="115" t="str">
        <v>USD_CURVE_12M_6Y</v>
      </c>
      <c r="T43" s="116">
        <f>IF(S43="","",'1Y Pricing'!$I43*100)</f>
        <v>1.7598056515969678</v>
      </c>
      <c r="U43" s="116">
        <f t="shared" si="18"/>
        <v>1.7598056515969678</v>
      </c>
      <c r="V43" s="115" t="str">
        <v>USD_CURVE_OIS_6Y</v>
      </c>
      <c r="W43" s="120">
        <f>IF(V43="","",'ON Pricing'!$G43*100)</f>
        <v>1.0720000000000027</v>
      </c>
      <c r="X43" s="120">
        <f t="shared" si="19"/>
        <v>1.0720000000000027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1.0999999999999999E-2</v>
      </c>
      <c r="AD43" s="143">
        <f>IF($C43=" ","",ROUND(ABS(_xll.RtGet(SourceAlias,$J43,ASK)-L43),4))</f>
        <v>1.0999999999999999E-2</v>
      </c>
      <c r="AE43" s="143">
        <f>IF($D43=" ","",ROUND(ABS(_xll.RtGet(SourceAlias,$M43,BID)-N43),4))</f>
        <v>1E-3</v>
      </c>
      <c r="AF43" s="143">
        <f>IF($D43=" ","",ROUND(ABS(_xll.RtGet(SourceAlias,$M43,ASK)-O43),4))</f>
        <v>1E-3</v>
      </c>
      <c r="AG43" s="143">
        <f>IF($E43=" ","",ROUND(ABS(_xll.RtGet(SourceAlias,$P43,BID)-Q43),4))</f>
        <v>1E-3</v>
      </c>
      <c r="AH43" s="143">
        <f>IF($E43=" ","",ROUND(ABS(_xll.RtGet(SourceAlias,$P43,ASK)-R43),4))</f>
        <v>1E-3</v>
      </c>
      <c r="AI43" s="143">
        <f>IF($F43=" ","",ROUND(ABS(_xll.RtGet(SourceAlias,$S43,BID)-T43),4))</f>
        <v>1E-3</v>
      </c>
      <c r="AJ43" s="143">
        <f>IF($F43=" ","",ROUND(ABS(_xll.RtGet(SourceAlias,$S43,ASK)-U43),4))</f>
        <v>1E-3</v>
      </c>
      <c r="AK43" s="143">
        <f>IF($G43=" ","",ROUND(ABS(_xll.RtGet(SourceAlias,$V43,BID)-W43),4))</f>
        <v>1E-3</v>
      </c>
      <c r="AL43" s="143">
        <f>IF($G43=" ","",ROUND(ABS(_xll.RtGet(SourceAlias,$V43,ASK)-X43),4))</f>
        <v>1E-3</v>
      </c>
      <c r="AM43" s="143"/>
      <c r="AN43" s="143"/>
    </row>
    <row r="44" spans="1:40" x14ac:dyDescent="0.2">
      <c r="A44" s="193"/>
      <c r="B44" s="49" t="s">
        <v>25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44</v>
      </c>
      <c r="J44" s="115" t="str">
        <v>USD_CURVE_1M_7Y</v>
      </c>
      <c r="K44" s="120">
        <f>IF(J44="","",'1M Pricing'!$I44*100)</f>
        <v>1.3592999950381479</v>
      </c>
      <c r="L44" s="120">
        <f t="shared" si="15"/>
        <v>1.3592999950381479</v>
      </c>
      <c r="M44" s="115" t="str">
        <v>USD_CURVE_3M_7Y</v>
      </c>
      <c r="N44" s="120">
        <f>IF(M44="","",'3M Pricing'!$I44*100)</f>
        <v>1.4859999999990261</v>
      </c>
      <c r="O44" s="116">
        <f t="shared" si="16"/>
        <v>1.4859999999990261</v>
      </c>
      <c r="P44" s="115" t="str">
        <v>USD_CURVE_6M_7Y</v>
      </c>
      <c r="Q44" s="116">
        <f>IF(P44="","",'6M Pricing'!$I44*100)</f>
        <v>1.6256348608089808</v>
      </c>
      <c r="R44" s="116">
        <f t="shared" si="17"/>
        <v>1.6256348608089808</v>
      </c>
      <c r="S44" s="115" t="str">
        <v>USD_CURVE_12M_7Y</v>
      </c>
      <c r="T44" s="116">
        <f>IF(S44="","",'1Y Pricing'!$I44*100)</f>
        <v>1.8350871519194436</v>
      </c>
      <c r="U44" s="116">
        <f t="shared" si="18"/>
        <v>1.8350871519194436</v>
      </c>
      <c r="V44" s="115" t="str">
        <v>USD_CURVE_OIS_7Y</v>
      </c>
      <c r="W44" s="120">
        <f>IF(V44="","",'ON Pricing'!$G44*100)</f>
        <v>1.1600000000000985</v>
      </c>
      <c r="X44" s="120">
        <f t="shared" si="19"/>
        <v>1.1600000000000985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1.2E-2</v>
      </c>
      <c r="AD44" s="143">
        <f>IF($C44=" ","",ROUND(ABS(_xll.RtGet(SourceAlias,$J44,ASK)-L44),4))</f>
        <v>1.2E-2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93"/>
      <c r="B45" s="49" t="s">
        <v>67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44</v>
      </c>
      <c r="J45" s="115" t="str">
        <v>USD_CURVE_1M_8Y</v>
      </c>
      <c r="K45" s="120">
        <f>IF(J45="","",'1M Pricing'!$I45*100)</f>
        <v>1.4492832728135068</v>
      </c>
      <c r="L45" s="120">
        <f t="shared" si="15"/>
        <v>1.4492832728135068</v>
      </c>
      <c r="M45" s="115" t="str">
        <v>USD_CURVE_3M_8Y</v>
      </c>
      <c r="N45" s="120">
        <f>IF(M45="","",'3M Pricing'!$I45*100)</f>
        <v>1.5709999999994961</v>
      </c>
      <c r="O45" s="116">
        <f t="shared" si="16"/>
        <v>1.5709999999994961</v>
      </c>
      <c r="P45" s="115" t="str">
        <v>USD_CURVE_6M_8Y</v>
      </c>
      <c r="Q45" s="116">
        <f>IF(P45="","",'6M Pricing'!$I45*100)</f>
        <v>1.7086667318442057</v>
      </c>
      <c r="R45" s="116">
        <f t="shared" si="17"/>
        <v>1.7086667318442057</v>
      </c>
      <c r="S45" s="115" t="str">
        <v>USD_CURVE_12M_8Y</v>
      </c>
      <c r="T45" s="116">
        <f>IF(S45="","",'1Y Pricing'!$I45*100)</f>
        <v>1.9051181629613445</v>
      </c>
      <c r="U45" s="116">
        <f t="shared" si="18"/>
        <v>1.9051181629613445</v>
      </c>
      <c r="V45" s="115" t="str">
        <v>USD_CURVE_OIS_8Y</v>
      </c>
      <c r="W45" s="120">
        <f>IF(V45="","",'ON Pricing'!$G45*100)</f>
        <v>1.2399999999999987</v>
      </c>
      <c r="X45" s="120">
        <f t="shared" si="19"/>
        <v>1.2399999999999987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1.0999999999999999E-2</v>
      </c>
      <c r="AD45" s="143">
        <f>IF($C45=" ","",ROUND(ABS(_xll.RtGet(SourceAlias,$J45,ASK)-L45),4))</f>
        <v>1.0999999999999999E-2</v>
      </c>
      <c r="AE45" s="143">
        <f>IF($D45=" ","",ROUND(ABS(_xll.RtGet(SourceAlias,$M45,BID)-N45),4))</f>
        <v>1E-3</v>
      </c>
      <c r="AF45" s="143">
        <f>IF($D45=" ","",ROUND(ABS(_xll.RtGet(SourceAlias,$M45,ASK)-O45),4))</f>
        <v>1E-3</v>
      </c>
      <c r="AG45" s="143">
        <f>IF($E45=" ","",ROUND(ABS(_xll.RtGet(SourceAlias,$P45,BID)-Q45),4))</f>
        <v>1E-3</v>
      </c>
      <c r="AH45" s="143">
        <f>IF($E45=" ","",ROUND(ABS(_xll.RtGet(SourceAlias,$P45,ASK)-R45),4))</f>
        <v>1E-3</v>
      </c>
      <c r="AI45" s="143">
        <f>IF($F45=" ","",ROUND(ABS(_xll.RtGet(SourceAlias,$S45,BID)-T45),4))</f>
        <v>1E-3</v>
      </c>
      <c r="AJ45" s="143">
        <f>IF($F45=" ","",ROUND(ABS(_xll.RtGet(SourceAlias,$S45,ASK)-U45),4))</f>
        <v>1E-3</v>
      </c>
      <c r="AK45" s="143">
        <f>IF($G45=" ","",ROUND(ABS(_xll.RtGet(SourceAlias,$V45,BID)-W45),4))</f>
        <v>1E-3</v>
      </c>
      <c r="AL45" s="143">
        <f>IF($G45=" ","",ROUND(ABS(_xll.RtGet(SourceAlias,$V45,ASK)-X45),4))</f>
        <v>1E-3</v>
      </c>
      <c r="AM45" s="143"/>
      <c r="AN45" s="143"/>
    </row>
    <row r="46" spans="1:40" x14ac:dyDescent="0.2">
      <c r="A46" s="193"/>
      <c r="B46" s="49" t="s">
        <v>68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44</v>
      </c>
      <c r="J46" s="115" t="str">
        <v>USD_CURVE_1M_9Y</v>
      </c>
      <c r="K46" s="120">
        <f>IF(J46="","",'1M Pricing'!$I46*100)</f>
        <v>1.5312755271343284</v>
      </c>
      <c r="L46" s="120">
        <f t="shared" si="15"/>
        <v>1.5312755271343284</v>
      </c>
      <c r="M46" s="115" t="str">
        <v>USD_CURVE_3M_9Y</v>
      </c>
      <c r="N46" s="120">
        <f>IF(M46="","",'3M Pricing'!$I46*100)</f>
        <v>1.6479999999897159</v>
      </c>
      <c r="O46" s="116">
        <f t="shared" si="16"/>
        <v>1.6479999999897159</v>
      </c>
      <c r="P46" s="115" t="str">
        <v>USD_CURVE_6M_9Y</v>
      </c>
      <c r="Q46" s="116">
        <f>IF(P46="","",'6M Pricing'!$I46*100)</f>
        <v>1.7846975516571402</v>
      </c>
      <c r="R46" s="116">
        <f t="shared" si="17"/>
        <v>1.7846975516571402</v>
      </c>
      <c r="S46" s="115" t="str">
        <v>USD_CURVE_12M_9Y</v>
      </c>
      <c r="T46" s="116">
        <f>IF(S46="","",'1Y Pricing'!$I46*100)</f>
        <v>1.9683848866546081</v>
      </c>
      <c r="U46" s="116">
        <f t="shared" si="18"/>
        <v>1.9683848866546081</v>
      </c>
      <c r="V46" s="115" t="str">
        <v>USD_CURVE_OIS_9Y</v>
      </c>
      <c r="W46" s="120">
        <f>IF(V46="","",'ON Pricing'!$G46*100)</f>
        <v>1.3120000000003214</v>
      </c>
      <c r="X46" s="120">
        <f t="shared" si="19"/>
        <v>1.3120000000003214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1.2E-2</v>
      </c>
      <c r="AD46" s="143">
        <f>IF($C46=" ","",ROUND(ABS(_xll.RtGet(SourceAlias,$J46,ASK)-L46),4))</f>
        <v>1.2E-2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93"/>
      <c r="B47" s="49" t="s">
        <v>26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44</v>
      </c>
      <c r="J47" s="115" t="str">
        <v>USD_CURVE_1M_10Y</v>
      </c>
      <c r="K47" s="120">
        <f>IF(J47="","",'1M Pricing'!$I47*100)</f>
        <v>1.606265803335744</v>
      </c>
      <c r="L47" s="120">
        <f t="shared" si="15"/>
        <v>1.606265803335744</v>
      </c>
      <c r="M47" s="115" t="str">
        <v>USD_CURVE_3M_10Y</v>
      </c>
      <c r="N47" s="120">
        <f>IF(M47="","",'3M Pricing'!$I47*100)</f>
        <v>1.719000000027002</v>
      </c>
      <c r="O47" s="116">
        <f t="shared" si="16"/>
        <v>1.719000000027002</v>
      </c>
      <c r="P47" s="115" t="str">
        <v>USD_CURVE_6M_10Y</v>
      </c>
      <c r="Q47" s="116">
        <f>IF(P47="","",'6M Pricing'!$I47*100)</f>
        <v>1.8567372799111228</v>
      </c>
      <c r="R47" s="116">
        <f t="shared" si="17"/>
        <v>1.8567372799111228</v>
      </c>
      <c r="S47" s="115" t="str">
        <v>USD_CURVE_12M_10Y</v>
      </c>
      <c r="T47" s="116">
        <f>IF(S47="","",'1Y Pricing'!$I47*100)</f>
        <v>2.0268981165131081</v>
      </c>
      <c r="U47" s="116">
        <f t="shared" si="18"/>
        <v>2.0268981165131081</v>
      </c>
      <c r="V47" s="115" t="str">
        <v>USD_CURVE_OIS_10Y</v>
      </c>
      <c r="W47" s="120">
        <f>IF(V47="","",'ON Pricing'!$G47*100)</f>
        <v>1.3810000000002491</v>
      </c>
      <c r="X47" s="120">
        <f t="shared" si="19"/>
        <v>1.3810000000002491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1.2E-2</v>
      </c>
      <c r="AD47" s="143">
        <f>IF($C47=" ","",ROUND(ABS(_xll.RtGet(SourceAlias,$J47,ASK)-L47),4))</f>
        <v>1.2E-2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93"/>
      <c r="B48" s="49" t="s">
        <v>69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44</v>
      </c>
      <c r="J48" s="115" t="str">
        <v>USD_CURVE_1M_11Y</v>
      </c>
      <c r="K48" s="120">
        <f>IF(J48="","",'1M Pricing'!$I48*100)</f>
        <v>1.6737542625421684</v>
      </c>
      <c r="L48" s="120">
        <f t="shared" si="15"/>
        <v>1.6737542625421684</v>
      </c>
      <c r="M48" s="115" t="str">
        <v>USD_CURVE_3M_11Y</v>
      </c>
      <c r="N48" s="120">
        <f>IF(M48="","",'3M Pricing'!$I48*100)</f>
        <v>1.7844841619086671</v>
      </c>
      <c r="O48" s="116">
        <f t="shared" si="16"/>
        <v>1.7844841619086671</v>
      </c>
      <c r="P48" s="115" t="str">
        <v>USD_CURVE_6M_11Y</v>
      </c>
      <c r="Q48" s="116">
        <f>IF(P48="","",'6M Pricing'!$I48*100)</f>
        <v>1.9241703002286541</v>
      </c>
      <c r="R48" s="116">
        <f t="shared" si="17"/>
        <v>1.9241703002286541</v>
      </c>
      <c r="S48" s="115" t="str">
        <v>USD_CURVE_12M_11Y</v>
      </c>
      <c r="T48" s="116">
        <f>IF(S48="","",'1Y Pricing'!$I48*100)</f>
        <v>2.0937102655724984</v>
      </c>
      <c r="U48" s="116">
        <f t="shared" si="18"/>
        <v>2.0937102655724984</v>
      </c>
      <c r="V48" s="115" t="str">
        <v>USD_CURVE_OIS_11Y</v>
      </c>
      <c r="W48" s="120">
        <f>IF(V48="","",'ON Pricing'!$G48*100)</f>
        <v>1.4445056962632756</v>
      </c>
      <c r="X48" s="120">
        <f t="shared" si="19"/>
        <v>1.4445056962632756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1.2E-2</v>
      </c>
      <c r="AD48" s="143">
        <f>IF($C48=" ","",ROUND(ABS(_xll.RtGet(SourceAlias,$J48,ASK)-L48),4))</f>
        <v>1.2E-2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2.0000000000000001E-4</v>
      </c>
      <c r="AL48" s="143">
        <f>IF($G48=" ","",ROUND(ABS(_xll.RtGet(SourceAlias,$V48,ASK)-X48),4))</f>
        <v>2.0000000000000001E-4</v>
      </c>
      <c r="AM48" s="143"/>
      <c r="AN48" s="143"/>
    </row>
    <row r="49" spans="1:40" x14ac:dyDescent="0.2">
      <c r="A49" s="193"/>
      <c r="B49" s="49" t="s">
        <v>27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44</v>
      </c>
      <c r="J49" s="115" t="str">
        <v>USD_CURVE_1M_12Y</v>
      </c>
      <c r="K49" s="120">
        <f>IF(J49="","",'1M Pricing'!$I49*100)</f>
        <v>1.7332267364152703</v>
      </c>
      <c r="L49" s="120">
        <f t="shared" si="15"/>
        <v>1.7332267364152703</v>
      </c>
      <c r="M49" s="115" t="str">
        <v>USD_CURVE_3M_12Y</v>
      </c>
      <c r="N49" s="120">
        <f>IF(M49="","",'3M Pricing'!$I49*100)</f>
        <v>1.8430000000000673</v>
      </c>
      <c r="O49" s="116">
        <f t="shared" si="16"/>
        <v>1.8430000000000673</v>
      </c>
      <c r="P49" s="115" t="str">
        <v>USD_CURVE_6M_12Y</v>
      </c>
      <c r="Q49" s="116">
        <f>IF(P49="","",'6M Pricing'!$I49*100)</f>
        <v>1.9848205766897338</v>
      </c>
      <c r="R49" s="116">
        <f t="shared" si="17"/>
        <v>1.9848205766897338</v>
      </c>
      <c r="S49" s="115" t="str">
        <v>USD_CURVE_12M_12Y</v>
      </c>
      <c r="T49" s="116">
        <f>IF(S49="","",'1Y Pricing'!$I49*100)</f>
        <v>2.1535468301622398</v>
      </c>
      <c r="U49" s="116">
        <f t="shared" si="18"/>
        <v>2.1535468301622398</v>
      </c>
      <c r="V49" s="115" t="str">
        <v>USD_CURVE_OIS_12Y</v>
      </c>
      <c r="W49" s="120">
        <f>IF(V49="","",'ON Pricing'!$G49*100)</f>
        <v>1.5009999999967372</v>
      </c>
      <c r="X49" s="120">
        <f t="shared" si="19"/>
        <v>1.5009999999967372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3"/>
      <c r="B50" s="49" t="s">
        <v>70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44</v>
      </c>
      <c r="J50" s="115" t="str">
        <v>USD_CURVE_1M_13Y</v>
      </c>
      <c r="K50" s="120">
        <f>IF(J50="","",'1M Pricing'!$I50*100)</f>
        <v>1.7847339775523912</v>
      </c>
      <c r="L50" s="120">
        <f t="shared" si="15"/>
        <v>1.7847339775523912</v>
      </c>
      <c r="M50" s="115" t="str">
        <v>USD_CURVE_3M_13Y</v>
      </c>
      <c r="N50" s="120">
        <f>IF(M50="","",'3M Pricing'!$I50*100)</f>
        <v>1.8938284311689959</v>
      </c>
      <c r="O50" s="116">
        <f t="shared" si="16"/>
        <v>1.8938284311689959</v>
      </c>
      <c r="P50" s="115" t="str">
        <v>USD_CURVE_6M_13Y</v>
      </c>
      <c r="Q50" s="116">
        <f>IF(P50="","",'6M Pricing'!$I50*100)</f>
        <v>2.0376454621613167</v>
      </c>
      <c r="R50" s="116">
        <f t="shared" si="17"/>
        <v>2.0376454621613167</v>
      </c>
      <c r="S50" s="115" t="str">
        <v>USD_CURVE_12M_13Y</v>
      </c>
      <c r="T50" s="116">
        <f>IF(S50="","",'1Y Pricing'!$I50*100)</f>
        <v>2.206669123769128</v>
      </c>
      <c r="U50" s="116">
        <f t="shared" si="18"/>
        <v>2.206669123769128</v>
      </c>
      <c r="V50" s="115" t="str">
        <v>USD_CURVE_OIS_13Y</v>
      </c>
      <c r="W50" s="120">
        <f>IF(V50="","",'ON Pricing'!$G50*100)</f>
        <v>1.5500051344188299</v>
      </c>
      <c r="X50" s="120">
        <f t="shared" si="19"/>
        <v>1.5500051344188299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4.0000000000000002E-4</v>
      </c>
      <c r="AD50" s="143">
        <f>IF($C50=" ","",ROUND(ABS(_xll.RtGet(SourceAlias,$J50,ASK)-L50),4))</f>
        <v>4.0000000000000002E-4</v>
      </c>
      <c r="AE50" s="143">
        <f>IF($D50=" ","",ROUND(ABS(_xll.RtGet(SourceAlias,$M50,BID)-N50),4))</f>
        <v>4.0000000000000002E-4</v>
      </c>
      <c r="AF50" s="143">
        <f>IF($D50=" ","",ROUND(ABS(_xll.RtGet(SourceAlias,$M50,ASK)-O50),4))</f>
        <v>4.0000000000000002E-4</v>
      </c>
      <c r="AG50" s="143">
        <f>IF($E50=" ","",ROUND(ABS(_xll.RtGet(SourceAlias,$P50,BID)-Q50),4))</f>
        <v>4.0000000000000002E-4</v>
      </c>
      <c r="AH50" s="143">
        <f>IF($E50=" ","",ROUND(ABS(_xll.RtGet(SourceAlias,$P50,ASK)-R50),4))</f>
        <v>4.0000000000000002E-4</v>
      </c>
      <c r="AI50" s="143">
        <f>IF($F50=" ","",ROUND(ABS(_xll.RtGet(SourceAlias,$S50,BID)-T50),4))</f>
        <v>4.0000000000000002E-4</v>
      </c>
      <c r="AJ50" s="143">
        <f>IF($F50=" ","",ROUND(ABS(_xll.RtGet(SourceAlias,$S50,ASK)-U50),4))</f>
        <v>4.0000000000000002E-4</v>
      </c>
      <c r="AK50" s="143">
        <f>IF($G50=" ","",ROUND(ABS(_xll.RtGet(SourceAlias,$V50,BID)-W50),4))</f>
        <v>2.0000000000000001E-4</v>
      </c>
      <c r="AL50" s="143">
        <f>IF($G50=" ","",ROUND(ABS(_xll.RtGet(SourceAlias,$V50,ASK)-X50),4))</f>
        <v>2.0000000000000001E-4</v>
      </c>
      <c r="AM50" s="143"/>
      <c r="AN50" s="143"/>
    </row>
    <row r="51" spans="1:40" x14ac:dyDescent="0.2">
      <c r="A51" s="193"/>
      <c r="B51" s="49" t="s">
        <v>71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44</v>
      </c>
      <c r="J51" s="115" t="str">
        <v>USD_CURVE_1M_14Y</v>
      </c>
      <c r="K51" s="120">
        <f>IF(J51="","",'1M Pricing'!$I51*100)</f>
        <v>1.8285112310491531</v>
      </c>
      <c r="L51" s="120">
        <f t="shared" si="15"/>
        <v>1.8285112310491531</v>
      </c>
      <c r="M51" s="115" t="str">
        <v>USD_CURVE_3M_14Y</v>
      </c>
      <c r="N51" s="120">
        <f>IF(M51="","",'3M Pricing'!$I51*100)</f>
        <v>1.9374997715791531</v>
      </c>
      <c r="O51" s="116">
        <f t="shared" si="16"/>
        <v>1.9374997715791531</v>
      </c>
      <c r="P51" s="115" t="str">
        <v>USD_CURVE_6M_14Y</v>
      </c>
      <c r="Q51" s="116">
        <f>IF(P51="","",'6M Pricing'!$I51*100)</f>
        <v>2.083025215771618</v>
      </c>
      <c r="R51" s="116">
        <f t="shared" si="17"/>
        <v>2.083025215771618</v>
      </c>
      <c r="S51" s="115" t="str">
        <v>USD_CURVE_12M_14Y</v>
      </c>
      <c r="T51" s="116">
        <f>IF(S51="","",'1Y Pricing'!$I51*100)</f>
        <v>2.254145309558039</v>
      </c>
      <c r="U51" s="116">
        <f t="shared" si="18"/>
        <v>2.254145309558039</v>
      </c>
      <c r="V51" s="115" t="str">
        <v>USD_CURVE_OIS_14Y</v>
      </c>
      <c r="W51" s="120">
        <f>IF(V51="","",'ON Pricing'!$G51*100)</f>
        <v>1.5931334516112932</v>
      </c>
      <c r="X51" s="120">
        <f t="shared" si="19"/>
        <v>1.5931334516112932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2.9999999999999997E-4</v>
      </c>
      <c r="AD51" s="143">
        <f>IF($C51=" ","",ROUND(ABS(_xll.RtGet(SourceAlias,$J51,ASK)-L51),4))</f>
        <v>2.9999999999999997E-4</v>
      </c>
      <c r="AE51" s="143">
        <f>IF($D51=" ","",ROUND(ABS(_xll.RtGet(SourceAlias,$M51,BID)-N51),4))</f>
        <v>2.9999999999999997E-4</v>
      </c>
      <c r="AF51" s="143">
        <f>IF($D51=" ","",ROUND(ABS(_xll.RtGet(SourceAlias,$M51,ASK)-O51),4))</f>
        <v>2.9999999999999997E-4</v>
      </c>
      <c r="AG51" s="143">
        <f>IF($E51=" ","",ROUND(ABS(_xll.RtGet(SourceAlias,$P51,BID)-Q51),4))</f>
        <v>2.9999999999999997E-4</v>
      </c>
      <c r="AH51" s="143">
        <f>IF($E51=" ","",ROUND(ABS(_xll.RtGet(SourceAlias,$P51,ASK)-R51),4))</f>
        <v>2.9999999999999997E-4</v>
      </c>
      <c r="AI51" s="143">
        <f>IF($F51=" ","",ROUND(ABS(_xll.RtGet(SourceAlias,$S51,BID)-T51),4))</f>
        <v>2.9999999999999997E-4</v>
      </c>
      <c r="AJ51" s="143">
        <f>IF($F51=" ","",ROUND(ABS(_xll.RtGet(SourceAlias,$S51,ASK)-U51),4))</f>
        <v>2.9999999999999997E-4</v>
      </c>
      <c r="AK51" s="143">
        <f>IF($G51=" ","",ROUND(ABS(_xll.RtGet(SourceAlias,$V51,BID)-W51),4))</f>
        <v>1E-4</v>
      </c>
      <c r="AL51" s="143">
        <f>IF($G51=" ","",ROUND(ABS(_xll.RtGet(SourceAlias,$V51,ASK)-X51),4))</f>
        <v>1E-4</v>
      </c>
      <c r="AM51" s="143"/>
      <c r="AN51" s="143"/>
    </row>
    <row r="52" spans="1:40" x14ac:dyDescent="0.2">
      <c r="A52" s="193"/>
      <c r="B52" s="49" t="s">
        <v>28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44</v>
      </c>
      <c r="J52" s="115" t="str">
        <v>USD_CURVE_1M_15Y</v>
      </c>
      <c r="K52" s="120">
        <f>IF(J52="","",'1M Pricing'!$I52*100)</f>
        <v>1.8661635739192626</v>
      </c>
      <c r="L52" s="120">
        <f t="shared" si="15"/>
        <v>1.8661635739192626</v>
      </c>
      <c r="M52" s="115" t="str">
        <v>USD_CURVE_3M_15Y</v>
      </c>
      <c r="N52" s="120">
        <f>IF(M52="","",'3M Pricing'!$I52*100)</f>
        <v>1.9759999999986491</v>
      </c>
      <c r="O52" s="116">
        <f t="shared" si="16"/>
        <v>1.9759999999986491</v>
      </c>
      <c r="P52" s="115" t="str">
        <v>USD_CURVE_6M_15Y</v>
      </c>
      <c r="Q52" s="116">
        <f>IF(P52="","",'6M Pricing'!$I52*100)</f>
        <v>2.1229184428878844</v>
      </c>
      <c r="R52" s="116">
        <f t="shared" si="17"/>
        <v>2.1229184428878844</v>
      </c>
      <c r="S52" s="115" t="str">
        <v>USD_CURVE_12M_15Y</v>
      </c>
      <c r="T52" s="116">
        <f>IF(S52="","",'1Y Pricing'!$I52*100)</f>
        <v>2.2967551621255025</v>
      </c>
      <c r="U52" s="116">
        <f t="shared" si="18"/>
        <v>2.2967551621255025</v>
      </c>
      <c r="V52" s="115" t="str">
        <v>USD_CURVE_OIS_15Y</v>
      </c>
      <c r="W52" s="120">
        <f>IF(V52="","",'ON Pricing'!$G52*100)</f>
        <v>1.6310000000019291</v>
      </c>
      <c r="X52" s="120">
        <f t="shared" si="19"/>
        <v>1.6310000000019291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1.2E-2</v>
      </c>
      <c r="AD52" s="143">
        <f>IF($C52=" ","",ROUND(ABS(_xll.RtGet(SourceAlias,$J52,ASK)-L52),4))</f>
        <v>1.2E-2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93"/>
      <c r="B53" s="49" t="s">
        <v>72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44</v>
      </c>
      <c r="J53" s="115" t="str">
        <v>USD_CURVE_1M_16Y</v>
      </c>
      <c r="K53" s="120">
        <f>IF(J53="","",'1M Pricing'!$I53*100)</f>
        <v>1.8985537743817473</v>
      </c>
      <c r="L53" s="120">
        <f t="shared" si="15"/>
        <v>1.8985537743817473</v>
      </c>
      <c r="M53" s="115" t="str">
        <v>USD_CURVE_3M_16Y</v>
      </c>
      <c r="N53" s="120">
        <f>IF(M53="","",'3M Pricing'!$I53*100)</f>
        <v>2.010364931394633</v>
      </c>
      <c r="O53" s="116">
        <f t="shared" si="16"/>
        <v>2.010364931394633</v>
      </c>
      <c r="P53" s="115" t="str">
        <v>USD_CURVE_6M_16Y</v>
      </c>
      <c r="Q53" s="116">
        <f>IF(P53="","",'6M Pricing'!$I53*100)</f>
        <v>2.1583453990637591</v>
      </c>
      <c r="R53" s="116">
        <f t="shared" si="17"/>
        <v>2.1583453990637591</v>
      </c>
      <c r="S53" s="115" t="str">
        <v>USD_CURVE_12M_16Y</v>
      </c>
      <c r="T53" s="116">
        <f>IF(S53="","",'1Y Pricing'!$I53*100)</f>
        <v>2.3345090727169371</v>
      </c>
      <c r="U53" s="116">
        <f t="shared" si="18"/>
        <v>2.3345090727169371</v>
      </c>
      <c r="V53" s="115" t="str">
        <v>USD_CURVE_OIS_16Y</v>
      </c>
      <c r="W53" s="120">
        <f>IF(V53="","",'ON Pricing'!$G53*100)</f>
        <v>1.6648893712249604</v>
      </c>
      <c r="X53" s="120">
        <f t="shared" si="19"/>
        <v>1.6648893712249604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2.0000000000000001E-4</v>
      </c>
      <c r="AD53" s="143">
        <f>IF($C53=" ","",ROUND(ABS(_xll.RtGet(SourceAlias,$J53,ASK)-L53),4))</f>
        <v>2.0000000000000001E-4</v>
      </c>
      <c r="AE53" s="143">
        <f>IF($D53=" ","",ROUND(ABS(_xll.RtGet(SourceAlias,$M53,BID)-N53),4))</f>
        <v>2.0000000000000001E-4</v>
      </c>
      <c r="AF53" s="143">
        <f>IF($D53=" ","",ROUND(ABS(_xll.RtGet(SourceAlias,$M53,ASK)-O53),4))</f>
        <v>2.0000000000000001E-4</v>
      </c>
      <c r="AG53" s="143">
        <f>IF($E53=" ","",ROUND(ABS(_xll.RtGet(SourceAlias,$P53,BID)-Q53),4))</f>
        <v>2.0000000000000001E-4</v>
      </c>
      <c r="AH53" s="143">
        <f>IF($E53=" ","",ROUND(ABS(_xll.RtGet(SourceAlias,$P53,ASK)-R53),4))</f>
        <v>2.0000000000000001E-4</v>
      </c>
      <c r="AI53" s="143">
        <f>IF($F53=" ","",ROUND(ABS(_xll.RtGet(SourceAlias,$S53,BID)-T53),4))</f>
        <v>2.0000000000000001E-4</v>
      </c>
      <c r="AJ53" s="143">
        <f>IF($F53=" ","",ROUND(ABS(_xll.RtGet(SourceAlias,$S53,ASK)-U53),4))</f>
        <v>2.0000000000000001E-4</v>
      </c>
      <c r="AK53" s="143">
        <f>IF($G53=" ","",ROUND(ABS(_xll.RtGet(SourceAlias,$V53,BID)-W53),4))</f>
        <v>2.0000000000000001E-4</v>
      </c>
      <c r="AL53" s="143">
        <f>IF($G53=" ","",ROUND(ABS(_xll.RtGet(SourceAlias,$V53,ASK)-X53),4))</f>
        <v>2.0000000000000001E-4</v>
      </c>
      <c r="AM53" s="143"/>
      <c r="AN53" s="143"/>
    </row>
    <row r="54" spans="1:40" x14ac:dyDescent="0.2">
      <c r="A54" s="193"/>
      <c r="B54" s="49" t="s">
        <v>73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44</v>
      </c>
      <c r="J54" s="115" t="str">
        <v>USD_CURVE_1M_17Y</v>
      </c>
      <c r="K54" s="120">
        <f>IF(J54="","",'1M Pricing'!$I54*100)</f>
        <v>1.9262860638134056</v>
      </c>
      <c r="L54" s="120">
        <f t="shared" si="15"/>
        <v>1.9262860638134056</v>
      </c>
      <c r="M54" s="115" t="str">
        <v>USD_CURVE_3M_17Y</v>
      </c>
      <c r="N54" s="120">
        <f>IF(M54="","",'3M Pricing'!$I54*100)</f>
        <v>2.0408959669745337</v>
      </c>
      <c r="O54" s="116">
        <f t="shared" si="16"/>
        <v>2.0408959669745337</v>
      </c>
      <c r="P54" s="115" t="str">
        <v>USD_CURVE_6M_17Y</v>
      </c>
      <c r="Q54" s="116">
        <f>IF(P54="","",'6M Pricing'!$I54*100)</f>
        <v>2.189660779504512</v>
      </c>
      <c r="R54" s="116">
        <f t="shared" si="17"/>
        <v>2.189660779504512</v>
      </c>
      <c r="S54" s="115" t="str">
        <v>USD_CURVE_12M_17Y</v>
      </c>
      <c r="T54" s="116">
        <f>IF(S54="","",'1Y Pricing'!$I54*100)</f>
        <v>2.3677011956238081</v>
      </c>
      <c r="U54" s="116">
        <f t="shared" si="18"/>
        <v>2.3677011956238081</v>
      </c>
      <c r="V54" s="115" t="str">
        <v>USD_CURVE_OIS_17Y</v>
      </c>
      <c r="W54" s="120">
        <f>IF(V54="","",'ON Pricing'!$G54*100)</f>
        <v>1.6950294829125472</v>
      </c>
      <c r="X54" s="120">
        <f t="shared" si="19"/>
        <v>1.6950294829125472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2.0000000000000001E-4</v>
      </c>
      <c r="AD54" s="143">
        <f>IF($C54=" ","",ROUND(ABS(_xll.RtGet(SourceAlias,$J54,ASK)-L54),4))</f>
        <v>2.0000000000000001E-4</v>
      </c>
      <c r="AE54" s="143">
        <f>IF($D54=" ","",ROUND(ABS(_xll.RtGet(SourceAlias,$M54,BID)-N54),4))</f>
        <v>2.9999999999999997E-4</v>
      </c>
      <c r="AF54" s="143">
        <f>IF($D54=" ","",ROUND(ABS(_xll.RtGet(SourceAlias,$M54,ASK)-O54),4))</f>
        <v>2.9999999999999997E-4</v>
      </c>
      <c r="AG54" s="143">
        <f>IF($E54=" ","",ROUND(ABS(_xll.RtGet(SourceAlias,$P54,BID)-Q54),4))</f>
        <v>2.9999999999999997E-4</v>
      </c>
      <c r="AH54" s="143">
        <f>IF($E54=" ","",ROUND(ABS(_xll.RtGet(SourceAlias,$P54,ASK)-R54),4))</f>
        <v>2.9999999999999997E-4</v>
      </c>
      <c r="AI54" s="143">
        <f>IF($F54=" ","",ROUND(ABS(_xll.RtGet(SourceAlias,$S54,BID)-T54),4))</f>
        <v>2.9999999999999997E-4</v>
      </c>
      <c r="AJ54" s="143">
        <f>IF($F54=" ","",ROUND(ABS(_xll.RtGet(SourceAlias,$S54,ASK)-U54),4))</f>
        <v>2.9999999999999997E-4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/>
      <c r="AN54" s="143"/>
    </row>
    <row r="55" spans="1:40" x14ac:dyDescent="0.2">
      <c r="A55" s="193"/>
      <c r="B55" s="49" t="s">
        <v>74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44</v>
      </c>
      <c r="J55" s="115" t="str">
        <v>USD_CURVE_1M_18Y</v>
      </c>
      <c r="K55" s="120">
        <f>IF(J55="","",'1M Pricing'!$I55*100)</f>
        <v>1.9499522722813061</v>
      </c>
      <c r="L55" s="120">
        <f t="shared" si="15"/>
        <v>1.9499522722813061</v>
      </c>
      <c r="M55" s="115" t="str">
        <v>USD_CURVE_3M_18Y</v>
      </c>
      <c r="N55" s="120">
        <f>IF(M55="","",'3M Pricing'!$I55*100)</f>
        <v>2.0678548243498196</v>
      </c>
      <c r="O55" s="116">
        <f t="shared" si="16"/>
        <v>2.0678548243498196</v>
      </c>
      <c r="P55" s="115" t="str">
        <v>USD_CURVE_6M_18Y</v>
      </c>
      <c r="Q55" s="116">
        <f>IF(P55="","",'6M Pricing'!$I55*100)</f>
        <v>2.2171883102995196</v>
      </c>
      <c r="R55" s="116">
        <f t="shared" si="17"/>
        <v>2.2171883102995196</v>
      </c>
      <c r="S55" s="115" t="str">
        <v>USD_CURVE_12M_18Y</v>
      </c>
      <c r="T55" s="116">
        <f>IF(S55="","",'1Y Pricing'!$I55*100)</f>
        <v>2.3967947686500208</v>
      </c>
      <c r="U55" s="116">
        <f t="shared" si="18"/>
        <v>2.3967947686500208</v>
      </c>
      <c r="V55" s="115" t="str">
        <v>USD_CURVE_OIS_18Y</v>
      </c>
      <c r="W55" s="120">
        <f>IF(V55="","",'ON Pricing'!$G55*100)</f>
        <v>1.7216298965713577</v>
      </c>
      <c r="X55" s="120">
        <f t="shared" si="19"/>
        <v>1.7216298965713577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2.0000000000000001E-4</v>
      </c>
      <c r="AD55" s="143">
        <f>IF($C55=" ","",ROUND(ABS(_xll.RtGet(SourceAlias,$J55,ASK)-L55),4))</f>
        <v>2.0000000000000001E-4</v>
      </c>
      <c r="AE55" s="143">
        <f>IF($D55=" ","",ROUND(ABS(_xll.RtGet(SourceAlias,$M55,BID)-N55),4))</f>
        <v>2.0000000000000001E-4</v>
      </c>
      <c r="AF55" s="143">
        <f>IF($D55=" ","",ROUND(ABS(_xll.RtGet(SourceAlias,$M55,ASK)-O55),4))</f>
        <v>2.0000000000000001E-4</v>
      </c>
      <c r="AG55" s="143">
        <f>IF($E55=" ","",ROUND(ABS(_xll.RtGet(SourceAlias,$P55,BID)-Q55),4))</f>
        <v>2.0000000000000001E-4</v>
      </c>
      <c r="AH55" s="143">
        <f>IF($E55=" ","",ROUND(ABS(_xll.RtGet(SourceAlias,$P55,ASK)-R55),4))</f>
        <v>2.0000000000000001E-4</v>
      </c>
      <c r="AI55" s="143">
        <f>IF($F55=" ","",ROUND(ABS(_xll.RtGet(SourceAlias,$S55,BID)-T55),4))</f>
        <v>2.9999999999999997E-4</v>
      </c>
      <c r="AJ55" s="143">
        <f>IF($F55=" ","",ROUND(ABS(_xll.RtGet(SourceAlias,$S55,ASK)-U55),4))</f>
        <v>2.9999999999999997E-4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3"/>
      <c r="B56" s="49" t="s">
        <v>75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44</v>
      </c>
      <c r="J56" s="115" t="str">
        <v>USD_CURVE_1M_19Y</v>
      </c>
      <c r="K56" s="120">
        <f>IF(J56="","",'1M Pricing'!$I56*100)</f>
        <v>1.9701839040369027</v>
      </c>
      <c r="L56" s="120">
        <f t="shared" si="15"/>
        <v>1.9701839040369027</v>
      </c>
      <c r="M56" s="115" t="str">
        <v>USD_CURVE_3M_19Y</v>
      </c>
      <c r="N56" s="120">
        <f>IF(M56="","",'3M Pricing'!$I56*100)</f>
        <v>2.0916481981079995</v>
      </c>
      <c r="O56" s="116">
        <f t="shared" si="16"/>
        <v>2.0916481981079995</v>
      </c>
      <c r="P56" s="115" t="str">
        <v>USD_CURVE_6M_19Y</v>
      </c>
      <c r="Q56" s="116">
        <f>IF(P56="","",'6M Pricing'!$I56*100)</f>
        <v>2.2413871613460259</v>
      </c>
      <c r="R56" s="116">
        <f t="shared" si="17"/>
        <v>2.2413871613460259</v>
      </c>
      <c r="S56" s="115" t="str">
        <v>USD_CURVE_12M_19Y</v>
      </c>
      <c r="T56" s="116">
        <f>IF(S56="","",'1Y Pricing'!$I56*100)</f>
        <v>2.4223714529113489</v>
      </c>
      <c r="U56" s="116">
        <f t="shared" si="18"/>
        <v>2.4223714529113489</v>
      </c>
      <c r="V56" s="115" t="str">
        <v>USD_CURVE_OIS_19Y</v>
      </c>
      <c r="W56" s="120">
        <f>IF(V56="","",'ON Pricing'!$G56*100)</f>
        <v>1.744867578866705</v>
      </c>
      <c r="X56" s="120">
        <f t="shared" si="19"/>
        <v>1.744867578866705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2.9999999999999997E-4</v>
      </c>
      <c r="AD56" s="143">
        <f>IF($C56=" ","",ROUND(ABS(_xll.RtGet(SourceAlias,$J56,ASK)-L56),4))</f>
        <v>2.9999999999999997E-4</v>
      </c>
      <c r="AE56" s="143">
        <f>IF($D56=" ","",ROUND(ABS(_xll.RtGet(SourceAlias,$M56,BID)-N56),4))</f>
        <v>4.0000000000000002E-4</v>
      </c>
      <c r="AF56" s="143">
        <f>IF($D56=" ","",ROUND(ABS(_xll.RtGet(SourceAlias,$M56,ASK)-O56),4))</f>
        <v>4.0000000000000002E-4</v>
      </c>
      <c r="AG56" s="143">
        <f>IF($E56=" ","",ROUND(ABS(_xll.RtGet(SourceAlias,$P56,BID)-Q56),4))</f>
        <v>4.0000000000000002E-4</v>
      </c>
      <c r="AH56" s="143">
        <f>IF($E56=" ","",ROUND(ABS(_xll.RtGet(SourceAlias,$P56,ASK)-R56),4))</f>
        <v>4.0000000000000002E-4</v>
      </c>
      <c r="AI56" s="143">
        <f>IF($F56=" ","",ROUND(ABS(_xll.RtGet(SourceAlias,$S56,BID)-T56),4))</f>
        <v>4.0000000000000002E-4</v>
      </c>
      <c r="AJ56" s="143">
        <f>IF($F56=" ","",ROUND(ABS(_xll.RtGet(SourceAlias,$S56,ASK)-U56),4))</f>
        <v>4.0000000000000002E-4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3"/>
      <c r="B57" s="49" t="s">
        <v>76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44</v>
      </c>
      <c r="J57" s="115" t="str">
        <v>USD_CURVE_1M_20Y</v>
      </c>
      <c r="K57" s="120">
        <f>IF(J57="","",'1M Pricing'!$I57*100)</f>
        <v>1.9869747779604052</v>
      </c>
      <c r="L57" s="120">
        <f t="shared" si="15"/>
        <v>1.9869747779604052</v>
      </c>
      <c r="M57" s="115" t="str">
        <v>USD_CURVE_3M_20Y</v>
      </c>
      <c r="N57" s="120">
        <f>IF(M57="","",'3M Pricing'!$I57*100)</f>
        <v>2.1119999999923995</v>
      </c>
      <c r="O57" s="116">
        <f t="shared" si="16"/>
        <v>2.1119999999923995</v>
      </c>
      <c r="P57" s="115" t="str">
        <v>USD_CURVE_6M_20Y</v>
      </c>
      <c r="Q57" s="116">
        <f>IF(P57="","",'6M Pricing'!$I57*100)</f>
        <v>2.2620092036315205</v>
      </c>
      <c r="R57" s="116">
        <f t="shared" si="17"/>
        <v>2.2620092036315205</v>
      </c>
      <c r="S57" s="115" t="str">
        <v>USD_CURVE_12M_20Y</v>
      </c>
      <c r="T57" s="116">
        <f>IF(S57="","",'1Y Pricing'!$I57*100)</f>
        <v>2.4442351489923113</v>
      </c>
      <c r="U57" s="116">
        <f t="shared" si="18"/>
        <v>2.4442351489923113</v>
      </c>
      <c r="V57" s="115" t="str">
        <v>USD_CURVE_OIS_20Y</v>
      </c>
      <c r="W57" s="120">
        <f>IF(V57="","",'ON Pricing'!$G57*100)</f>
        <v>1.7650000000000707</v>
      </c>
      <c r="X57" s="120">
        <f t="shared" si="19"/>
        <v>1.7650000000000707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93"/>
      <c r="B58" s="49" t="s">
        <v>77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44</v>
      </c>
      <c r="J58" s="115" t="str">
        <v>USD_CURVE_1M_21Y</v>
      </c>
      <c r="K58" s="120">
        <f>IF(J58="","",'1M Pricing'!$I58*100)</f>
        <v>2.0009475812023401</v>
      </c>
      <c r="L58" s="120">
        <f t="shared" si="15"/>
        <v>2.0009475812023401</v>
      </c>
      <c r="M58" s="115" t="str">
        <v>USD_CURVE_3M_21Y</v>
      </c>
      <c r="N58" s="120">
        <f>IF(M58="","",'3M Pricing'!$I58*100)</f>
        <v>2.129438290070703</v>
      </c>
      <c r="O58" s="116">
        <f t="shared" si="16"/>
        <v>2.129438290070703</v>
      </c>
      <c r="P58" s="115" t="str">
        <v>USD_CURVE_6M_21Y</v>
      </c>
      <c r="Q58" s="116">
        <f>IF(P58="","",'6M Pricing'!$I58*100)</f>
        <v>2.279627109615511</v>
      </c>
      <c r="R58" s="116">
        <f t="shared" si="17"/>
        <v>2.279627109615511</v>
      </c>
      <c r="S58" s="115" t="str">
        <v>USD_CURVE_12M_21Y</v>
      </c>
      <c r="T58" s="116">
        <f>IF(S58="","",'1Y Pricing'!$I58*100)</f>
        <v>2.4630349547210475</v>
      </c>
      <c r="U58" s="116">
        <f t="shared" si="18"/>
        <v>2.4630349547210475</v>
      </c>
      <c r="V58" s="115" t="str">
        <v>USD_CURVE_OIS_21Y</v>
      </c>
      <c r="W58" s="120">
        <f>IF(V58="","",'ON Pricing'!$G58*100)</f>
        <v>1.7819839628523404</v>
      </c>
      <c r="X58" s="120">
        <f t="shared" si="19"/>
        <v>1.7819839628523404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1E-4</v>
      </c>
      <c r="AL58" s="143">
        <f>IF($G58=" ","",ROUND(ABS(_xll.RtGet(SourceAlias,$V58,ASK)-X58),4))</f>
        <v>1E-4</v>
      </c>
      <c r="AM58" s="143"/>
      <c r="AN58" s="143"/>
    </row>
    <row r="59" spans="1:40" x14ac:dyDescent="0.2">
      <c r="A59" s="193"/>
      <c r="B59" s="49" t="s">
        <v>78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44</v>
      </c>
      <c r="J59" s="115" t="str">
        <v>USD_CURVE_1M_22Y</v>
      </c>
      <c r="K59" s="120">
        <f>IF(J59="","",'1M Pricing'!$I59*100)</f>
        <v>2.0126770114802657</v>
      </c>
      <c r="L59" s="120">
        <f t="shared" si="15"/>
        <v>2.0126770114802657</v>
      </c>
      <c r="M59" s="115" t="str">
        <v>USD_CURVE_3M_22Y</v>
      </c>
      <c r="N59" s="120">
        <f>IF(M59="","",'3M Pricing'!$I59*100)</f>
        <v>2.1445218851171872</v>
      </c>
      <c r="O59" s="116">
        <f t="shared" si="16"/>
        <v>2.1445218851171872</v>
      </c>
      <c r="P59" s="115" t="str">
        <v>USD_CURVE_6M_22Y</v>
      </c>
      <c r="Q59" s="116">
        <f>IF(P59="","",'6M Pricing'!$I59*100)</f>
        <v>2.2948572016655935</v>
      </c>
      <c r="R59" s="116">
        <f t="shared" si="17"/>
        <v>2.2948572016655935</v>
      </c>
      <c r="S59" s="115" t="str">
        <v>USD_CURVE_12M_22Y</v>
      </c>
      <c r="T59" s="116">
        <f>IF(S59="","",'1Y Pricing'!$I59*100)</f>
        <v>2.4793956303299796</v>
      </c>
      <c r="U59" s="116">
        <f t="shared" si="18"/>
        <v>2.4793956303299796</v>
      </c>
      <c r="V59" s="115" t="str">
        <v>USD_CURVE_OIS_22Y</v>
      </c>
      <c r="W59" s="120">
        <f>IF(V59="","",'ON Pricing'!$G59*100)</f>
        <v>1.7966001215215668</v>
      </c>
      <c r="X59" s="120">
        <f t="shared" si="19"/>
        <v>1.7966001215215668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1E-4</v>
      </c>
      <c r="AL59" s="143">
        <f>IF($G59=" ","",ROUND(ABS(_xll.RtGet(SourceAlias,$V59,ASK)-X59),4))</f>
        <v>1E-4</v>
      </c>
      <c r="AM59" s="143"/>
      <c r="AN59" s="143"/>
    </row>
    <row r="60" spans="1:40" x14ac:dyDescent="0.2">
      <c r="A60" s="193"/>
      <c r="B60" s="49" t="s">
        <v>79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44</v>
      </c>
      <c r="J60" s="115" t="str">
        <v>USD_CURVE_1M_23Y</v>
      </c>
      <c r="K60" s="120">
        <f>IF(J60="","",'1M Pricing'!$I60*100)</f>
        <v>2.0226216937512032</v>
      </c>
      <c r="L60" s="120">
        <f t="shared" si="15"/>
        <v>2.0226216937512032</v>
      </c>
      <c r="M60" s="115" t="str">
        <v>USD_CURVE_3M_23Y</v>
      </c>
      <c r="N60" s="120">
        <f>IF(M60="","",'3M Pricing'!$I60*100)</f>
        <v>2.1576986790294894</v>
      </c>
      <c r="O60" s="116">
        <f t="shared" si="16"/>
        <v>2.1576986790294894</v>
      </c>
      <c r="P60" s="115" t="str">
        <v>USD_CURVE_6M_23Y</v>
      </c>
      <c r="Q60" s="116">
        <f>IF(P60="","",'6M Pricing'!$I60*100)</f>
        <v>2.3081987934609005</v>
      </c>
      <c r="R60" s="116">
        <f t="shared" si="17"/>
        <v>2.3081987934609005</v>
      </c>
      <c r="S60" s="115" t="str">
        <v>USD_CURVE_12M_23Y</v>
      </c>
      <c r="T60" s="116">
        <f>IF(S60="","",'1Y Pricing'!$I60*100)</f>
        <v>2.4938064996561637</v>
      </c>
      <c r="U60" s="116">
        <f t="shared" si="18"/>
        <v>2.4938064996561637</v>
      </c>
      <c r="V60" s="115" t="str">
        <v>USD_CURVE_OIS_23Y</v>
      </c>
      <c r="W60" s="120">
        <f>IF(V60="","",'ON Pricing'!$G60*100)</f>
        <v>1.8093415998217695</v>
      </c>
      <c r="X60" s="120">
        <f t="shared" si="19"/>
        <v>1.8093415998217695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1E-4</v>
      </c>
      <c r="AL60" s="143">
        <f>IF($G60=" ","",ROUND(ABS(_xll.RtGet(SourceAlias,$V60,ASK)-X60),4))</f>
        <v>1E-4</v>
      </c>
      <c r="AM60" s="143"/>
      <c r="AN60" s="143"/>
    </row>
    <row r="61" spans="1:40" x14ac:dyDescent="0.2">
      <c r="A61" s="193"/>
      <c r="B61" s="49" t="s">
        <v>80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44</v>
      </c>
      <c r="J61" s="115" t="str">
        <v>USD_CURVE_1M_24Y</v>
      </c>
      <c r="K61" s="120">
        <f>IF(J61="","",'1M Pricing'!$I61*100)</f>
        <v>2.0312902807831694</v>
      </c>
      <c r="L61" s="120">
        <f t="shared" si="15"/>
        <v>2.0312902807831694</v>
      </c>
      <c r="M61" s="115" t="str">
        <v>USD_CURVE_3M_24Y</v>
      </c>
      <c r="N61" s="120">
        <f>IF(M61="","",'3M Pricing'!$I61*100)</f>
        <v>2.1695110961545212</v>
      </c>
      <c r="O61" s="116">
        <f t="shared" si="16"/>
        <v>2.1695110961545212</v>
      </c>
      <c r="P61" s="115" t="str">
        <v>USD_CURVE_6M_24Y</v>
      </c>
      <c r="Q61" s="116">
        <f>IF(P61="","",'6M Pricing'!$I61*100)</f>
        <v>2.3202412629950024</v>
      </c>
      <c r="R61" s="116">
        <f t="shared" si="17"/>
        <v>2.3202412629950024</v>
      </c>
      <c r="S61" s="115" t="str">
        <v>USD_CURVE_12M_24Y</v>
      </c>
      <c r="T61" s="116">
        <f>IF(S61="","",'1Y Pricing'!$I61*100)</f>
        <v>2.5068663464410905</v>
      </c>
      <c r="U61" s="116">
        <f t="shared" si="18"/>
        <v>2.5068663464410905</v>
      </c>
      <c r="V61" s="115" t="str">
        <v>USD_CURVE_OIS_24Y</v>
      </c>
      <c r="W61" s="120">
        <f>IF(V61="","",'ON Pricing'!$G61*100)</f>
        <v>1.8206873885285531</v>
      </c>
      <c r="X61" s="120">
        <f t="shared" si="19"/>
        <v>1.8206873885285531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1E-4</v>
      </c>
      <c r="AF61" s="143">
        <f>IF($D61=" ","",ROUND(ABS(_xll.RtGet(SourceAlias,$M61,ASK)-O61),4))</f>
        <v>1E-4</v>
      </c>
      <c r="AG61" s="143">
        <f>IF($E61=" ","",ROUND(ABS(_xll.RtGet(SourceAlias,$P61,BID)-Q61),4))</f>
        <v>1E-4</v>
      </c>
      <c r="AH61" s="143">
        <f>IF($E61=" ","",ROUND(ABS(_xll.RtGet(SourceAlias,$P61,ASK)-R61),4))</f>
        <v>1E-4</v>
      </c>
      <c r="AI61" s="143">
        <f>IF($F61=" ","",ROUND(ABS(_xll.RtGet(SourceAlias,$S61,BID)-T61),4))</f>
        <v>1E-4</v>
      </c>
      <c r="AJ61" s="143">
        <f>IF($F61=" ","",ROUND(ABS(_xll.RtGet(SourceAlias,$S61,ASK)-U61),4))</f>
        <v>1E-4</v>
      </c>
      <c r="AK61" s="143">
        <f>IF($G61=" ","",ROUND(ABS(_xll.RtGet(SourceAlias,$V61,BID)-W61),4))</f>
        <v>1E-4</v>
      </c>
      <c r="AL61" s="143">
        <f>IF($G61=" ","",ROUND(ABS(_xll.RtGet(SourceAlias,$V61,ASK)-X61),4))</f>
        <v>1E-4</v>
      </c>
      <c r="AM61" s="143"/>
      <c r="AN61" s="143"/>
    </row>
    <row r="62" spans="1:40" x14ac:dyDescent="0.2">
      <c r="A62" s="193"/>
      <c r="B62" s="49" t="s">
        <v>81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44</v>
      </c>
      <c r="J62" s="115" t="str">
        <v>USD_CURVE_1M_25Y</v>
      </c>
      <c r="K62" s="120">
        <f>IF(J62="","",'1M Pricing'!$I62*100)</f>
        <v>2.0388020073624835</v>
      </c>
      <c r="L62" s="120">
        <f t="shared" si="15"/>
        <v>2.0388020073624835</v>
      </c>
      <c r="M62" s="115" t="str">
        <v>USD_CURVE_3M_25Y</v>
      </c>
      <c r="N62" s="120">
        <f>IF(M62="","",'3M Pricing'!$I62*100)</f>
        <v>2.180000000008377</v>
      </c>
      <c r="O62" s="116">
        <f t="shared" si="16"/>
        <v>2.180000000008377</v>
      </c>
      <c r="P62" s="115" t="str">
        <v>USD_CURVE_6M_25Y</v>
      </c>
      <c r="Q62" s="116">
        <f>IF(P62="","",'6M Pricing'!$I62*100)</f>
        <v>2.3310511342363576</v>
      </c>
      <c r="R62" s="116">
        <f t="shared" si="17"/>
        <v>2.3310511342363576</v>
      </c>
      <c r="S62" s="115" t="str">
        <v>USD_CURVE_12M_25Y</v>
      </c>
      <c r="T62" s="116">
        <f>IF(S62="","",'1Y Pricing'!$I62*100)</f>
        <v>2.5186062925621542</v>
      </c>
      <c r="U62" s="116">
        <f t="shared" si="18"/>
        <v>2.5186062925621542</v>
      </c>
      <c r="V62" s="115" t="str">
        <v>USD_CURVE_OIS_25Y</v>
      </c>
      <c r="W62" s="120">
        <f>IF(V62="","",'ON Pricing'!$G62*100)</f>
        <v>1.8310000000006106</v>
      </c>
      <c r="X62" s="120">
        <f t="shared" si="19"/>
        <v>1.8310000000006106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3"/>
      <c r="B63" s="49" t="s">
        <v>82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44</v>
      </c>
      <c r="J63" s="115" t="str">
        <v>USD_CURVE_1M_26Y</v>
      </c>
      <c r="K63" s="120">
        <f>IF(J63="","",'1M Pricing'!$I63*100)</f>
        <v>2.0455468341189258</v>
      </c>
      <c r="L63" s="120">
        <f t="shared" si="15"/>
        <v>2.0455468341189258</v>
      </c>
      <c r="M63" s="115" t="str">
        <v>USD_CURVE_3M_26Y</v>
      </c>
      <c r="N63" s="120">
        <f>IF(M63="","",'3M Pricing'!$I63*100)</f>
        <v>2.1895812381169724</v>
      </c>
      <c r="O63" s="116">
        <f t="shared" si="16"/>
        <v>2.1895812381169724</v>
      </c>
      <c r="P63" s="115" t="str">
        <v>USD_CURVE_6M_26Y</v>
      </c>
      <c r="Q63" s="116">
        <f>IF(P63="","",'6M Pricing'!$I63*100)</f>
        <v>2.3410593422277488</v>
      </c>
      <c r="R63" s="116">
        <f t="shared" si="17"/>
        <v>2.3410593422277488</v>
      </c>
      <c r="S63" s="115" t="str">
        <v>USD_CURVE_12M_26Y</v>
      </c>
      <c r="T63" s="116">
        <f>IF(S63="","",'1Y Pricing'!$I63*100)</f>
        <v>2.5294681829933809</v>
      </c>
      <c r="U63" s="116">
        <f t="shared" si="18"/>
        <v>2.5294681829933809</v>
      </c>
      <c r="V63" s="115" t="str">
        <v>USD_CURVE_OIS_26Y</v>
      </c>
      <c r="W63" s="120">
        <f>IF(V63="","",'ON Pricing'!$G63*100)</f>
        <v>1.8404144712788673</v>
      </c>
      <c r="X63" s="120">
        <f t="shared" si="19"/>
        <v>1.8404144712788673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1E-4</v>
      </c>
      <c r="AD63" s="143">
        <f>IF($C63=" ","",ROUND(ABS(_xll.RtGet(SourceAlias,$J63,ASK)-L63),4))</f>
        <v>1E-4</v>
      </c>
      <c r="AE63" s="143">
        <f>IF($D63=" ","",ROUND(ABS(_xll.RtGet(SourceAlias,$M63,BID)-N63),4))</f>
        <v>1E-4</v>
      </c>
      <c r="AF63" s="143">
        <f>IF($D63=" ","",ROUND(ABS(_xll.RtGet(SourceAlias,$M63,ASK)-O63),4))</f>
        <v>1E-4</v>
      </c>
      <c r="AG63" s="143">
        <f>IF($E63=" ","",ROUND(ABS(_xll.RtGet(SourceAlias,$P63,BID)-Q63),4))</f>
        <v>1E-4</v>
      </c>
      <c r="AH63" s="143">
        <f>IF($E63=" ","",ROUND(ABS(_xll.RtGet(SourceAlias,$P63,ASK)-R63),4))</f>
        <v>1E-4</v>
      </c>
      <c r="AI63" s="143">
        <f>IF($F63=" ","",ROUND(ABS(_xll.RtGet(SourceAlias,$S63,BID)-T63),4))</f>
        <v>1E-4</v>
      </c>
      <c r="AJ63" s="143">
        <f>IF($F63=" ","",ROUND(ABS(_xll.RtGet(SourceAlias,$S63,ASK)-U63),4))</f>
        <v>1E-4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3"/>
      <c r="B64" s="49" t="s">
        <v>83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44</v>
      </c>
      <c r="J64" s="115" t="str">
        <v>USD_CURVE_1M_27Y</v>
      </c>
      <c r="K64" s="120">
        <f>IF(J64="","",'1M Pricing'!$I64*100)</f>
        <v>2.0516338643900731</v>
      </c>
      <c r="L64" s="120">
        <f t="shared" si="15"/>
        <v>2.0516338643900731</v>
      </c>
      <c r="M64" s="115" t="str">
        <v>USD_CURVE_3M_27Y</v>
      </c>
      <c r="N64" s="120">
        <f>IF(M64="","",'3M Pricing'!$I64*100)</f>
        <v>2.1982773647492428</v>
      </c>
      <c r="O64" s="116">
        <f t="shared" si="16"/>
        <v>2.1982773647492428</v>
      </c>
      <c r="P64" s="115" t="str">
        <v>USD_CURVE_6M_27Y</v>
      </c>
      <c r="Q64" s="116">
        <f>IF(P64="","",'6M Pricing'!$I64*100)</f>
        <v>2.3502308915065977</v>
      </c>
      <c r="R64" s="116">
        <f t="shared" si="17"/>
        <v>2.3502308915065977</v>
      </c>
      <c r="S64" s="115" t="str">
        <v>USD_CURVE_12M_27Y</v>
      </c>
      <c r="T64" s="116">
        <f>IF(S64="","",'1Y Pricing'!$I64*100)</f>
        <v>2.5393927027180392</v>
      </c>
      <c r="U64" s="116">
        <f t="shared" si="18"/>
        <v>2.5393927027180392</v>
      </c>
      <c r="V64" s="115" t="str">
        <v>USD_CURVE_OIS_27Y</v>
      </c>
      <c r="W64" s="120">
        <f>IF(V64="","",'ON Pricing'!$G64*100)</f>
        <v>1.8489901614761135</v>
      </c>
      <c r="X64" s="120">
        <f t="shared" si="19"/>
        <v>1.8489901614761135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1E-4</v>
      </c>
      <c r="AD64" s="143">
        <f>IF($C64=" ","",ROUND(ABS(_xll.RtGet(SourceAlias,$J64,ASK)-L64),4))</f>
        <v>1E-4</v>
      </c>
      <c r="AE64" s="143">
        <f>IF($D64=" ","",ROUND(ABS(_xll.RtGet(SourceAlias,$M64,BID)-N64),4))</f>
        <v>1E-4</v>
      </c>
      <c r="AF64" s="143">
        <f>IF($D64=" ","",ROUND(ABS(_xll.RtGet(SourceAlias,$M64,ASK)-O64),4))</f>
        <v>1E-4</v>
      </c>
      <c r="AG64" s="143">
        <f>IF($E64=" ","",ROUND(ABS(_xll.RtGet(SourceAlias,$P64,BID)-Q64),4))</f>
        <v>1E-4</v>
      </c>
      <c r="AH64" s="143">
        <f>IF($E64=" ","",ROUND(ABS(_xll.RtGet(SourceAlias,$P64,ASK)-R64),4))</f>
        <v>1E-4</v>
      </c>
      <c r="AI64" s="143">
        <f>IF($F64=" ","",ROUND(ABS(_xll.RtGet(SourceAlias,$S64,BID)-T64),4))</f>
        <v>1E-4</v>
      </c>
      <c r="AJ64" s="143">
        <f>IF($F64=" ","",ROUND(ABS(_xll.RtGet(SourceAlias,$S64,ASK)-U64),4))</f>
        <v>1E-4</v>
      </c>
      <c r="AK64" s="143">
        <f>IF($G64=" ","",ROUND(ABS(_xll.RtGet(SourceAlias,$V64,BID)-W64),4))</f>
        <v>1E-4</v>
      </c>
      <c r="AL64" s="143">
        <f>IF($G64=" ","",ROUND(ABS(_xll.RtGet(SourceAlias,$V64,ASK)-X64),4))</f>
        <v>1E-4</v>
      </c>
      <c r="AM64" s="143"/>
      <c r="AN64" s="143"/>
    </row>
    <row r="65" spans="1:40" x14ac:dyDescent="0.2">
      <c r="A65" s="193"/>
      <c r="B65" s="49" t="s">
        <v>84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44</v>
      </c>
      <c r="J65" s="115" t="str">
        <v>USD_CURVE_1M_28Y</v>
      </c>
      <c r="K65" s="120">
        <f>IF(J65="","",'1M Pricing'!$I65*100)</f>
        <v>2.0571636778270768</v>
      </c>
      <c r="L65" s="120">
        <f t="shared" si="15"/>
        <v>2.0571636778270768</v>
      </c>
      <c r="M65" s="115" t="str">
        <v>USD_CURVE_3M_28Y</v>
      </c>
      <c r="N65" s="120">
        <f>IF(M65="","",'3M Pricing'!$I65*100)</f>
        <v>2.2061122217556792</v>
      </c>
      <c r="O65" s="116">
        <f t="shared" si="16"/>
        <v>2.2061122217556792</v>
      </c>
      <c r="P65" s="115" t="str">
        <v>USD_CURVE_6M_28Y</v>
      </c>
      <c r="Q65" s="116">
        <f>IF(P65="","",'6M Pricing'!$I65*100)</f>
        <v>2.3585285435840051</v>
      </c>
      <c r="R65" s="116">
        <f t="shared" si="17"/>
        <v>2.3585285435840051</v>
      </c>
      <c r="S65" s="115" t="str">
        <v>USD_CURVE_12M_28Y</v>
      </c>
      <c r="T65" s="116">
        <f>IF(S65="","",'1Y Pricing'!$I65*100)</f>
        <v>2.5483225855500269</v>
      </c>
      <c r="U65" s="116">
        <f t="shared" si="18"/>
        <v>2.5483225855500269</v>
      </c>
      <c r="V65" s="115" t="str">
        <v>USD_CURVE_OIS_28Y</v>
      </c>
      <c r="W65" s="120">
        <f>IF(V65="","",'ON Pricing'!$G65*100)</f>
        <v>1.8566871128141877</v>
      </c>
      <c r="X65" s="120">
        <f t="shared" si="19"/>
        <v>1.8566871128141877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1E-4</v>
      </c>
      <c r="AF65" s="143">
        <f>IF($D65=" ","",ROUND(ABS(_xll.RtGet(SourceAlias,$M65,ASK)-O65),4))</f>
        <v>1E-4</v>
      </c>
      <c r="AG65" s="143">
        <f>IF($E65=" ","",ROUND(ABS(_xll.RtGet(SourceAlias,$P65,BID)-Q65),4))</f>
        <v>1E-4</v>
      </c>
      <c r="AH65" s="143">
        <f>IF($E65=" ","",ROUND(ABS(_xll.RtGet(SourceAlias,$P65,ASK)-R65),4))</f>
        <v>1E-4</v>
      </c>
      <c r="AI65" s="143">
        <f>IF($F65=" ","",ROUND(ABS(_xll.RtGet(SourceAlias,$S65,BID)-T65),4))</f>
        <v>1E-4</v>
      </c>
      <c r="AJ65" s="143">
        <f>IF($F65=" ","",ROUND(ABS(_xll.RtGet(SourceAlias,$S65,ASK)-U65),4))</f>
        <v>1E-4</v>
      </c>
      <c r="AK65" s="143">
        <f>IF($G65=" ","",ROUND(ABS(_xll.RtGet(SourceAlias,$V65,BID)-W65),4))</f>
        <v>1E-4</v>
      </c>
      <c r="AL65" s="143">
        <f>IF($G65=" ","",ROUND(ABS(_xll.RtGet(SourceAlias,$V65,ASK)-X65),4))</f>
        <v>1E-4</v>
      </c>
      <c r="AM65" s="143"/>
      <c r="AN65" s="143"/>
    </row>
    <row r="66" spans="1:40" x14ac:dyDescent="0.2">
      <c r="A66" s="193"/>
      <c r="B66" s="49" t="s">
        <v>85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44</v>
      </c>
      <c r="J66" s="115" t="str">
        <v>USD_CURVE_1M_29Y</v>
      </c>
      <c r="K66" s="120">
        <f>IF(J66="","",'1M Pricing'!$I66*100)</f>
        <v>2.062143621464501</v>
      </c>
      <c r="L66" s="120">
        <f t="shared" si="15"/>
        <v>2.062143621464501</v>
      </c>
      <c r="M66" s="115" t="str">
        <v>USD_CURVE_3M_29Y</v>
      </c>
      <c r="N66" s="120">
        <f>IF(M66="","",'3M Pricing'!$I66*100)</f>
        <v>2.2129981196128008</v>
      </c>
      <c r="O66" s="116">
        <f t="shared" si="16"/>
        <v>2.2129981196128008</v>
      </c>
      <c r="P66" s="115" t="str">
        <v>USD_CURVE_6M_29Y</v>
      </c>
      <c r="Q66" s="116">
        <f>IF(P66="","",'6M Pricing'!$I66*100)</f>
        <v>2.3658056142726704</v>
      </c>
      <c r="R66" s="116">
        <f t="shared" si="17"/>
        <v>2.3658056142726704</v>
      </c>
      <c r="S66" s="115" t="str">
        <v>USD_CURVE_12M_29Y</v>
      </c>
      <c r="T66" s="116">
        <f>IF(S66="","",'1Y Pricing'!$I66*100)</f>
        <v>2.5560830282616709</v>
      </c>
      <c r="U66" s="116">
        <f t="shared" si="18"/>
        <v>2.5560830282616709</v>
      </c>
      <c r="V66" s="115" t="str">
        <v>USD_CURVE_OIS_29Y</v>
      </c>
      <c r="W66" s="120">
        <f>IF(V66="","",'ON Pricing'!$G66*100)</f>
        <v>1.8633670417330779</v>
      </c>
      <c r="X66" s="120">
        <f t="shared" si="19"/>
        <v>1.8633670417330779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1E-4</v>
      </c>
      <c r="AF66" s="143">
        <f>IF($D66=" ","",ROUND(ABS(_xll.RtGet(SourceAlias,$M66,ASK)-O66),4))</f>
        <v>1E-4</v>
      </c>
      <c r="AG66" s="143">
        <f>IF($E66=" ","",ROUND(ABS(_xll.RtGet(SourceAlias,$P66,BID)-Q66),4))</f>
        <v>1E-4</v>
      </c>
      <c r="AH66" s="143">
        <f>IF($E66=" ","",ROUND(ABS(_xll.RtGet(SourceAlias,$P66,ASK)-R66),4))</f>
        <v>1E-4</v>
      </c>
      <c r="AI66" s="143">
        <f>IF($F66=" ","",ROUND(ABS(_xll.RtGet(SourceAlias,$S66,BID)-T66),4))</f>
        <v>1E-4</v>
      </c>
      <c r="AJ66" s="143">
        <f>IF($F66=" ","",ROUND(ABS(_xll.RtGet(SourceAlias,$S66,ASK)-U66),4))</f>
        <v>1E-4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3"/>
      <c r="B67" s="49" t="s">
        <v>86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44</v>
      </c>
      <c r="J67" s="115" t="str">
        <v>USD_CURVE_1M_30Y</v>
      </c>
      <c r="K67" s="120">
        <f>IF(J67="","",'1M Pricing'!$I67*100)</f>
        <v>2.0666829194208174</v>
      </c>
      <c r="L67" s="120">
        <f t="shared" si="15"/>
        <v>2.0666829194208174</v>
      </c>
      <c r="M67" s="115" t="str">
        <v>USD_CURVE_3M_30Y</v>
      </c>
      <c r="N67" s="120">
        <f>IF(M67="","",'3M Pricing'!$I67*100)</f>
        <v>2.2189999999969459</v>
      </c>
      <c r="O67" s="116">
        <f t="shared" si="16"/>
        <v>2.2189999999969459</v>
      </c>
      <c r="P67" s="115" t="str">
        <v>USD_CURVE_6M_30Y</v>
      </c>
      <c r="Q67" s="116">
        <f>IF(P67="","",'6M Pricing'!$I67*100)</f>
        <v>2.372085485831648</v>
      </c>
      <c r="R67" s="116">
        <f t="shared" si="17"/>
        <v>2.372085485831648</v>
      </c>
      <c r="S67" s="115" t="str">
        <v>USD_CURVE_12M_30Y</v>
      </c>
      <c r="T67" s="116">
        <f>IF(S67="","",'1Y Pricing'!$I67*100)</f>
        <v>2.5626869871162818</v>
      </c>
      <c r="U67" s="116">
        <f t="shared" si="18"/>
        <v>2.5626869871162818</v>
      </c>
      <c r="V67" s="115" t="str">
        <v>USD_CURVE_OIS_30Y</v>
      </c>
      <c r="W67" s="120">
        <f>IF(V67="","",'ON Pricing'!$G67*100)</f>
        <v>1.8690000000033833</v>
      </c>
      <c r="X67" s="120">
        <f t="shared" si="19"/>
        <v>1.8690000000033833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x14ac:dyDescent="0.2">
      <c r="A68" s="193"/>
      <c r="B68" s="49" t="s">
        <v>87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9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9" t="str">
        <v>stopped</v>
      </c>
      <c r="I68" s="3" t="s">
        <v>44</v>
      </c>
      <c r="J68" s="115" t="str">
        <v>USD_CURVE_1M_40Y</v>
      </c>
      <c r="K68" s="120">
        <f>IF(J68="","",'1M Pricing'!$I68*100)</f>
        <v>2.086671222159906</v>
      </c>
      <c r="L68" s="120">
        <f t="shared" si="15"/>
        <v>2.086671222159906</v>
      </c>
      <c r="M68" s="115" t="str">
        <v>USD_CURVE_3M_40Y</v>
      </c>
      <c r="N68" s="120">
        <f>IF(M68="","",'3M Pricing'!$I68*100)</f>
        <v>2.2390000000003711</v>
      </c>
      <c r="O68" s="116">
        <f t="shared" si="16"/>
        <v>2.2390000000003711</v>
      </c>
      <c r="P68" s="115" t="str">
        <v>USD_CURVE_6M_40Y</v>
      </c>
      <c r="Q68" s="116">
        <f>IF(P68="","",'6M Pricing'!$I68*100)</f>
        <v>2.3920948495452556</v>
      </c>
      <c r="R68" s="116">
        <f t="shared" si="17"/>
        <v>2.3920948495452556</v>
      </c>
      <c r="S68" s="115" t="str">
        <v>USD_CURVE_12M_40Y</v>
      </c>
      <c r="T68" s="116">
        <f>IF(S68="","",'1Y Pricing'!$I68*100)</f>
        <v>2.5827080092629622</v>
      </c>
      <c r="U68" s="116">
        <f t="shared" si="18"/>
        <v>2.5827080092629622</v>
      </c>
      <c r="V68" s="115" t="str">
        <v>USD_CURVE_OIS_40Y</v>
      </c>
      <c r="W68" s="120">
        <f>IF(V68="","",'ON Pricing'!$G68*100)</f>
        <v>1.8890000000038276</v>
      </c>
      <c r="X68" s="120">
        <f t="shared" si="19"/>
        <v>1.8890000000038276</v>
      </c>
      <c r="Y68" s="115"/>
      <c r="Z68" s="120" t="str">
        <f>IF(Y68="","",'STD Pricing'!$G68*100)</f>
        <v/>
      </c>
      <c r="AA68" s="120" t="str">
        <f t="shared" si="5"/>
        <v/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1E-3</v>
      </c>
      <c r="AL68" s="143">
        <f>IF($G68=" ","",ROUND(ABS(_xll.RtGet(SourceAlias,$V68,ASK)-X68),4))</f>
        <v>1E-3</v>
      </c>
      <c r="AM68" s="143"/>
      <c r="AN68" s="143"/>
    </row>
    <row r="69" spans="1:40" x14ac:dyDescent="0.2">
      <c r="A69" s="193"/>
      <c r="B69" s="49" t="s">
        <v>88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9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9" t="str">
        <v>stopped</v>
      </c>
      <c r="I69" s="3" t="s">
        <v>44</v>
      </c>
      <c r="J69" s="115" t="str">
        <v>USD_CURVE_1M_50Y</v>
      </c>
      <c r="K69" s="120">
        <f>IF(J69="","",'1M Pricing'!$I69*100)</f>
        <v>2.071668765901892</v>
      </c>
      <c r="L69" s="120">
        <f t="shared" si="15"/>
        <v>2.071668765901892</v>
      </c>
      <c r="M69" s="115" t="str">
        <v>USD_CURVE_3M_50Y</v>
      </c>
      <c r="N69" s="120">
        <f>IF(M69="","",'3M Pricing'!$I69*100)</f>
        <v>2.2240000000000051</v>
      </c>
      <c r="O69" s="116">
        <f t="shared" si="16"/>
        <v>2.2240000000000051</v>
      </c>
      <c r="P69" s="115" t="str">
        <v>USD_CURVE_6M_50Y</v>
      </c>
      <c r="Q69" s="116">
        <f>IF(P69="","",'6M Pricing'!$I69*100)</f>
        <v>2.3770967552770266</v>
      </c>
      <c r="R69" s="116">
        <f t="shared" si="17"/>
        <v>2.3770967552770266</v>
      </c>
      <c r="S69" s="115" t="str">
        <v>USD_CURVE_12M_50Y</v>
      </c>
      <c r="T69" s="116">
        <f>IF(S69="","",'1Y Pricing'!$I69*100)</f>
        <v>2.5677122877510659</v>
      </c>
      <c r="U69" s="116">
        <f t="shared" si="18"/>
        <v>2.5677122877510659</v>
      </c>
      <c r="V69" s="115" t="str">
        <v>USD_CURVE_OIS_50Y</v>
      </c>
      <c r="W69" s="120">
        <f>IF(V69="","",'ON Pricing'!$G69*100)</f>
        <v>1.8938571125311843</v>
      </c>
      <c r="X69" s="120">
        <f t="shared" si="19"/>
        <v>1.8938571125311843</v>
      </c>
      <c r="Y69" s="115"/>
      <c r="Z69" s="120" t="str">
        <f>IF(Y69="","",'STD Pricing'!$G69*100)</f>
        <v/>
      </c>
      <c r="AA69" s="120" t="str">
        <f t="shared" si="5"/>
        <v/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1.8E-3</v>
      </c>
      <c r="AL69" s="143">
        <f>IF($G69=" ","",ROUND(ABS(_xll.RtGet(SourceAlias,$V69,ASK)-X69),4))</f>
        <v>1.8E-3</v>
      </c>
      <c r="AM69" s="143"/>
      <c r="AN69" s="143"/>
    </row>
    <row r="70" spans="1:40" ht="11.25" customHeight="1" x14ac:dyDescent="0.2">
      <c r="A70" s="194"/>
      <c r="B70" s="50" t="s">
        <v>89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40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40" t="str">
        <v>stopped</v>
      </c>
      <c r="I70" s="3" t="s">
        <v>44</v>
      </c>
      <c r="J70" s="121" t="str">
        <v>USD_CURVE_1M_60Y</v>
      </c>
      <c r="K70" s="162">
        <f>IF(J70="","",'1M Pricing'!$I70*100)</f>
        <v>2.0569160184484128</v>
      </c>
      <c r="L70" s="162">
        <f t="shared" ref="L70" si="20">K70</f>
        <v>2.0569160184484128</v>
      </c>
      <c r="M70" s="121" t="str">
        <v>USD_CURVE_3M_60Y</v>
      </c>
      <c r="N70" s="162">
        <f>IF(M70="","",'3M Pricing'!$I70*100)</f>
        <v>2.2100255073285968</v>
      </c>
      <c r="O70" s="119">
        <f t="shared" ref="O70" si="21">N70</f>
        <v>2.2100255073285968</v>
      </c>
      <c r="P70" s="121" t="str">
        <v>USD_CURVE_6M_60Y</v>
      </c>
      <c r="Q70" s="119">
        <f>IF(P70="","",'6M Pricing'!$I70*100)</f>
        <v>2.3631235334031988</v>
      </c>
      <c r="R70" s="119">
        <f t="shared" ref="R70" si="22">Q70</f>
        <v>2.3631235334031988</v>
      </c>
      <c r="S70" s="121" t="str">
        <v>USD_CURVE_12M_60Y</v>
      </c>
      <c r="T70" s="119">
        <f>IF(S70="","",'1Y Pricing'!$I70*100)</f>
        <v>2.5537406481046387</v>
      </c>
      <c r="U70" s="119">
        <f t="shared" ref="U70" si="23">T70</f>
        <v>2.5537406481046387</v>
      </c>
      <c r="V70" s="121" t="str">
        <v>USD_CURVE_OIS_60Y</v>
      </c>
      <c r="W70" s="162">
        <f>IF(V70="","",'ON Pricing'!$G70*100)</f>
        <v>1.897019288755692</v>
      </c>
      <c r="X70" s="162">
        <f t="shared" ref="X70" si="24">W70</f>
        <v>1.897019288755692</v>
      </c>
      <c r="Y70" s="121"/>
      <c r="Z70" s="162" t="str">
        <f>IF(Y70="","",'STD Pricing'!$G70*100)</f>
        <v/>
      </c>
      <c r="AA70" s="162" t="str">
        <f t="shared" si="5"/>
        <v/>
      </c>
      <c r="AC70" s="163">
        <f>IF($C70=" ","",ROUND(ABS(_xll.RtGet(SourceAlias,$J70,BID)-K70),4))</f>
        <v>0</v>
      </c>
      <c r="AD70" s="163">
        <f>IF($C70=" ","",ROUND(ABS(_xll.RtGet(SourceAlias,$J70,ASK)-L70),4))</f>
        <v>0</v>
      </c>
      <c r="AE70" s="163">
        <f>IF($D70=" ","",ROUND(ABS(_xll.RtGet(SourceAlias,$M70,BID)-N70),4))</f>
        <v>0</v>
      </c>
      <c r="AF70" s="163">
        <f>IF($D70=" ","",ROUND(ABS(_xll.RtGet(SourceAlias,$M70,ASK)-O70),4))</f>
        <v>0</v>
      </c>
      <c r="AG70" s="163">
        <f>IF($E70=" ","",ROUND(ABS(_xll.RtGet(SourceAlias,$P70,BID)-Q70),4))</f>
        <v>0</v>
      </c>
      <c r="AH70" s="163">
        <f>IF($E70=" ","",ROUND(ABS(_xll.RtGet(SourceAlias,$P70,ASK)-R70),4))</f>
        <v>0</v>
      </c>
      <c r="AI70" s="163">
        <f>IF($F70=" ","",ROUND(ABS(_xll.RtGet(SourceAlias,$S70,BID)-T70),4))</f>
        <v>0</v>
      </c>
      <c r="AJ70" s="163">
        <f>IF($F70=" ","",ROUND(ABS(_xll.RtGet(SourceAlias,$S70,ASK)-U70),4))</f>
        <v>0</v>
      </c>
      <c r="AK70" s="163">
        <f>IF($G70=" ","",ROUND(ABS(_xll.RtGet(SourceAlias,$V70,BID)-W70),4))</f>
        <v>2.3999999999999998E-3</v>
      </c>
      <c r="AL70" s="163">
        <f>IF($G70=" ","",ROUND(ABS(_xll.RtGet(SourceAlias,$V70,ASK)-X70),4))</f>
        <v>2.3999999999999998E-3</v>
      </c>
      <c r="AM70" s="163"/>
      <c r="AN70" s="163"/>
    </row>
  </sheetData>
  <mergeCells count="3">
    <mergeCell ref="A35:A70"/>
    <mergeCell ref="A26:A34"/>
    <mergeCell ref="A6:A25"/>
  </mergeCells>
  <conditionalFormatting sqref="C2">
    <cfRule type="cellIs" dxfId="5" priority="13" operator="equal">
      <formula>"abcd"</formula>
    </cfRule>
  </conditionalFormatting>
  <conditionalFormatting sqref="C6:G40">
    <cfRule type="containsText" dxfId="4" priority="2" operator="containsText" text="Failure">
      <formula>NOT(ISERROR(SEARCH("Failure",C6)))</formula>
    </cfRule>
  </conditionalFormatting>
  <conditionalFormatting sqref="H6:H40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7</v>
      </c>
      <c r="C2" s="24">
        <f>Contribute</f>
        <v>0</v>
      </c>
      <c r="D2" s="9" t="s">
        <v>110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57</v>
      </c>
      <c r="C4" s="39"/>
      <c r="D4" s="17"/>
      <c r="E4" s="17"/>
      <c r="F4" s="40"/>
      <c r="G4" s="40"/>
      <c r="H4" s="40"/>
      <c r="I4" s="2" t="s">
        <v>44</v>
      </c>
      <c r="J4" s="129" t="s">
        <v>14</v>
      </c>
      <c r="K4" s="130"/>
      <c r="L4" s="131"/>
      <c r="M4" s="129" t="s">
        <v>16</v>
      </c>
      <c r="N4" s="130"/>
      <c r="O4" s="131"/>
      <c r="P4" s="129" t="s">
        <v>11</v>
      </c>
      <c r="Q4" s="130"/>
      <c r="R4" s="131"/>
      <c r="S4" s="129" t="s">
        <v>20</v>
      </c>
      <c r="T4" s="130"/>
      <c r="U4" s="131"/>
      <c r="V4" s="129" t="s">
        <v>12</v>
      </c>
      <c r="W4" s="130"/>
      <c r="X4" s="131"/>
      <c r="Y4" s="129" t="s">
        <v>284</v>
      </c>
      <c r="Z4" s="130"/>
      <c r="AA4" s="131"/>
      <c r="AB4" s="38" t="s">
        <v>44</v>
      </c>
      <c r="AC4" s="39" t="s">
        <v>14</v>
      </c>
      <c r="AD4" s="40"/>
      <c r="AE4" s="39" t="s">
        <v>16</v>
      </c>
      <c r="AF4" s="40"/>
      <c r="AG4" s="39" t="s">
        <v>11</v>
      </c>
      <c r="AH4" s="40"/>
      <c r="AI4" s="39" t="s">
        <v>20</v>
      </c>
      <c r="AJ4" s="40"/>
      <c r="AK4" s="39" t="s">
        <v>12</v>
      </c>
      <c r="AL4" s="40"/>
      <c r="AM4" s="39" t="s">
        <v>284</v>
      </c>
      <c r="AN4" s="40"/>
    </row>
    <row r="5" spans="1:40" s="18" customFormat="1" ht="11.25" customHeight="1" x14ac:dyDescent="0.2">
      <c r="A5" s="2"/>
      <c r="B5" s="7" t="s">
        <v>55</v>
      </c>
      <c r="C5" s="7" t="s">
        <v>14</v>
      </c>
      <c r="D5" s="7" t="s">
        <v>16</v>
      </c>
      <c r="E5" s="7" t="s">
        <v>11</v>
      </c>
      <c r="F5" s="7" t="s">
        <v>20</v>
      </c>
      <c r="G5" s="7" t="s">
        <v>12</v>
      </c>
      <c r="H5" s="7" t="s">
        <v>284</v>
      </c>
      <c r="I5" s="18" t="s">
        <v>44</v>
      </c>
      <c r="J5" s="19" t="s">
        <v>41</v>
      </c>
      <c r="K5" s="11" t="s">
        <v>0</v>
      </c>
      <c r="L5" s="11" t="s">
        <v>1</v>
      </c>
      <c r="M5" s="19" t="s">
        <v>41</v>
      </c>
      <c r="N5" s="11" t="s">
        <v>0</v>
      </c>
      <c r="O5" s="10" t="s">
        <v>1</v>
      </c>
      <c r="P5" s="19" t="s">
        <v>41</v>
      </c>
      <c r="Q5" s="10" t="s">
        <v>0</v>
      </c>
      <c r="R5" s="10" t="s">
        <v>1</v>
      </c>
      <c r="S5" s="19" t="s">
        <v>41</v>
      </c>
      <c r="T5" s="10" t="s">
        <v>0</v>
      </c>
      <c r="U5" s="10" t="s">
        <v>1</v>
      </c>
      <c r="V5" s="19" t="s">
        <v>41</v>
      </c>
      <c r="W5" s="11" t="s">
        <v>0</v>
      </c>
      <c r="X5" s="11" t="s">
        <v>1</v>
      </c>
      <c r="Y5" s="19" t="s">
        <v>41</v>
      </c>
      <c r="Z5" s="11" t="s">
        <v>0</v>
      </c>
      <c r="AA5" s="11" t="s">
        <v>1</v>
      </c>
      <c r="AB5" s="38" t="s">
        <v>44</v>
      </c>
      <c r="AC5" s="7" t="s">
        <v>45</v>
      </c>
      <c r="AD5" s="7" t="s">
        <v>46</v>
      </c>
      <c r="AE5" s="7" t="s">
        <v>45</v>
      </c>
      <c r="AF5" s="7" t="s">
        <v>46</v>
      </c>
      <c r="AG5" s="7" t="s">
        <v>45</v>
      </c>
      <c r="AH5" s="7" t="s">
        <v>46</v>
      </c>
      <c r="AI5" s="7" t="s">
        <v>45</v>
      </c>
      <c r="AJ5" s="7" t="s">
        <v>46</v>
      </c>
      <c r="AK5" s="7" t="s">
        <v>45</v>
      </c>
      <c r="AL5" s="7" t="s">
        <v>46</v>
      </c>
      <c r="AM5" s="7" t="s">
        <v>45</v>
      </c>
      <c r="AN5" s="7" t="s">
        <v>46</v>
      </c>
    </row>
    <row r="6" spans="1:40" ht="11.25" customHeight="1" x14ac:dyDescent="0.2">
      <c r="A6" s="195" t="s">
        <v>99</v>
      </c>
      <c r="B6" s="48" t="s">
        <v>12</v>
      </c>
      <c r="C6" s="83" t="s">
        <v>44</v>
      </c>
      <c r="D6" s="134" t="s">
        <v>44</v>
      </c>
      <c r="E6" s="83" t="s">
        <v>44</v>
      </c>
      <c r="F6" s="83" t="s">
        <v>44</v>
      </c>
      <c r="G6" s="135" t="s">
        <v>44</v>
      </c>
      <c r="H6" s="135" t="s">
        <v>44</v>
      </c>
      <c r="I6" s="18" t="s">
        <v>44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 t="str">
        <f t="array" ref="Y6:Y70">IF('STD Pricing'!H6:H70="","",'STD Pricing'!H6:H70)</f>
        <v/>
      </c>
      <c r="Z6" s="113" t="str">
        <f>IF(Y6="","",'STD Pricing'!$G6*100)</f>
        <v/>
      </c>
      <c r="AA6" s="113" t="str">
        <f>Z6</f>
        <v/>
      </c>
      <c r="AB6" s="23" t="s">
        <v>44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6"/>
      <c r="B7" s="50" t="s">
        <v>90</v>
      </c>
      <c r="C7" s="89" t="s">
        <v>44</v>
      </c>
      <c r="D7" s="137" t="s">
        <v>44</v>
      </c>
      <c r="E7" s="89" t="s">
        <v>44</v>
      </c>
      <c r="F7" s="89" t="s">
        <v>44</v>
      </c>
      <c r="G7" s="138" t="s">
        <v>44</v>
      </c>
      <c r="H7" s="138" t="s">
        <v>44</v>
      </c>
      <c r="I7" s="18" t="s">
        <v>44</v>
      </c>
      <c r="J7" s="121" t="str">
        <v/>
      </c>
      <c r="K7" s="119" t="str">
        <f>IF(J7="","",'1M Pricing'!$I7*100)</f>
        <v/>
      </c>
      <c r="L7" s="119" t="str">
        <f t="shared" ref="L7:L32" si="0">K7</f>
        <v/>
      </c>
      <c r="M7" s="118" t="str">
        <v/>
      </c>
      <c r="N7" s="119" t="str">
        <f>IF(M7="","",'3M Pricing'!$I7*100)</f>
        <v/>
      </c>
      <c r="O7" s="119" t="str">
        <f t="shared" ref="O7:O32" si="1">N7</f>
        <v/>
      </c>
      <c r="P7" s="118" t="str">
        <v/>
      </c>
      <c r="Q7" s="119" t="str">
        <f>IF(P7="","",'6M Pricing'!$I7*100)</f>
        <v/>
      </c>
      <c r="R7" s="119" t="str">
        <f t="shared" ref="R7:R32" si="2">Q7</f>
        <v/>
      </c>
      <c r="S7" s="118" t="str">
        <v/>
      </c>
      <c r="T7" s="119" t="str">
        <f>IF(S7="","",'1Y Pricing'!$I7*100)</f>
        <v/>
      </c>
      <c r="U7" s="119" t="str">
        <f t="shared" ref="U7:U32" si="3">T7</f>
        <v/>
      </c>
      <c r="V7" s="121" t="str">
        <v/>
      </c>
      <c r="W7" s="119" t="str">
        <f>IF(V7="","",'ON Pricing'!$G7*100)</f>
        <v/>
      </c>
      <c r="X7" s="119" t="str">
        <f t="shared" ref="X7:X32" si="4">W7</f>
        <v/>
      </c>
      <c r="Y7" s="121" t="str">
        <v/>
      </c>
      <c r="Z7" s="119" t="str">
        <f>IF(Y7="","",'STD Pricing'!$G7*100)</f>
        <v/>
      </c>
      <c r="AA7" s="119" t="str">
        <f t="shared" ref="AA7:AA70" si="5">Z7</f>
        <v/>
      </c>
      <c r="AB7" s="23" t="s">
        <v>44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6"/>
      <c r="B8" s="48" t="s">
        <v>91</v>
      </c>
      <c r="C8" s="83" t="s">
        <v>44</v>
      </c>
      <c r="D8" s="83" t="s">
        <v>44</v>
      </c>
      <c r="E8" s="83" t="s">
        <v>44</v>
      </c>
      <c r="F8" s="83" t="s">
        <v>44</v>
      </c>
      <c r="G8" s="135" t="s">
        <v>44</v>
      </c>
      <c r="H8" s="135" t="s">
        <v>44</v>
      </c>
      <c r="I8" s="18" t="s">
        <v>44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44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6"/>
      <c r="B9" s="49" t="s">
        <v>63</v>
      </c>
      <c r="C9" s="86" t="s">
        <v>44</v>
      </c>
      <c r="D9" s="86" t="s">
        <v>44</v>
      </c>
      <c r="E9" s="86" t="s">
        <v>44</v>
      </c>
      <c r="F9" s="86" t="s">
        <v>44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44</v>
      </c>
      <c r="I9" s="18" t="s">
        <v>44</v>
      </c>
      <c r="J9" s="115" t="str">
        <v>USD_CURVE_DEP1M_1W</v>
      </c>
      <c r="K9" s="116">
        <f>IF(J9="","",'1M Pricing'!$I9*100)</f>
        <v>0.45529999998183968</v>
      </c>
      <c r="L9" s="116">
        <f t="shared" si="0"/>
        <v>0.45529999998183968</v>
      </c>
      <c r="M9" s="117" t="str">
        <v>USD_CURVE_DEP3M_1W</v>
      </c>
      <c r="N9" s="116">
        <f>IF(M9="","",'3M Pricing'!$I9*100)</f>
        <v>0.59422418886713657</v>
      </c>
      <c r="O9" s="116">
        <f t="shared" si="1"/>
        <v>0.59422418886713657</v>
      </c>
      <c r="P9" s="117" t="str">
        <v>USD_CURVE_DEP6M_1W</v>
      </c>
      <c r="Q9" s="116">
        <f>IF(P9="","",'6M Pricing'!$I9*100)</f>
        <v>0.80491346608495862</v>
      </c>
      <c r="R9" s="116">
        <f t="shared" si="2"/>
        <v>0.80491346608495862</v>
      </c>
      <c r="S9" s="117" t="str">
        <v>USD_CURVE_DEP12M_1W</v>
      </c>
      <c r="T9" s="116">
        <f>IF(S9="","",'1Y Pricing'!$I9*100)</f>
        <v>1.1667627882136091</v>
      </c>
      <c r="U9" s="116">
        <f t="shared" si="3"/>
        <v>1.1667627882136091</v>
      </c>
      <c r="V9" s="115" t="str">
        <v>USD_CURVE_OIS_1W</v>
      </c>
      <c r="W9" s="116">
        <f>IF(V9="","",'ON Pricing'!$G9*100)</f>
        <v>0.37310100188113277</v>
      </c>
      <c r="X9" s="116">
        <f t="shared" si="4"/>
        <v>0.37310100188113277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44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2.0999999999999999E-3</v>
      </c>
      <c r="AL9" s="142">
        <f>IF($G9=" ","",ROUND(ABS(_xll.RtGet(SourceAlias,$V9,ASK)-X9),4))</f>
        <v>2.0999999999999999E-3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6"/>
      <c r="B10" s="49" t="s">
        <v>13</v>
      </c>
      <c r="C10" s="86" t="s">
        <v>44</v>
      </c>
      <c r="D10" s="86" t="s">
        <v>44</v>
      </c>
      <c r="E10" s="86" t="s">
        <v>44</v>
      </c>
      <c r="F10" s="86" t="s">
        <v>44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44</v>
      </c>
      <c r="I10" s="18" t="s">
        <v>44</v>
      </c>
      <c r="J10" s="115" t="str">
        <v>USD_CURVE_DEP1M_2W</v>
      </c>
      <c r="K10" s="116">
        <f>IF(J10="","",'1M Pricing'!$I10*100)</f>
        <v>0.44853605735698365</v>
      </c>
      <c r="L10" s="116">
        <f t="shared" si="0"/>
        <v>0.44853605735698365</v>
      </c>
      <c r="M10" s="117" t="str">
        <v>USD_CURVE_DEP3M_2W</v>
      </c>
      <c r="N10" s="116">
        <f>IF(M10="","",'3M Pricing'!$I10*100)</f>
        <v>0.59539696566738143</v>
      </c>
      <c r="O10" s="116">
        <f t="shared" si="1"/>
        <v>0.59539696566738143</v>
      </c>
      <c r="P10" s="117" t="str">
        <v>USD_CURVE_DEP6M_2W</v>
      </c>
      <c r="Q10" s="116">
        <f>IF(P10="","",'6M Pricing'!$I10*100)</f>
        <v>0.8060557576046179</v>
      </c>
      <c r="R10" s="116">
        <f t="shared" si="2"/>
        <v>0.8060557576046179</v>
      </c>
      <c r="S10" s="117" t="str">
        <v>USD_CURVE_DEP12M_2W</v>
      </c>
      <c r="T10" s="116">
        <f>IF(S10="","",'1Y Pricing'!$I10*100)</f>
        <v>1.1671308710178454</v>
      </c>
      <c r="U10" s="116">
        <f t="shared" si="3"/>
        <v>1.1671308710178454</v>
      </c>
      <c r="V10" s="115" t="str">
        <v>USD_CURVE_OIS_2W</v>
      </c>
      <c r="W10" s="116">
        <f>IF(V10="","",'ON Pricing'!$G10*100)</f>
        <v>0.36836575193697846</v>
      </c>
      <c r="X10" s="116">
        <f t="shared" si="4"/>
        <v>0.36836575193697846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44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1E-3</v>
      </c>
      <c r="AL10" s="142">
        <f>IF($G10=" ","",ROUND(ABS(_xll.RtGet(SourceAlias,$V10,ASK)-X10),4))</f>
        <v>1E-3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6"/>
      <c r="B11" s="49" t="s">
        <v>65</v>
      </c>
      <c r="C11" s="86" t="s">
        <v>44</v>
      </c>
      <c r="D11" s="86" t="s">
        <v>44</v>
      </c>
      <c r="E11" s="86" t="s">
        <v>44</v>
      </c>
      <c r="F11" s="86" t="s">
        <v>44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44</v>
      </c>
      <c r="I11" s="18" t="s">
        <v>44</v>
      </c>
      <c r="J11" s="115" t="str">
        <v>USD_CURVE_DEP1M_3W</v>
      </c>
      <c r="K11" s="116">
        <f>IF(J11="","",'1M Pricing'!$I11*100)</f>
        <v>0.44294941841562163</v>
      </c>
      <c r="L11" s="116">
        <f t="shared" si="0"/>
        <v>0.44294941841562163</v>
      </c>
      <c r="M11" s="117" t="str">
        <v>USD_CURVE_DEP3M_3W</v>
      </c>
      <c r="N11" s="116">
        <f>IF(M11="","",'3M Pricing'!$I11*100)</f>
        <v>0.59732906283573228</v>
      </c>
      <c r="O11" s="116">
        <f t="shared" si="1"/>
        <v>0.59732906283573228</v>
      </c>
      <c r="P11" s="117" t="str">
        <v>USD_CURVE_DEP6M_3W</v>
      </c>
      <c r="Q11" s="116">
        <f>IF(P11="","",'6M Pricing'!$I11*100)</f>
        <v>0.8079180430569417</v>
      </c>
      <c r="R11" s="116">
        <f t="shared" si="2"/>
        <v>0.8079180430569417</v>
      </c>
      <c r="S11" s="117" t="str">
        <v>USD_CURVE_DEP12M_3W</v>
      </c>
      <c r="T11" s="116">
        <f>IF(S11="","",'1Y Pricing'!$I11*100)</f>
        <v>1.1676562703738671</v>
      </c>
      <c r="U11" s="116">
        <f t="shared" si="3"/>
        <v>1.1676562703738671</v>
      </c>
      <c r="V11" s="115" t="str">
        <v>USD_CURVE_OIS_3W</v>
      </c>
      <c r="W11" s="116">
        <f>IF(V11="","",'ON Pricing'!$G11*100)</f>
        <v>0.36551232343663886</v>
      </c>
      <c r="X11" s="116">
        <f t="shared" si="4"/>
        <v>0.36551232343663886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44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2.9999999999999997E-4</v>
      </c>
      <c r="AL11" s="142">
        <f>IF($G11=" ","",ROUND(ABS(_xll.RtGet(SourceAlias,$V11,ASK)-X11),4))</f>
        <v>2.9999999999999997E-4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6"/>
      <c r="B12" s="49" t="s">
        <v>14</v>
      </c>
      <c r="C12" s="86" t="s">
        <v>44</v>
      </c>
      <c r="D12" s="139" t="s">
        <v>44</v>
      </c>
      <c r="E12" s="86" t="s">
        <v>44</v>
      </c>
      <c r="F12" s="86" t="s">
        <v>44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44</v>
      </c>
      <c r="I12" s="18" t="s">
        <v>44</v>
      </c>
      <c r="J12" s="115" t="str">
        <v>USD_CURVE_DEP1M_1M</v>
      </c>
      <c r="K12" s="116">
        <f>IF(J12="","",'1M Pricing'!$I12*100)</f>
        <v>0.43880000000001695</v>
      </c>
      <c r="L12" s="116">
        <f t="shared" si="0"/>
        <v>0.43880000000001695</v>
      </c>
      <c r="M12" s="117" t="str">
        <v>USD_CURVE_DEP3M_1M</v>
      </c>
      <c r="N12" s="116">
        <f>IF(M12="","",'3M Pricing'!$I12*100)</f>
        <v>0.60189999999277211</v>
      </c>
      <c r="O12" s="116">
        <f t="shared" si="1"/>
        <v>0.60189999999277211</v>
      </c>
      <c r="P12" s="117" t="str">
        <v>USD_CURVE_DEP6M_1M</v>
      </c>
      <c r="Q12" s="116">
        <f>IF(P12="","",'6M Pricing'!$I12*100)</f>
        <v>0.81229999915943818</v>
      </c>
      <c r="R12" s="116">
        <f t="shared" si="2"/>
        <v>0.81229999915943818</v>
      </c>
      <c r="S12" s="117" t="str">
        <v>USD_CURVE_DEP12M_1M</v>
      </c>
      <c r="T12" s="116">
        <f>IF(S12="","",'1Y Pricing'!$I12*100)</f>
        <v>1.1687999996368437</v>
      </c>
      <c r="U12" s="116">
        <f t="shared" si="3"/>
        <v>1.1687999996368437</v>
      </c>
      <c r="V12" s="115" t="str">
        <v>USD_CURVE_OIS_1M</v>
      </c>
      <c r="W12" s="116">
        <f>IF(V12="","",'ON Pricing'!$G12*100)</f>
        <v>0.36499999999748606</v>
      </c>
      <c r="X12" s="116">
        <f t="shared" si="4"/>
        <v>0.36499999999748606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44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6"/>
      <c r="B13" s="49" t="s">
        <v>15</v>
      </c>
      <c r="C13" s="86" t="s">
        <v>44</v>
      </c>
      <c r="D13" s="139" t="s">
        <v>44</v>
      </c>
      <c r="E13" s="86" t="s">
        <v>44</v>
      </c>
      <c r="F13" s="86" t="s">
        <v>44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44</v>
      </c>
      <c r="I13" s="18" t="s">
        <v>44</v>
      </c>
      <c r="J13" s="115" t="str">
        <v>USD_CURVE_DEP1M_2M</v>
      </c>
      <c r="K13" s="116">
        <f>IF(J13="","",'1M Pricing'!$I13*100)</f>
        <v>0.44689153452992514</v>
      </c>
      <c r="L13" s="116">
        <f t="shared" si="0"/>
        <v>0.44689153452992514</v>
      </c>
      <c r="M13" s="117" t="str">
        <v>USD_CURVE_DEP3M_2M</v>
      </c>
      <c r="N13" s="116">
        <f>IF(M13="","",'3M Pricing'!$I13*100)</f>
        <v>0.61939999999857887</v>
      </c>
      <c r="O13" s="116">
        <f t="shared" si="1"/>
        <v>0.61939999999857887</v>
      </c>
      <c r="P13" s="117" t="str">
        <v>USD_CURVE_DEP6M_2M</v>
      </c>
      <c r="Q13" s="116">
        <f>IF(P13="","",'6M Pricing'!$I13*100)</f>
        <v>0.82799999999871499</v>
      </c>
      <c r="R13" s="116">
        <f t="shared" si="2"/>
        <v>0.82799999999871499</v>
      </c>
      <c r="S13" s="117" t="str">
        <v>USD_CURVE_DEP12M_2M</v>
      </c>
      <c r="T13" s="116">
        <f>IF(S13="","",'1Y Pricing'!$I13*100)</f>
        <v>1.1722000000000095</v>
      </c>
      <c r="U13" s="116">
        <f t="shared" si="3"/>
        <v>1.1722000000000095</v>
      </c>
      <c r="V13" s="115" t="str">
        <v>USD_CURVE_OIS_2M</v>
      </c>
      <c r="W13" s="116">
        <f>IF(V13="","",'ON Pricing'!$G13*100)</f>
        <v>0.37600000002414918</v>
      </c>
      <c r="X13" s="116">
        <f t="shared" si="4"/>
        <v>0.37600000002414918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44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6"/>
      <c r="B14" s="49" t="s">
        <v>16</v>
      </c>
      <c r="C14" s="86" t="s">
        <v>44</v>
      </c>
      <c r="D14" s="139" t="s">
        <v>44</v>
      </c>
      <c r="E14" s="86" t="s">
        <v>44</v>
      </c>
      <c r="F14" s="86" t="s">
        <v>44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44</v>
      </c>
      <c r="I14" s="18" t="s">
        <v>44</v>
      </c>
      <c r="J14" s="115" t="str">
        <v>USD_CURVE_DEP1M_3M</v>
      </c>
      <c r="K14" s="116">
        <f>IF(J14="","",'1M Pricing'!$I14*100)</f>
        <v>0.46302980475053807</v>
      </c>
      <c r="L14" s="116">
        <f t="shared" si="0"/>
        <v>0.46302980475053807</v>
      </c>
      <c r="M14" s="117" t="str">
        <v>USD_CURVE_DEP3M_3M</v>
      </c>
      <c r="N14" s="116">
        <f>IF(M14="","",'3M Pricing'!$I14*100)</f>
        <v>0.63659999999995831</v>
      </c>
      <c r="O14" s="116">
        <f t="shared" si="1"/>
        <v>0.63659999999995831</v>
      </c>
      <c r="P14" s="117" t="str">
        <v>USD_CURVE_DEP6M_3M</v>
      </c>
      <c r="Q14" s="116">
        <f>IF(P14="","",'6M Pricing'!$I14*100)</f>
        <v>0.84419999999773165</v>
      </c>
      <c r="R14" s="116">
        <f t="shared" si="2"/>
        <v>0.84419999999773165</v>
      </c>
      <c r="S14" s="117" t="str">
        <v>USD_CURVE_DEP12M_3M</v>
      </c>
      <c r="T14" s="116">
        <f>IF(S14="","",'1Y Pricing'!$I14*100)</f>
        <v>1.175300000000024</v>
      </c>
      <c r="U14" s="116">
        <f t="shared" si="3"/>
        <v>1.175300000000024</v>
      </c>
      <c r="V14" s="115" t="str">
        <v>USD_CURVE_OIS_3M</v>
      </c>
      <c r="W14" s="116">
        <f>IF(V14="","",'ON Pricing'!$G14*100)</f>
        <v>0.38700000001456053</v>
      </c>
      <c r="X14" s="116">
        <f t="shared" si="4"/>
        <v>0.38700000001456053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44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6"/>
      <c r="B15" s="49" t="s">
        <v>17</v>
      </c>
      <c r="C15" s="86" t="s">
        <v>44</v>
      </c>
      <c r="D15" s="139" t="s">
        <v>44</v>
      </c>
      <c r="E15" s="86" t="s">
        <v>44</v>
      </c>
      <c r="F15" s="86" t="s">
        <v>44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44</v>
      </c>
      <c r="I15" s="18" t="s">
        <v>44</v>
      </c>
      <c r="J15" s="115" t="str">
        <v>USD_CURVE_DEP1M_4M</v>
      </c>
      <c r="K15" s="116">
        <f>IF(J15="","",'1M Pricing'!$I15*100)</f>
        <v>0.48086670949067867</v>
      </c>
      <c r="L15" s="116">
        <f t="shared" si="0"/>
        <v>0.48086670949067867</v>
      </c>
      <c r="M15" s="117" t="str">
        <v>USD_CURVE_DEP3M_4M</v>
      </c>
      <c r="N15" s="116">
        <f>IF(M15="","",'3M Pricing'!$I15*100)</f>
        <v>0.65581699635641033</v>
      </c>
      <c r="O15" s="116">
        <f t="shared" si="1"/>
        <v>0.65581699635641033</v>
      </c>
      <c r="P15" s="117" t="str">
        <v>USD_CURVE_DEP6M_4M</v>
      </c>
      <c r="Q15" s="116">
        <f>IF(P15="","",'6M Pricing'!$I15*100)</f>
        <v>0.86399999999686727</v>
      </c>
      <c r="R15" s="116">
        <f t="shared" si="2"/>
        <v>0.86399999999686727</v>
      </c>
      <c r="S15" s="117" t="str">
        <v>USD_CURVE_DEP12M_4M</v>
      </c>
      <c r="T15" s="116">
        <f>IF(S15="","",'1Y Pricing'!$I15*100)</f>
        <v>1.1819999999999948</v>
      </c>
      <c r="U15" s="116">
        <f t="shared" si="3"/>
        <v>1.1819999999999948</v>
      </c>
      <c r="V15" s="115" t="str">
        <v>USD_CURVE_OIS_4M</v>
      </c>
      <c r="W15" s="116">
        <f>IF(V15="","",'ON Pricing'!$G15*100)</f>
        <v>0.40300000000137715</v>
      </c>
      <c r="X15" s="116">
        <f t="shared" si="4"/>
        <v>0.40300000000137715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6"/>
      <c r="B16" s="49" t="s">
        <v>18</v>
      </c>
      <c r="C16" s="86" t="s">
        <v>44</v>
      </c>
      <c r="D16" s="139" t="s">
        <v>44</v>
      </c>
      <c r="E16" s="86" t="s">
        <v>44</v>
      </c>
      <c r="F16" s="86" t="s">
        <v>44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44</v>
      </c>
      <c r="I16" s="18" t="s">
        <v>44</v>
      </c>
      <c r="J16" s="115" t="str">
        <v>USD_CURVE_DEP1M_5M</v>
      </c>
      <c r="K16" s="116">
        <f>IF(J16="","",'1M Pricing'!$I16*100)</f>
        <v>0.49754256017674281</v>
      </c>
      <c r="L16" s="116">
        <f t="shared" si="0"/>
        <v>0.49754256017674281</v>
      </c>
      <c r="M16" s="117" t="str">
        <v>USD_CURVE_DEP3M_5M</v>
      </c>
      <c r="N16" s="116">
        <f>IF(M16="","",'3M Pricing'!$I16*100)</f>
        <v>0.67657943951062471</v>
      </c>
      <c r="O16" s="116">
        <f t="shared" si="1"/>
        <v>0.67657943951062471</v>
      </c>
      <c r="P16" s="117" t="str">
        <v>USD_CURVE_DEP6M_5M</v>
      </c>
      <c r="Q16" s="116">
        <f>IF(P16="","",'6M Pricing'!$I16*100)</f>
        <v>0.88369999998589077</v>
      </c>
      <c r="R16" s="116">
        <f t="shared" si="2"/>
        <v>0.88369999998589077</v>
      </c>
      <c r="S16" s="117" t="str">
        <v>USD_CURVE_DEP12M_5M</v>
      </c>
      <c r="T16" s="116">
        <f>IF(S16="","",'1Y Pricing'!$I16*100)</f>
        <v>1.1889000000000352</v>
      </c>
      <c r="U16" s="116">
        <f t="shared" si="3"/>
        <v>1.1889000000000352</v>
      </c>
      <c r="V16" s="115" t="str">
        <v>USD_CURVE_OIS_5M</v>
      </c>
      <c r="W16" s="116">
        <f>IF(V16="","",'ON Pricing'!$G16*100)</f>
        <v>0.41700000001356496</v>
      </c>
      <c r="X16" s="116">
        <f t="shared" si="4"/>
        <v>0.41700000001356496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6"/>
      <c r="B17" s="49" t="s">
        <v>11</v>
      </c>
      <c r="C17" s="86" t="s">
        <v>44</v>
      </c>
      <c r="D17" s="139" t="s">
        <v>44</v>
      </c>
      <c r="E17" s="86" t="s">
        <v>44</v>
      </c>
      <c r="F17" s="86" t="s">
        <v>44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44</v>
      </c>
      <c r="I17" s="18" t="s">
        <v>44</v>
      </c>
      <c r="J17" s="115" t="str">
        <v>USD_CURVE_DEP1M_6M</v>
      </c>
      <c r="K17" s="116">
        <f>IF(J17="","",'1M Pricing'!$I17*100)</f>
        <v>0.51709230301909936</v>
      </c>
      <c r="L17" s="116">
        <f t="shared" si="0"/>
        <v>0.51709230301909936</v>
      </c>
      <c r="M17" s="117" t="str">
        <v>USD_CURVE_DEP3M_6M</v>
      </c>
      <c r="N17" s="116">
        <f>IF(M17="","",'3M Pricing'!$I17*100)</f>
        <v>0.69561447266343734</v>
      </c>
      <c r="O17" s="116">
        <f t="shared" si="1"/>
        <v>0.69561447266343734</v>
      </c>
      <c r="P17" s="117" t="str">
        <v>USD_CURVE_DEP6M_6M</v>
      </c>
      <c r="Q17" s="116">
        <f>IF(P17="","",'6M Pricing'!$I17*100)</f>
        <v>0.9045999999998432</v>
      </c>
      <c r="R17" s="116">
        <f t="shared" si="2"/>
        <v>0.9045999999998432</v>
      </c>
      <c r="S17" s="117" t="str">
        <v>USD_CURVE_DEP12M_6M</v>
      </c>
      <c r="T17" s="116">
        <f>IF(S17="","",'1Y Pricing'!$I17*100)</f>
        <v>1.1957999999999511</v>
      </c>
      <c r="U17" s="116">
        <f t="shared" si="3"/>
        <v>1.1957999999999511</v>
      </c>
      <c r="V17" s="115" t="str">
        <v>USD_CURVE_OIS_6M</v>
      </c>
      <c r="W17" s="116">
        <f>IF(V17="","",'ON Pricing'!$G17*100)</f>
        <v>0.43200000000508049</v>
      </c>
      <c r="X17" s="116">
        <f t="shared" si="4"/>
        <v>0.43200000000508049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44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6"/>
      <c r="B18" s="49" t="s">
        <v>59</v>
      </c>
      <c r="C18" s="86" t="s">
        <v>44</v>
      </c>
      <c r="D18" s="139" t="s">
        <v>44</v>
      </c>
      <c r="E18" s="86" t="s">
        <v>44</v>
      </c>
      <c r="F18" s="86" t="s">
        <v>44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44</v>
      </c>
      <c r="I18" s="18" t="s">
        <v>44</v>
      </c>
      <c r="J18" s="115" t="str">
        <v>USD_CURVE_DEP1M_7M</v>
      </c>
      <c r="K18" s="116">
        <f>IF(J18="","",'1M Pricing'!$I18*100)</f>
        <v>0.53404314648392792</v>
      </c>
      <c r="L18" s="116">
        <f t="shared" si="0"/>
        <v>0.53404314648392792</v>
      </c>
      <c r="M18" s="117" t="str">
        <v>USD_CURVE_DEP3M_7M</v>
      </c>
      <c r="N18" s="116">
        <f>IF(M18="","",'3M Pricing'!$I18*100)</f>
        <v>0.7106420385603176</v>
      </c>
      <c r="O18" s="116">
        <f t="shared" si="1"/>
        <v>0.7106420385603176</v>
      </c>
      <c r="P18" s="117" t="str">
        <v>USD_CURVE_DEP6M_7M</v>
      </c>
      <c r="Q18" s="116">
        <f>IF(P18="","",'6M Pricing'!$I18*100)</f>
        <v>0.92173739837815072</v>
      </c>
      <c r="R18" s="116">
        <f t="shared" si="2"/>
        <v>0.92173739837815072</v>
      </c>
      <c r="S18" s="117" t="str">
        <v>USD_CURVE_DEP12M_7M</v>
      </c>
      <c r="T18" s="116">
        <f>IF(S18="","",'1Y Pricing'!$I18*100)</f>
        <v>1.2013758685825962</v>
      </c>
      <c r="U18" s="116">
        <f t="shared" si="3"/>
        <v>1.2013758685825962</v>
      </c>
      <c r="V18" s="115" t="str">
        <v>USD_CURVE_OIS_7M</v>
      </c>
      <c r="W18" s="116">
        <f>IF(V18="","",'ON Pricing'!$G18*100)</f>
        <v>0.44600000000513407</v>
      </c>
      <c r="X18" s="116">
        <f t="shared" si="4"/>
        <v>0.44600000000513407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6"/>
      <c r="B19" s="49" t="s">
        <v>60</v>
      </c>
      <c r="C19" s="86" t="s">
        <v>44</v>
      </c>
      <c r="D19" s="139" t="s">
        <v>44</v>
      </c>
      <c r="E19" s="86" t="s">
        <v>44</v>
      </c>
      <c r="F19" s="86" t="s">
        <v>44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44</v>
      </c>
      <c r="I19" s="18" t="s">
        <v>44</v>
      </c>
      <c r="J19" s="115" t="str">
        <v>USD_CURVE_DEP1M_8M</v>
      </c>
      <c r="K19" s="116">
        <f>IF(J19="","",'1M Pricing'!$I19*100)</f>
        <v>0.55264386429412049</v>
      </c>
      <c r="L19" s="116">
        <f t="shared" si="0"/>
        <v>0.55264386429412049</v>
      </c>
      <c r="M19" s="117" t="str">
        <v>USD_CURVE_DEP3M_8M</v>
      </c>
      <c r="N19" s="116">
        <f>IF(M19="","",'3M Pricing'!$I19*100)</f>
        <v>0.72761746683469841</v>
      </c>
      <c r="O19" s="116">
        <f t="shared" si="1"/>
        <v>0.72761746683469841</v>
      </c>
      <c r="P19" s="117" t="str">
        <v>USD_CURVE_DEP6M_8M</v>
      </c>
      <c r="Q19" s="116">
        <f>IF(P19="","",'6M Pricing'!$I19*100)</f>
        <v>0.94318771004008617</v>
      </c>
      <c r="R19" s="116">
        <f t="shared" si="2"/>
        <v>0.94318771004008617</v>
      </c>
      <c r="S19" s="117" t="str">
        <v>USD_CURVE_DEP12M_8M</v>
      </c>
      <c r="T19" s="116">
        <f>IF(S19="","",'1Y Pricing'!$I19*100)</f>
        <v>1.2074446691895548</v>
      </c>
      <c r="U19" s="116">
        <f t="shared" si="3"/>
        <v>1.2074446691895548</v>
      </c>
      <c r="V19" s="115" t="str">
        <v>USD_CURVE_OIS_8M</v>
      </c>
      <c r="W19" s="116">
        <f>IF(V19="","",'ON Pricing'!$G19*100)</f>
        <v>0.46200000004810077</v>
      </c>
      <c r="X19" s="116">
        <f t="shared" si="4"/>
        <v>0.46200000004810077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6"/>
      <c r="B20" s="49" t="s">
        <v>19</v>
      </c>
      <c r="C20" s="86" t="s">
        <v>44</v>
      </c>
      <c r="D20" s="139" t="s">
        <v>44</v>
      </c>
      <c r="E20" s="86" t="s">
        <v>44</v>
      </c>
      <c r="F20" s="86" t="s">
        <v>44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44</v>
      </c>
      <c r="I20" s="18" t="s">
        <v>44</v>
      </c>
      <c r="J20" s="115" t="str">
        <v>USD_CURVE_DEP1M_9M</v>
      </c>
      <c r="K20" s="116">
        <f>IF(J20="","",'1M Pricing'!$I20*100)</f>
        <v>0.57118762254866207</v>
      </c>
      <c r="L20" s="116">
        <f t="shared" si="0"/>
        <v>0.57118762254866207</v>
      </c>
      <c r="M20" s="117" t="str">
        <v>USD_CURVE_DEP3M_9M</v>
      </c>
      <c r="N20" s="116">
        <f>IF(M20="","",'3M Pricing'!$I20*100)</f>
        <v>0.74551843386045868</v>
      </c>
      <c r="O20" s="116">
        <f t="shared" si="1"/>
        <v>0.74551843386045868</v>
      </c>
      <c r="P20" s="117" t="str">
        <v>USD_CURVE_DEP6M_9M</v>
      </c>
      <c r="Q20" s="116">
        <f>IF(P20="","",'6M Pricing'!$I20*100)</f>
        <v>0.95906536702372902</v>
      </c>
      <c r="R20" s="116">
        <f t="shared" si="2"/>
        <v>0.95906536702372902</v>
      </c>
      <c r="S20" s="117" t="str">
        <v>USD_CURVE_DEP12M_9M</v>
      </c>
      <c r="T20" s="116">
        <f>IF(S20="","",'1Y Pricing'!$I20*100)</f>
        <v>1.2136000000000009</v>
      </c>
      <c r="U20" s="116">
        <f t="shared" si="3"/>
        <v>1.2136000000000009</v>
      </c>
      <c r="V20" s="115" t="str">
        <v>USD_CURVE_OIS_9M</v>
      </c>
      <c r="W20" s="116">
        <f>IF(V20="","",'ON Pricing'!$G20*100)</f>
        <v>0.47600000000193371</v>
      </c>
      <c r="X20" s="116">
        <f t="shared" si="4"/>
        <v>0.47600000000193371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44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6"/>
      <c r="B21" s="49" t="s">
        <v>61</v>
      </c>
      <c r="C21" s="86" t="s">
        <v>44</v>
      </c>
      <c r="D21" s="86" t="s">
        <v>44</v>
      </c>
      <c r="E21" s="86" t="s">
        <v>44</v>
      </c>
      <c r="F21" s="86" t="s">
        <v>44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44</v>
      </c>
      <c r="I21" s="18" t="s">
        <v>44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0.49000000000198235</v>
      </c>
      <c r="X21" s="120">
        <f t="shared" si="4"/>
        <v>0.49000000000198235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44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6"/>
      <c r="B22" s="49" t="s">
        <v>62</v>
      </c>
      <c r="C22" s="86" t="s">
        <v>44</v>
      </c>
      <c r="D22" s="86" t="s">
        <v>44</v>
      </c>
      <c r="E22" s="86" t="s">
        <v>44</v>
      </c>
      <c r="F22" s="86" t="s">
        <v>44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44</v>
      </c>
      <c r="I22" s="18" t="s">
        <v>44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0.50299999999999634</v>
      </c>
      <c r="X22" s="116">
        <f t="shared" si="4"/>
        <v>0.50299999999999634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44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1E-3</v>
      </c>
      <c r="AL22" s="142">
        <f>IF($G22=" ","",ROUND(ABS(_xll.RtGet(SourceAlias,$V22,ASK)-X22),4))</f>
        <v>1E-3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6"/>
      <c r="B23" s="50" t="s">
        <v>64</v>
      </c>
      <c r="C23" s="89" t="s">
        <v>44</v>
      </c>
      <c r="D23" s="89" t="s">
        <v>44</v>
      </c>
      <c r="E23" s="89" t="s">
        <v>44</v>
      </c>
      <c r="F23" s="89" t="s">
        <v>44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44</v>
      </c>
      <c r="I23" s="18" t="s">
        <v>44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0.5160000000080015</v>
      </c>
      <c r="X23" s="119">
        <f t="shared" si="4"/>
        <v>0.5160000000080015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44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s="23" customFormat="1" ht="11.25" customHeight="1" x14ac:dyDescent="0.2">
      <c r="A24" s="196"/>
      <c r="B24" s="190" t="str">
        <f t="array" ref="B24:B25">'1M Pricing'!D24:D25</f>
        <v>#20161221</v>
      </c>
      <c r="C24" s="83" t="s">
        <v>44</v>
      </c>
      <c r="D24" s="83" t="s">
        <v>44</v>
      </c>
      <c r="E24" s="83" t="s">
        <v>44</v>
      </c>
      <c r="F24" s="83" t="s">
        <v>44</v>
      </c>
      <c r="G24" s="135" t="s">
        <v>44</v>
      </c>
      <c r="H24" s="135" t="s">
        <v>44</v>
      </c>
      <c r="I24" s="189" t="s">
        <v>44</v>
      </c>
      <c r="J24" s="114" t="str">
        <v>USD_CURVE_DEP1M_#20161221</v>
      </c>
      <c r="K24" s="113">
        <f>IF(J24="","",'1M Pricing'!I24*100)</f>
        <v>0.54369815112730457</v>
      </c>
      <c r="L24" s="113">
        <f t="shared" si="0"/>
        <v>0.54369815112730457</v>
      </c>
      <c r="M24" s="114" t="str">
        <v>USD_CURVE_DEP3M_#20161221</v>
      </c>
      <c r="N24" s="113">
        <f>IF(M24="","",'3M Pricing'!$I24*100)</f>
        <v>0.71930828392576229</v>
      </c>
      <c r="O24" s="113">
        <f t="shared" si="1"/>
        <v>0.71930828392576229</v>
      </c>
      <c r="P24" s="114" t="str">
        <v>USD_CURVE_DEP6M_#20161221</v>
      </c>
      <c r="Q24" s="113">
        <f>IF(P24="","",'6M Pricing'!$I24*100)</f>
        <v>0.93315656874215802</v>
      </c>
      <c r="R24" s="113">
        <f t="shared" si="2"/>
        <v>0.93315656874215802</v>
      </c>
      <c r="S24" s="114" t="str">
        <v>USD_CURVE_DEP12M_#20161221</v>
      </c>
      <c r="T24" s="113">
        <f>IF(S24="","",'1Y Pricing'!$I24*100)</f>
        <v>1.2045214489413811</v>
      </c>
      <c r="U24" s="113">
        <f t="shared" si="3"/>
        <v>1.2045214489413811</v>
      </c>
      <c r="V24" s="112" t="str">
        <v/>
      </c>
      <c r="W24" s="113" t="str">
        <f>IF(V24="","",'ON Pricing'!$G24*100)</f>
        <v/>
      </c>
      <c r="X24" s="113" t="str">
        <f t="shared" si="4"/>
        <v/>
      </c>
      <c r="Y24" s="112" t="str">
        <v/>
      </c>
      <c r="Z24" s="113" t="str">
        <f>IF(Y24="","",'STD Pricing'!$G24*100)</f>
        <v/>
      </c>
      <c r="AA24" s="113" t="str">
        <f t="shared" si="5"/>
        <v/>
      </c>
      <c r="AB24" s="23" t="s">
        <v>44</v>
      </c>
      <c r="AC24" s="141" t="str">
        <f>IF($C24=" ","",ROUND(ABS(_xll.RtGet(SourceAlias,$J24,BID)-K24),4))</f>
        <v/>
      </c>
      <c r="AD24" s="141" t="str">
        <f>IF($C24=" ","",ROUND(ABS(_xll.RtGet(SourceAlias,$J24,ASK)-L24),4))</f>
        <v/>
      </c>
      <c r="AE24" s="141" t="str">
        <f>IF($D24=" ","",ROUND(ABS(_xll.RtGet(SourceAlias,$M24,BID)-N24),4))</f>
        <v/>
      </c>
      <c r="AF24" s="141" t="str">
        <f>IF($D24=" ","",ROUND(ABS(_xll.RtGet(SourceAlias,$M24,ASK)-O24),4))</f>
        <v/>
      </c>
      <c r="AG24" s="141" t="str">
        <f>IF($E24=" ","",ROUND(ABS(_xll.RtGet(SourceAlias,$P24,BID)-Q24),4))</f>
        <v/>
      </c>
      <c r="AH24" s="141" t="str">
        <f>IF($E24=" ","",ROUND(ABS(_xll.RtGet(SourceAlias,$P24,ASK)-R24),4))</f>
        <v/>
      </c>
      <c r="AI24" s="141" t="str">
        <f>IF($F24=" ","",ROUND(ABS(_xll.RtGet(SourceAlias,$S24,BID)-T24),4))</f>
        <v/>
      </c>
      <c r="AJ24" s="141" t="str">
        <f>IF($F24=" ","",ROUND(ABS(_xll.RtGet(SourceAlias,$S24,ASK)-U24),4))</f>
        <v/>
      </c>
      <c r="AK24" s="141" t="str">
        <f>IF($G24=" ","",ROUND(ABS(_xll.RtGet(SourceAlias,$V24,BID)-W24),4))</f>
        <v/>
      </c>
      <c r="AL24" s="141" t="str">
        <f>IF($G24=" ","",ROUND(ABS(_xll.RtGet(SourceAlias,$V24,ASK)-X24),4))</f>
        <v/>
      </c>
      <c r="AM24" s="141" t="str">
        <f>IF($H24=" ","",ROUND(ABS(_xll.RtGet(SourceAlias,$Y24,BID)-Z24),4))</f>
        <v/>
      </c>
      <c r="AN24" s="141" t="str">
        <f>IF($H24=" ","",ROUND(ABS(_xll.RtGet(SourceAlias,$Y24,ASK)-AA24),4))</f>
        <v/>
      </c>
    </row>
    <row r="25" spans="1:40" s="23" customFormat="1" ht="11.25" customHeight="1" x14ac:dyDescent="0.2">
      <c r="A25" s="179"/>
      <c r="B25" s="167" t="str">
        <v>#20170315</v>
      </c>
      <c r="C25" s="89" t="s">
        <v>44</v>
      </c>
      <c r="D25" s="89" t="s">
        <v>44</v>
      </c>
      <c r="E25" s="89" t="s">
        <v>44</v>
      </c>
      <c r="F25" s="89" t="s">
        <v>44</v>
      </c>
      <c r="G25" s="138" t="s">
        <v>44</v>
      </c>
      <c r="H25" s="138" t="s">
        <v>44</v>
      </c>
      <c r="I25" s="189"/>
      <c r="J25" s="118" t="str">
        <v>USD_CURVE_DEP1M_#20170315</v>
      </c>
      <c r="K25" s="119">
        <f>IF(J25="","",'1M Pricing'!I25*100)</f>
        <v>0.59146129012449278</v>
      </c>
      <c r="L25" s="119">
        <f t="shared" ref="L25" si="6">K25</f>
        <v>0.59146129012449278</v>
      </c>
      <c r="M25" s="118" t="str">
        <v>USD_CURVE_DEP3M_#20170315</v>
      </c>
      <c r="N25" s="119">
        <f>IF(M25="","",'3M Pricing'!$I25*100)</f>
        <v>0.76560401421666502</v>
      </c>
      <c r="O25" s="119">
        <f t="shared" ref="O25" si="7">N25</f>
        <v>0.76560401421666502</v>
      </c>
      <c r="P25" s="118" t="str">
        <v>USD_CURVE_DEP6M_#20170315</v>
      </c>
      <c r="Q25" s="119">
        <f>IF(P25="","",'6M Pricing'!$I25*100)</f>
        <v>0.97607094217301671</v>
      </c>
      <c r="R25" s="119">
        <f t="shared" ref="R25" si="8">Q25</f>
        <v>0.97607094217301671</v>
      </c>
      <c r="S25" s="118" t="str">
        <v>USD_CURVE_DEP12M_#20170315</v>
      </c>
      <c r="T25" s="119">
        <f>IF(S25="","",'1Y Pricing'!$I25*100)</f>
        <v>1.2205852209876178</v>
      </c>
      <c r="U25" s="119">
        <f t="shared" ref="U25" si="9">T25</f>
        <v>1.2205852209876178</v>
      </c>
      <c r="V25" s="121" t="str">
        <v/>
      </c>
      <c r="W25" s="119" t="str">
        <f>IF(V25="","",'ON Pricing'!$G25*100)</f>
        <v/>
      </c>
      <c r="X25" s="119" t="str">
        <f t="shared" ref="X25" si="10">W25</f>
        <v/>
      </c>
      <c r="Y25" s="121" t="str">
        <v/>
      </c>
      <c r="Z25" s="119" t="str">
        <f>IF(Y25="","",'STD Pricing'!$G25*100)</f>
        <v/>
      </c>
      <c r="AA25" s="119" t="str">
        <f t="shared" ref="AA25" si="11">Z25</f>
        <v/>
      </c>
      <c r="AC25" s="144" t="str">
        <f>IF($C25=" ","",ROUND(ABS(_xll.RtGet(SourceAlias,$J25,BID)-K25),4))</f>
        <v/>
      </c>
      <c r="AD25" s="144" t="str">
        <f>IF($C25=" ","",ROUND(ABS(_xll.RtGet(SourceAlias,$J25,ASK)-L25),4))</f>
        <v/>
      </c>
      <c r="AE25" s="144" t="str">
        <f>IF($D25=" ","",ROUND(ABS(_xll.RtGet(SourceAlias,$M25,BID)-N25),4))</f>
        <v/>
      </c>
      <c r="AF25" s="144" t="str">
        <f>IF($D25=" ","",ROUND(ABS(_xll.RtGet(SourceAlias,$M25,ASK)-O25),4))</f>
        <v/>
      </c>
      <c r="AG25" s="144" t="str">
        <f>IF($E25=" ","",ROUND(ABS(_xll.RtGet(SourceAlias,$P25,BID)-Q25),4))</f>
        <v/>
      </c>
      <c r="AH25" s="144" t="str">
        <f>IF($E25=" ","",ROUND(ABS(_xll.RtGet(SourceAlias,$P25,ASK)-R25),4))</f>
        <v/>
      </c>
      <c r="AI25" s="144" t="str">
        <f>IF($F25=" ","",ROUND(ABS(_xll.RtGet(SourceAlias,$S25,BID)-T25),4))</f>
        <v/>
      </c>
      <c r="AJ25" s="144" t="str">
        <f>IF($F25=" ","",ROUND(ABS(_xll.RtGet(SourceAlias,$S25,ASK)-U25),4))</f>
        <v/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 t="str">
        <f>IF($H25=" ","",ROUND(ABS(_xll.RtGet(SourceAlias,$Y25,BID)-Z25),4))</f>
        <v/>
      </c>
      <c r="AN25" s="144" t="str">
        <f>IF($H25=" ","",ROUND(ABS(_xll.RtGet(SourceAlias,$Y25,ASK)-AA25),4))</f>
        <v/>
      </c>
    </row>
    <row r="26" spans="1:40" ht="11.25" customHeight="1" x14ac:dyDescent="0.2">
      <c r="A26" s="195" t="s">
        <v>114</v>
      </c>
      <c r="B26" s="49" t="str">
        <f t="array" ref="B26:B34">'1M Pricing'!D26:D34</f>
        <v>M6</v>
      </c>
      <c r="C26" s="86" t="s">
        <v>44</v>
      </c>
      <c r="D26" s="86" t="s">
        <v>44</v>
      </c>
      <c r="E26" s="86" t="s">
        <v>44</v>
      </c>
      <c r="F26" s="86" t="s">
        <v>44</v>
      </c>
      <c r="G26" s="136" t="s">
        <v>44</v>
      </c>
      <c r="H26" s="136" t="s">
        <v>44</v>
      </c>
      <c r="I26" s="18" t="s">
        <v>44</v>
      </c>
      <c r="J26" s="115" t="str">
        <v>USD_CURVE_FUT1M_M6</v>
      </c>
      <c r="K26" s="116">
        <f>IF(J26="","",'1M Pricing'!$I26)</f>
        <v>99.493546202149801</v>
      </c>
      <c r="L26" s="116">
        <f t="shared" si="0"/>
        <v>99.493546202149801</v>
      </c>
      <c r="M26" s="117" t="str">
        <v>USD_CURVE_FUT3M_M6</v>
      </c>
      <c r="N26" s="116">
        <f>IF(M26="","",'3M Pricing'!$I26)</f>
        <v>99.31266154548635</v>
      </c>
      <c r="O26" s="116">
        <f t="shared" si="1"/>
        <v>99.31266154548635</v>
      </c>
      <c r="P26" s="117" t="str">
        <v>USD_CURVE_FUT6M_M6</v>
      </c>
      <c r="Q26" s="116">
        <f>IF(P26="","",'6M Pricing'!$I26)</f>
        <v>99.107090979335112</v>
      </c>
      <c r="R26" s="116">
        <f t="shared" si="2"/>
        <v>99.107090979335112</v>
      </c>
      <c r="S26" s="117" t="str">
        <v>USD_CURVE_FUT12M_M6</v>
      </c>
      <c r="T26" s="116">
        <f>IF(S26="","",'1Y Pricing'!$I26)</f>
        <v>98.81107001512504</v>
      </c>
      <c r="U26" s="116">
        <f t="shared" si="3"/>
        <v>98.81107001512504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44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6"/>
      <c r="B27" s="49" t="str">
        <v>U6</v>
      </c>
      <c r="C27" s="86" t="s">
        <v>44</v>
      </c>
      <c r="D27" s="86" t="s">
        <v>44</v>
      </c>
      <c r="E27" s="86" t="s">
        <v>44</v>
      </c>
      <c r="F27" s="86" t="s">
        <v>44</v>
      </c>
      <c r="G27" s="136" t="s">
        <v>44</v>
      </c>
      <c r="H27" s="136" t="s">
        <v>44</v>
      </c>
      <c r="I27" s="18" t="s">
        <v>44</v>
      </c>
      <c r="J27" s="115" t="str">
        <v>USD_CURVE_FUT1M_U6</v>
      </c>
      <c r="K27" s="116">
        <f>IF(J27="","",'1M Pricing'!$I27)</f>
        <v>99.37459472099836</v>
      </c>
      <c r="L27" s="116">
        <f t="shared" si="0"/>
        <v>99.37459472099836</v>
      </c>
      <c r="M27" s="117" t="str">
        <v>USD_CURVE_FUT3M_U6</v>
      </c>
      <c r="N27" s="116">
        <f>IF(M27="","",'3M Pricing'!$I27)</f>
        <v>99.203235783712387</v>
      </c>
      <c r="O27" s="116">
        <f t="shared" si="1"/>
        <v>99.203235783712387</v>
      </c>
      <c r="P27" s="117" t="str">
        <v>USD_CURVE_FUT6M_U6</v>
      </c>
      <c r="Q27" s="116">
        <f>IF(P27="","",'6M Pricing'!$I27)</f>
        <v>98.98021907102769</v>
      </c>
      <c r="R27" s="116">
        <f t="shared" si="2"/>
        <v>98.98021907102769</v>
      </c>
      <c r="S27" s="117" t="str">
        <v>USD_CURVE_FUT12M_U6</v>
      </c>
      <c r="T27" s="116">
        <f>IF(S27="","",'1Y Pricing'!$I27)</f>
        <v>98.772240492178227</v>
      </c>
      <c r="U27" s="116">
        <f t="shared" si="3"/>
        <v>98.772240492178227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ref="AA27:AA34" si="12">Z27</f>
        <v/>
      </c>
      <c r="AB27" s="23" t="s">
        <v>44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6"/>
      <c r="B28" s="49" t="str">
        <v>Z6</v>
      </c>
      <c r="C28" s="86" t="s">
        <v>44</v>
      </c>
      <c r="D28" s="86" t="s">
        <v>44</v>
      </c>
      <c r="E28" s="86" t="s">
        <v>44</v>
      </c>
      <c r="F28" s="86" t="s">
        <v>44</v>
      </c>
      <c r="G28" s="136" t="s">
        <v>44</v>
      </c>
      <c r="H28" s="136" t="s">
        <v>44</v>
      </c>
      <c r="I28" s="18" t="s">
        <v>44</v>
      </c>
      <c r="J28" s="115" t="str">
        <v>USD_CURVE_FUT1M_Z6</v>
      </c>
      <c r="K28" s="116">
        <f>IF(J28="","",'1M Pricing'!$I28)</f>
        <v>99.277731984136693</v>
      </c>
      <c r="L28" s="116">
        <f t="shared" si="0"/>
        <v>99.277731984136693</v>
      </c>
      <c r="M28" s="117" t="str">
        <v>USD_CURVE_FUT3M_Z6</v>
      </c>
      <c r="N28" s="116">
        <f>IF(M28="","",'3M Pricing'!$I28)</f>
        <v>99.109028505318435</v>
      </c>
      <c r="O28" s="116">
        <f t="shared" si="1"/>
        <v>99.109028505318435</v>
      </c>
      <c r="P28" s="117" t="str">
        <v>USD_CURVE_FUT6M_Z6</v>
      </c>
      <c r="Q28" s="116">
        <f>IF(P28="","",'6M Pricing'!$I28)</f>
        <v>98.91152869859701</v>
      </c>
      <c r="R28" s="116">
        <f t="shared" si="2"/>
        <v>98.91152869859701</v>
      </c>
      <c r="S28" s="117" t="str">
        <v>USD_CURVE_FUT12M_Z6</v>
      </c>
      <c r="T28" s="116">
        <f>IF(S28="","",'1Y Pricing'!$I28)</f>
        <v>98.744045540468932</v>
      </c>
      <c r="U28" s="116">
        <f t="shared" si="3"/>
        <v>98.744045540468932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12"/>
        <v/>
      </c>
      <c r="AB28" s="23" t="s">
        <v>44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6"/>
      <c r="B29" s="49" t="str">
        <v>H7</v>
      </c>
      <c r="C29" s="86" t="s">
        <v>44</v>
      </c>
      <c r="D29" s="86" t="s">
        <v>44</v>
      </c>
      <c r="E29" s="86" t="s">
        <v>44</v>
      </c>
      <c r="F29" s="86" t="s">
        <v>44</v>
      </c>
      <c r="G29" s="136" t="s">
        <v>44</v>
      </c>
      <c r="H29" s="136" t="s">
        <v>44</v>
      </c>
      <c r="I29" s="18" t="s">
        <v>44</v>
      </c>
      <c r="J29" s="115" t="str">
        <v>USD_CURVE_FUT1M_H7</v>
      </c>
      <c r="K29" s="116">
        <f>IF(J29="","",'1M Pricing'!$I29)</f>
        <v>99.214429120472772</v>
      </c>
      <c r="L29" s="116">
        <f t="shared" si="0"/>
        <v>99.214429120472772</v>
      </c>
      <c r="M29" s="117" t="str">
        <v>USD_CURVE_FUT3M_H7</v>
      </c>
      <c r="N29" s="116">
        <f>IF(M29="","",'3M Pricing'!$I29)</f>
        <v>99.045006039341104</v>
      </c>
      <c r="O29" s="116">
        <f t="shared" si="1"/>
        <v>99.045006039341104</v>
      </c>
      <c r="P29" s="117" t="str">
        <v>USD_CURVE_FUT6M_H7</v>
      </c>
      <c r="Q29" s="116">
        <f>IF(P29="","",'6M Pricing'!$I29)</f>
        <v>98.85235213406321</v>
      </c>
      <c r="R29" s="116">
        <f t="shared" si="2"/>
        <v>98.85235213406321</v>
      </c>
      <c r="S29" s="117" t="str">
        <v>USD_CURVE_FUT12M_H7</v>
      </c>
      <c r="T29" s="116">
        <f>IF(S29="","",'1Y Pricing'!$I29)</f>
        <v>98.738106610375084</v>
      </c>
      <c r="U29" s="116">
        <f t="shared" si="3"/>
        <v>98.738106610375084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12"/>
        <v/>
      </c>
      <c r="AB29" s="23" t="s">
        <v>44</v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6"/>
      <c r="B30" s="49" t="str">
        <v>M7</v>
      </c>
      <c r="C30" s="86" t="s">
        <v>44</v>
      </c>
      <c r="D30" s="86" t="s">
        <v>44</v>
      </c>
      <c r="E30" s="86" t="s">
        <v>44</v>
      </c>
      <c r="F30" s="86" t="s">
        <v>44</v>
      </c>
      <c r="G30" s="136" t="s">
        <v>44</v>
      </c>
      <c r="H30" s="136" t="s">
        <v>44</v>
      </c>
      <c r="I30" s="18" t="s">
        <v>44</v>
      </c>
      <c r="J30" s="115" t="str">
        <v>USD_CURVE_FUT1M_M7</v>
      </c>
      <c r="K30" s="116">
        <f>IF(J30="","",'1M Pricing'!$I30)</f>
        <v>99.152867853036952</v>
      </c>
      <c r="L30" s="116">
        <f t="shared" si="0"/>
        <v>99.152867853036952</v>
      </c>
      <c r="M30" s="117" t="str">
        <v>USD_CURVE_FUT3M_M7</v>
      </c>
      <c r="N30" s="116">
        <f>IF(M30="","",'3M Pricing'!$I30)</f>
        <v>98.981392353035659</v>
      </c>
      <c r="O30" s="116">
        <f t="shared" si="1"/>
        <v>98.981392353035659</v>
      </c>
      <c r="P30" s="117" t="str">
        <v>USD_CURVE_FUT6M_M7</v>
      </c>
      <c r="Q30" s="116">
        <f>IF(P30="","",'6M Pricing'!$I30)</f>
        <v>98.81838034402675</v>
      </c>
      <c r="R30" s="116">
        <f t="shared" si="2"/>
        <v>98.81838034402675</v>
      </c>
      <c r="S30" s="117" t="str">
        <v>USD_CURVE_FUT12M_M7</v>
      </c>
      <c r="T30" s="116">
        <f>IF(S30="","",'1Y Pricing'!$I30)</f>
        <v>98.691100229528544</v>
      </c>
      <c r="U30" s="116">
        <f t="shared" si="3"/>
        <v>98.691100229528544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12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6"/>
      <c r="B31" s="49" t="str">
        <v>U7</v>
      </c>
      <c r="C31" s="86" t="s">
        <v>44</v>
      </c>
      <c r="D31" s="86" t="s">
        <v>44</v>
      </c>
      <c r="E31" s="86" t="s">
        <v>44</v>
      </c>
      <c r="F31" s="86" t="s">
        <v>44</v>
      </c>
      <c r="G31" s="136" t="s">
        <v>44</v>
      </c>
      <c r="H31" s="136" t="s">
        <v>44</v>
      </c>
      <c r="I31" s="18" t="s">
        <v>44</v>
      </c>
      <c r="J31" s="115" t="str">
        <v>USD_CURVE_FUT1M_U7</v>
      </c>
      <c r="K31" s="116">
        <f>IF(J31="","",'1M Pricing'!$I31)</f>
        <v>99.093263971953434</v>
      </c>
      <c r="L31" s="116">
        <f t="shared" si="0"/>
        <v>99.093263971953434</v>
      </c>
      <c r="M31" s="117" t="str">
        <v>USD_CURVE_FUT3M_U7</v>
      </c>
      <c r="N31" s="116">
        <f>IF(M31="","",'3M Pricing'!$I31)</f>
        <v>98.912912088590858</v>
      </c>
      <c r="O31" s="116">
        <f t="shared" si="1"/>
        <v>98.912912088590858</v>
      </c>
      <c r="P31" s="117" t="str">
        <v>USD_CURVE_FUT6M_U7</v>
      </c>
      <c r="Q31" s="116">
        <f>IF(P31="","",'6M Pricing'!$I31)</f>
        <v>98.737991684460994</v>
      </c>
      <c r="R31" s="116">
        <f t="shared" si="2"/>
        <v>98.737991684460994</v>
      </c>
      <c r="S31" s="117" t="str">
        <v>USD_CURVE_FUT12M_U7</v>
      </c>
      <c r="T31" s="116">
        <f>IF(S31="","",'1Y Pricing'!$I31)</f>
        <v>98.554603154776771</v>
      </c>
      <c r="U31" s="116">
        <f t="shared" si="3"/>
        <v>98.554603154776771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12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6"/>
      <c r="B32" s="49" t="str">
        <v>Z7</v>
      </c>
      <c r="C32" s="86" t="s">
        <v>44</v>
      </c>
      <c r="D32" s="86" t="s">
        <v>44</v>
      </c>
      <c r="E32" s="86" t="s">
        <v>44</v>
      </c>
      <c r="F32" s="86" t="s">
        <v>44</v>
      </c>
      <c r="G32" s="136" t="s">
        <v>44</v>
      </c>
      <c r="H32" s="136" t="s">
        <v>44</v>
      </c>
      <c r="I32" s="18" t="s">
        <v>44</v>
      </c>
      <c r="J32" s="115" t="str">
        <v>USD_CURVE_FUT1M_Z7</v>
      </c>
      <c r="K32" s="116">
        <f>IF(J32="","",'1M Pricing'!$I32)</f>
        <v>99.030318436644109</v>
      </c>
      <c r="L32" s="116">
        <f t="shared" si="0"/>
        <v>99.030318436644109</v>
      </c>
      <c r="M32" s="117" t="str">
        <v>USD_CURVE_FUT3M_Z7</v>
      </c>
      <c r="N32" s="116">
        <f>IF(M32="","",'3M Pricing'!$I32)</f>
        <v>98.839659789836361</v>
      </c>
      <c r="O32" s="116">
        <f t="shared" si="1"/>
        <v>98.839659789836361</v>
      </c>
      <c r="P32" s="117" t="str">
        <v>USD_CURVE_FUT6M_Z7</v>
      </c>
      <c r="Q32" s="116">
        <f>IF(P32="","",'6M Pricing'!$I32)</f>
        <v>98.658914635716059</v>
      </c>
      <c r="R32" s="116">
        <f t="shared" si="2"/>
        <v>98.658914635716059</v>
      </c>
      <c r="S32" s="117" t="str">
        <v>USD_CURVE_FUT12M_Z7</v>
      </c>
      <c r="T32" s="116">
        <f>IF(S32="","",'1Y Pricing'!$I32)</f>
        <v>98.355910389748757</v>
      </c>
      <c r="U32" s="116">
        <f t="shared" si="3"/>
        <v>98.355910389748757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12"/>
        <v/>
      </c>
      <c r="AC32" s="142" t="str">
        <f>IF($C32=" ","",ROUND(ABS(_xll.RtGet(SourceAlias,$J32,BID)-K32),4))</f>
        <v/>
      </c>
      <c r="AD32" s="142" t="str">
        <f>IF($C32=" ","",ROUND(ABS(_xll.RtGet(SourceAlias,$J32,ASK)-L32),4))</f>
        <v/>
      </c>
      <c r="AE32" s="142" t="str">
        <f>IF($D32=" ","",ROUND(ABS(_xll.RtGet(SourceAlias,$M32,BID)-N32),4))</f>
        <v/>
      </c>
      <c r="AF32" s="142" t="str">
        <f>IF($D32=" ","",ROUND(ABS(_xll.RtGet(SourceAlias,$M32,ASK)-O32),4))</f>
        <v/>
      </c>
      <c r="AG32" s="142" t="str">
        <f>IF($E32=" ","",ROUND(ABS(_xll.RtGet(SourceAlias,$P32,BID)-Q32),4))</f>
        <v/>
      </c>
      <c r="AH32" s="142" t="str">
        <f>IF($E32=" ","",ROUND(ABS(_xll.RtGet(SourceAlias,$P32,ASK)-R32),4))</f>
        <v/>
      </c>
      <c r="AI32" s="142" t="str">
        <f>IF($F32=" ","",ROUND(ABS(_xll.RtGet(SourceAlias,$S32,BID)-T32),4))</f>
        <v/>
      </c>
      <c r="AJ32" s="142" t="str">
        <f>IF($F32=" ","",ROUND(ABS(_xll.RtGet(SourceAlias,$S32,ASK)-U32),4))</f>
        <v/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6"/>
      <c r="B33" s="49" t="str">
        <v>H8</v>
      </c>
      <c r="C33" s="86" t="s">
        <v>44</v>
      </c>
      <c r="D33" s="86" t="s">
        <v>44</v>
      </c>
      <c r="E33" s="86" t="s">
        <v>44</v>
      </c>
      <c r="F33" s="86" t="s">
        <v>44</v>
      </c>
      <c r="G33" s="136" t="s">
        <v>44</v>
      </c>
      <c r="H33" s="136" t="s">
        <v>44</v>
      </c>
      <c r="I33" s="18"/>
      <c r="J33" s="115" t="str">
        <v>USD_CURVE_FUT1M_H8</v>
      </c>
      <c r="K33" s="116">
        <f>IF(J33="","",'1M Pricing'!$I33)</f>
        <v>98.962945003027585</v>
      </c>
      <c r="L33" s="116">
        <f t="shared" ref="L33:L34" si="13">K33</f>
        <v>98.962945003027585</v>
      </c>
      <c r="M33" s="117" t="str">
        <v>USD_CURVE_FUT3M_H8</v>
      </c>
      <c r="N33" s="116">
        <f>IF(M33="","",'3M Pricing'!$I33)</f>
        <v>98.786692375272395</v>
      </c>
      <c r="O33" s="116">
        <f t="shared" ref="O33:O34" si="14">N33</f>
        <v>98.786692375272395</v>
      </c>
      <c r="P33" s="117" t="str">
        <v>USD_CURVE_FUT6M_H8</v>
      </c>
      <c r="Q33" s="116">
        <f>IF(P33="","",'6M Pricing'!$I33)</f>
        <v>98.63385361034932</v>
      </c>
      <c r="R33" s="116">
        <f t="shared" ref="R33:R34" si="15">Q33</f>
        <v>98.63385361034932</v>
      </c>
      <c r="S33" s="117" t="str">
        <v>USD_CURVE_FUT12M_H8</v>
      </c>
      <c r="T33" s="116">
        <f>IF(S33="","",'1Y Pricing'!$I33)</f>
        <v>98.177065036619737</v>
      </c>
      <c r="U33" s="116">
        <f t="shared" ref="U33:U34" si="16">T33</f>
        <v>98.177065036619737</v>
      </c>
      <c r="V33" s="115" t="str">
        <v/>
      </c>
      <c r="W33" s="116" t="str">
        <f>IF(V33="","",'ON Pricing'!G33*100)</f>
        <v/>
      </c>
      <c r="X33" s="116"/>
      <c r="Y33" s="115" t="str">
        <v/>
      </c>
      <c r="Z33" s="116" t="str">
        <f>IF(Y33="","",'STD Pricing'!$G33*100)</f>
        <v/>
      </c>
      <c r="AA33" s="116" t="str">
        <f t="shared" si="12"/>
        <v/>
      </c>
      <c r="AC33" s="142" t="str">
        <f>IF($C33=" ","",ROUND(ABS(_xll.RtGet(SourceAlias,$J33,BID)-K33),4))</f>
        <v/>
      </c>
      <c r="AD33" s="142" t="str">
        <f>IF($C33=" ","",ROUND(ABS(_xll.RtGet(SourceAlias,$J33,ASK)-L33),4))</f>
        <v/>
      </c>
      <c r="AE33" s="142" t="str">
        <f>IF($D33=" ","",ROUND(ABS(_xll.RtGet(SourceAlias,$M33,BID)-N33),4))</f>
        <v/>
      </c>
      <c r="AF33" s="142" t="str">
        <f>IF($D33=" ","",ROUND(ABS(_xll.RtGet(SourceAlias,$M33,ASK)-O33),4))</f>
        <v/>
      </c>
      <c r="AG33" s="142" t="str">
        <f>IF($E33=" ","",ROUND(ABS(_xll.RtGet(SourceAlias,$P33,BID)-Q33),4))</f>
        <v/>
      </c>
      <c r="AH33" s="142" t="str">
        <f>IF($E33=" ","",ROUND(ABS(_xll.RtGet(SourceAlias,$P33,ASK)-R33),4))</f>
        <v/>
      </c>
      <c r="AI33" s="142" t="str">
        <f>IF($F33=" ","",ROUND(ABS(_xll.RtGet(SourceAlias,$S33,BID)-T33),4))</f>
        <v/>
      </c>
      <c r="AJ33" s="142" t="str">
        <f>IF($F33=" ","",ROUND(ABS(_xll.RtGet(SourceAlias,$S33,ASK)-U33),4))</f>
        <v/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 t="str">
        <f>IF($H33=" ","",ROUND(ABS(_xll.RtGet(SourceAlias,$Y33,BID)-Z33),4))</f>
        <v/>
      </c>
      <c r="AN33" s="142" t="str">
        <f>IF($H33=" ","",ROUND(ABS(_xll.RtGet(SourceAlias,$Y33,ASK)-AA33),4))</f>
        <v/>
      </c>
    </row>
    <row r="34" spans="1:40" x14ac:dyDescent="0.2">
      <c r="A34" s="197"/>
      <c r="B34" s="49" t="str">
        <v>M8</v>
      </c>
      <c r="C34" s="86" t="s">
        <v>44</v>
      </c>
      <c r="D34" s="86" t="s">
        <v>44</v>
      </c>
      <c r="E34" s="86" t="s">
        <v>44</v>
      </c>
      <c r="F34" s="86" t="s">
        <v>44</v>
      </c>
      <c r="G34" s="136" t="s">
        <v>44</v>
      </c>
      <c r="H34" s="136" t="s">
        <v>44</v>
      </c>
      <c r="I34" s="18"/>
      <c r="J34" s="115" t="str">
        <v>USD_CURVE_FUT1M_M8</v>
      </c>
      <c r="K34" s="116">
        <f>IF(J34="","",'1M Pricing'!$I34)</f>
        <v>98.895422092703981</v>
      </c>
      <c r="L34" s="116">
        <f t="shared" si="13"/>
        <v>98.895422092703981</v>
      </c>
      <c r="M34" s="117" t="str">
        <v>USD_CURVE_FUT3M_M8</v>
      </c>
      <c r="N34" s="116">
        <f>IF(M34="","",'3M Pricing'!$I34)</f>
        <v>98.756623341921681</v>
      </c>
      <c r="O34" s="116">
        <f t="shared" si="14"/>
        <v>98.756623341921681</v>
      </c>
      <c r="P34" s="117" t="str">
        <v>USD_CURVE_FUT6M_M8</v>
      </c>
      <c r="Q34" s="116">
        <f>IF(P34="","",'6M Pricing'!$I34)</f>
        <v>98.612677443843438</v>
      </c>
      <c r="R34" s="116">
        <f t="shared" si="15"/>
        <v>98.612677443843438</v>
      </c>
      <c r="S34" s="117" t="str">
        <v>USD_CURVE_FUT12M_M8</v>
      </c>
      <c r="T34" s="116">
        <f>IF(S34="","",'1Y Pricing'!$I34)</f>
        <v>98.293929205241099</v>
      </c>
      <c r="U34" s="116">
        <f t="shared" si="16"/>
        <v>98.293929205241099</v>
      </c>
      <c r="V34" s="115" t="str">
        <v/>
      </c>
      <c r="W34" s="116" t="str">
        <f>IF(V34="","",'ON Pricing'!G34*100)</f>
        <v/>
      </c>
      <c r="X34" s="116"/>
      <c r="Y34" s="115" t="str">
        <v/>
      </c>
      <c r="Z34" s="116" t="str">
        <f>IF(Y34="","",'STD Pricing'!$G34*100)</f>
        <v/>
      </c>
      <c r="AA34" s="116" t="str">
        <f t="shared" si="12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3" t="s">
        <v>100</v>
      </c>
      <c r="B35" s="48" t="s">
        <v>20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44</v>
      </c>
      <c r="H35" s="135" t="str">
        <f>IF(Contribute="abcd",IF($E$2&lt;&gt;-1,_xll.RtContribute(SourceAlias,Y35,Fields,Z35:AA35,"SCOPE:SERVER"),_xll.RtContribute(SourceAlias,"DDS_INSERT_S",$E$2:$G$2,Y35:AA35,"SCOPE:SERVER FTC:ALL")),"stopped")</f>
        <v>stopped</v>
      </c>
      <c r="I35" s="3" t="s">
        <v>44</v>
      </c>
      <c r="J35" s="112" t="str">
        <v>USD_CURVE_1M_1Y</v>
      </c>
      <c r="K35" s="113">
        <f>IF(J35="","",'1M Pricing'!$I35*100)</f>
        <v>0.61700000118381482</v>
      </c>
      <c r="L35" s="113">
        <f t="shared" ref="L35:L41" si="17">K35</f>
        <v>0.61700000118381482</v>
      </c>
      <c r="M35" s="114" t="str">
        <v>USD_CURVE_3M_1Y</v>
      </c>
      <c r="N35" s="113">
        <f>IF(M35="","",'3M Pricing'!$I35*100)</f>
        <v>0.79030212301756531</v>
      </c>
      <c r="O35" s="113">
        <f t="shared" ref="O35:O41" si="18">N35</f>
        <v>0.79030212301756531</v>
      </c>
      <c r="P35" s="114" t="str">
        <v>USD_CURVE_6M_1Y</v>
      </c>
      <c r="Q35" s="113">
        <f>IF(P35="","",'6M Pricing'!$I35*100)</f>
        <v>0.99631568850278851</v>
      </c>
      <c r="R35" s="113">
        <f t="shared" ref="R35:R41" si="19">Q35</f>
        <v>0.99631568850278851</v>
      </c>
      <c r="S35" s="114" t="str">
        <v>USD_CURVE_12M_1Y</v>
      </c>
      <c r="T35" s="113">
        <f>IF(S35="","",'1Y Pricing'!$I35*100)</f>
        <v>1.229999999998389</v>
      </c>
      <c r="U35" s="113">
        <f t="shared" ref="U35:U41" si="20">T35</f>
        <v>1.229999999998389</v>
      </c>
      <c r="V35" s="112" t="str">
        <v/>
      </c>
      <c r="W35" s="113" t="str">
        <f>IF(V35="","",'ON Pricing'!$G35*100)</f>
        <v/>
      </c>
      <c r="X35" s="113" t="str">
        <f t="shared" ref="X35:X41" si="21">W35</f>
        <v/>
      </c>
      <c r="Y35" s="112" t="str">
        <v>USD_CURVE_STD_1Y</v>
      </c>
      <c r="Z35" s="113">
        <f>IF(Y35="","",'STD Pricing'!$G35*100)</f>
        <v>0.77324304440601233</v>
      </c>
      <c r="AA35" s="113">
        <f t="shared" si="5"/>
        <v>0.77324304440601233</v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1.5E-3</v>
      </c>
      <c r="AF35" s="141">
        <f>IF($D35=" ","",ROUND(ABS(_xll.RtGet(SourceAlias,$M35,ASK)-O35),4))</f>
        <v>1.5E-3</v>
      </c>
      <c r="AG35" s="141">
        <f>IF($E35=" ","",ROUND(ABS(_xll.RtGet(SourceAlias,$P35,BID)-Q35),4))</f>
        <v>1.6000000000000001E-3</v>
      </c>
      <c r="AH35" s="141">
        <f>IF($E35=" ","",ROUND(ABS(_xll.RtGet(SourceAlias,$P35,ASK)-R35),4))</f>
        <v>1.6000000000000001E-3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>
        <f>IF($H35=" ","",ROUND(ABS(_xll.RtGet(SourceAlias,$Y35,BID)-Z35),4))</f>
        <v>0.1905</v>
      </c>
      <c r="AN35" s="141">
        <f>IF($H35=" ","",ROUND(ABS(_xll.RtGet(SourceAlias,$Y35,ASK)-AA35),4))</f>
        <v>0.1905</v>
      </c>
    </row>
    <row r="36" spans="1:40" x14ac:dyDescent="0.2">
      <c r="A36" s="193"/>
      <c r="B36" s="49" t="s">
        <v>104</v>
      </c>
      <c r="C36" s="86" t="s">
        <v>44</v>
      </c>
      <c r="D36" s="86" t="s">
        <v>44</v>
      </c>
      <c r="E36" s="86" t="s">
        <v>44</v>
      </c>
      <c r="F36" s="86" t="s">
        <v>44</v>
      </c>
      <c r="G36" s="136" t="s">
        <v>44</v>
      </c>
      <c r="H36" s="136" t="s">
        <v>44</v>
      </c>
      <c r="I36" s="3" t="s">
        <v>44</v>
      </c>
      <c r="J36" s="115" t="str">
        <v/>
      </c>
      <c r="K36" s="116" t="str">
        <f>IF(J36="","",'1M Pricing'!$I36*100)</f>
        <v/>
      </c>
      <c r="L36" s="116" t="str">
        <f t="shared" si="17"/>
        <v/>
      </c>
      <c r="M36" s="117" t="str">
        <v/>
      </c>
      <c r="N36" s="116" t="str">
        <f>IF(M36="","",'3M Pricing'!$I36*100)</f>
        <v/>
      </c>
      <c r="O36" s="116" t="str">
        <f t="shared" si="18"/>
        <v/>
      </c>
      <c r="P36" s="117" t="str">
        <v/>
      </c>
      <c r="Q36" s="116" t="str">
        <f>IF(P36="","",'6M Pricing'!$I36*100)</f>
        <v/>
      </c>
      <c r="R36" s="116" t="str">
        <f t="shared" si="19"/>
        <v/>
      </c>
      <c r="S36" s="117" t="str">
        <v/>
      </c>
      <c r="T36" s="116" t="str">
        <f>IF(S36="","",'1Y Pricing'!$I36*100)</f>
        <v/>
      </c>
      <c r="U36" s="116" t="str">
        <f t="shared" si="20"/>
        <v/>
      </c>
      <c r="V36" s="115" t="str">
        <v>USD_CURVE_OIS_15M</v>
      </c>
      <c r="W36" s="116">
        <f>IF(V36="","",'ON Pricing'!$G36*100)</f>
        <v>0.5500000000255526</v>
      </c>
      <c r="X36" s="116">
        <f t="shared" si="21"/>
        <v>0.5500000000255526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3"/>
      <c r="B37" s="49" t="s">
        <v>105</v>
      </c>
      <c r="C37" s="86" t="s">
        <v>44</v>
      </c>
      <c r="D37" s="86" t="s">
        <v>44</v>
      </c>
      <c r="E37" s="86" t="s">
        <v>44</v>
      </c>
      <c r="F37" s="86" t="s">
        <v>44</v>
      </c>
      <c r="G37" s="136" t="s">
        <v>44</v>
      </c>
      <c r="H37" s="136" t="s">
        <v>44</v>
      </c>
      <c r="I37" s="3" t="s">
        <v>44</v>
      </c>
      <c r="J37" s="115" t="str">
        <v/>
      </c>
      <c r="K37" s="116" t="str">
        <f>IF(J37="","",'1M Pricing'!$I37*100)</f>
        <v/>
      </c>
      <c r="L37" s="116" t="str">
        <f t="shared" si="17"/>
        <v/>
      </c>
      <c r="M37" s="117" t="str">
        <v/>
      </c>
      <c r="N37" s="116" t="str">
        <f>IF(M37="","",'3M Pricing'!$I37*100)</f>
        <v/>
      </c>
      <c r="O37" s="116" t="str">
        <f t="shared" si="18"/>
        <v/>
      </c>
      <c r="P37" s="117" t="str">
        <v/>
      </c>
      <c r="Q37" s="116" t="str">
        <f>IF(P37="","",'6M Pricing'!$I37*100)</f>
        <v/>
      </c>
      <c r="R37" s="116" t="str">
        <f t="shared" si="19"/>
        <v/>
      </c>
      <c r="S37" s="117" t="str">
        <v/>
      </c>
      <c r="T37" s="116" t="str">
        <f>IF(S37="","",'1Y Pricing'!$I37*100)</f>
        <v/>
      </c>
      <c r="U37" s="116" t="str">
        <f t="shared" si="20"/>
        <v/>
      </c>
      <c r="V37" s="115" t="str">
        <v>USD_CURVE_OIS_18M</v>
      </c>
      <c r="W37" s="116">
        <f>IF(V37="","",'ON Pricing'!$G37*100)</f>
        <v>0.58099999997387541</v>
      </c>
      <c r="X37" s="116">
        <f t="shared" si="21"/>
        <v>0.58099999997387541</v>
      </c>
      <c r="Y37" s="115" t="str">
        <v/>
      </c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 t="str">
        <f>IF($G37=" ","",ROUND(ABS(_xll.RtGet(SourceAlias,$V37,BID)-W37),4))</f>
        <v/>
      </c>
      <c r="AL37" s="142" t="str">
        <f>IF($G37=" ","",ROUND(ABS(_xll.RtGet(SourceAlias,$V37,ASK)-X37),4))</f>
        <v/>
      </c>
      <c r="AM37" s="142" t="str">
        <f>IF($H37=" ","",ROUND(ABS(_xll.RtGet(SourceAlias,$Y37,BID)-Z37),4))</f>
        <v/>
      </c>
      <c r="AN37" s="142" t="str">
        <f>IF($H37=" ","",ROUND(ABS(_xll.RtGet(SourceAlias,$Y37,ASK)-AA37),4))</f>
        <v/>
      </c>
    </row>
    <row r="38" spans="1:40" x14ac:dyDescent="0.2">
      <c r="A38" s="193"/>
      <c r="B38" s="49" t="s">
        <v>106</v>
      </c>
      <c r="C38" s="86" t="s">
        <v>44</v>
      </c>
      <c r="D38" s="86" t="s">
        <v>44</v>
      </c>
      <c r="E38" s="86" t="s">
        <v>44</v>
      </c>
      <c r="F38" s="86" t="s">
        <v>44</v>
      </c>
      <c r="G38" s="136" t="s">
        <v>44</v>
      </c>
      <c r="H38" s="136" t="s">
        <v>44</v>
      </c>
      <c r="I38" s="3" t="s">
        <v>44</v>
      </c>
      <c r="J38" s="115" t="str">
        <v/>
      </c>
      <c r="K38" s="116" t="str">
        <f>IF(J38="","",'1M Pricing'!$I38*100)</f>
        <v/>
      </c>
      <c r="L38" s="116" t="str">
        <f t="shared" si="17"/>
        <v/>
      </c>
      <c r="M38" s="117" t="str">
        <v/>
      </c>
      <c r="N38" s="116" t="str">
        <f>IF(M38="","",'3M Pricing'!$I38*100)</f>
        <v/>
      </c>
      <c r="O38" s="116" t="str">
        <f t="shared" si="18"/>
        <v/>
      </c>
      <c r="P38" s="117" t="str">
        <v/>
      </c>
      <c r="Q38" s="116" t="str">
        <f>IF(P38="","",'6M Pricing'!$I38*100)</f>
        <v/>
      </c>
      <c r="R38" s="116" t="str">
        <f t="shared" si="19"/>
        <v/>
      </c>
      <c r="S38" s="117" t="str">
        <v/>
      </c>
      <c r="T38" s="116" t="str">
        <f>IF(S38="","",'1Y Pricing'!$I38*100)</f>
        <v/>
      </c>
      <c r="U38" s="116" t="str">
        <f t="shared" si="20"/>
        <v/>
      </c>
      <c r="V38" s="115" t="str">
        <v>USD_CURVE_OIS_21M</v>
      </c>
      <c r="W38" s="116">
        <f>IF(V38="","",'ON Pricing'!$G38*100)</f>
        <v>0.61299999998677501</v>
      </c>
      <c r="X38" s="116">
        <f t="shared" si="21"/>
        <v>0.61299999998677501</v>
      </c>
      <c r="Y38" s="115" t="str">
        <v/>
      </c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 t="str">
        <f>IF($G38=" ","",ROUND(ABS(_xll.RtGet(SourceAlias,$V38,BID)-W38),4))</f>
        <v/>
      </c>
      <c r="AL38" s="142" t="str">
        <f>IF($G38=" ","",ROUND(ABS(_xll.RtGet(SourceAlias,$V38,ASK)-X38),4))</f>
        <v/>
      </c>
      <c r="AM38" s="142" t="str">
        <f>IF($H38=" ","",ROUND(ABS(_xll.RtGet(SourceAlias,$Y38,BID)-Z38),4))</f>
        <v/>
      </c>
      <c r="AN38" s="142" t="str">
        <f>IF($H38=" ","",ROUND(ABS(_xll.RtGet(SourceAlias,$Y38,ASK)-AA38),4))</f>
        <v/>
      </c>
    </row>
    <row r="39" spans="1:40" x14ac:dyDescent="0.2">
      <c r="A39" s="193"/>
      <c r="B39" s="49" t="s">
        <v>21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6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44</v>
      </c>
      <c r="J39" s="115" t="str">
        <v>USD_CURVE_1M_2Y</v>
      </c>
      <c r="K39" s="116">
        <f>IF(J39="","",'1M Pricing'!$I39*100)</f>
        <v>0.7644528251284014</v>
      </c>
      <c r="L39" s="116">
        <f t="shared" si="17"/>
        <v>0.7644528251284014</v>
      </c>
      <c r="M39" s="117" t="str">
        <v>USD_CURVE_3M_2Y</v>
      </c>
      <c r="N39" s="116">
        <f>IF(M39="","",'3M Pricing'!$I39*100)</f>
        <v>0.94129984193883454</v>
      </c>
      <c r="O39" s="116">
        <f t="shared" si="18"/>
        <v>0.94129984193883454</v>
      </c>
      <c r="P39" s="117" t="str">
        <v>USD_CURVE_6M_2Y</v>
      </c>
      <c r="Q39" s="116">
        <f>IF(P39="","",'6M Pricing'!$I39*100)</f>
        <v>1.1328152663885449</v>
      </c>
      <c r="R39" s="116">
        <f t="shared" si="19"/>
        <v>1.1328152663885449</v>
      </c>
      <c r="S39" s="117" t="str">
        <v>USD_CURVE_12M_2Y</v>
      </c>
      <c r="T39" s="116">
        <f>IF(S39="","",'1Y Pricing'!$I39*100)</f>
        <v>1.3624332360167322</v>
      </c>
      <c r="U39" s="116">
        <f t="shared" si="20"/>
        <v>1.3624332360167322</v>
      </c>
      <c r="V39" s="115" t="str">
        <v>USD_CURVE_OIS_2Y</v>
      </c>
      <c r="W39" s="116">
        <f>IF(V39="","",'ON Pricing'!$G39*100)</f>
        <v>0.64400000000398727</v>
      </c>
      <c r="X39" s="116">
        <f t="shared" si="21"/>
        <v>0.64400000000398727</v>
      </c>
      <c r="Y39" s="115" t="str">
        <v>USD_CURVE_STD_2Y</v>
      </c>
      <c r="Z39" s="116">
        <f>IF(Y39="","",'STD Pricing'!$G39*100)</f>
        <v>0.93299999999999628</v>
      </c>
      <c r="AA39" s="116">
        <f t="shared" si="5"/>
        <v>0.93299999999999628</v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2.7000000000000001E-3</v>
      </c>
      <c r="AF39" s="142">
        <f>IF($D39=" ","",ROUND(ABS(_xll.RtGet(SourceAlias,$M39,ASK)-O39),4))</f>
        <v>2.7000000000000001E-3</v>
      </c>
      <c r="AG39" s="142">
        <f>IF($E39=" ","",ROUND(ABS(_xll.RtGet(SourceAlias,$P39,BID)-Q39),4))</f>
        <v>2.7000000000000001E-3</v>
      </c>
      <c r="AH39" s="142">
        <f>IF($E39=" ","",ROUND(ABS(_xll.RtGet(SourceAlias,$P39,ASK)-R39),4))</f>
        <v>2.7000000000000001E-3</v>
      </c>
      <c r="AI39" s="142">
        <f>IF($F39=" ","",ROUND(ABS(_xll.RtGet(SourceAlias,$S39,BID)-T39),4))</f>
        <v>2.7000000000000001E-3</v>
      </c>
      <c r="AJ39" s="142">
        <f>IF($F39=" ","",ROUND(ABS(_xll.RtGet(SourceAlias,$S39,ASK)-U39),4))</f>
        <v>2.7000000000000001E-3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>
        <f>IF($H39=" ","",ROUND(ABS(_xll.RtGet(SourceAlias,$Y39,BID)-Z39),4))</f>
        <v>8.8499999999999995E-2</v>
      </c>
      <c r="AN39" s="142">
        <f>IF($H39=" ","",ROUND(ABS(_xll.RtGet(SourceAlias,$Y39,ASK)-AA39),4))</f>
        <v>8.8499999999999995E-2</v>
      </c>
    </row>
    <row r="40" spans="1:40" x14ac:dyDescent="0.2">
      <c r="A40" s="193"/>
      <c r="B40" s="49" t="s">
        <v>22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6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44</v>
      </c>
      <c r="J40" s="115" t="str">
        <v>USD_CURVE_1M_3Y</v>
      </c>
      <c r="K40" s="120">
        <f>IF(J40="","",'1M Pricing'!$I40*100)</f>
        <v>0.89940652167532353</v>
      </c>
      <c r="L40" s="120">
        <f t="shared" si="17"/>
        <v>0.89940652167532353</v>
      </c>
      <c r="M40" s="115" t="str">
        <v>USD_CURVE_3M_3Y</v>
      </c>
      <c r="N40" s="120">
        <f>IF(M40="","",'3M Pricing'!$I40*100)</f>
        <v>1.0579999999987544</v>
      </c>
      <c r="O40" s="116">
        <f t="shared" si="18"/>
        <v>1.0579999999987544</v>
      </c>
      <c r="P40" s="115" t="str">
        <v>USD_CURVE_6M_3Y</v>
      </c>
      <c r="Q40" s="116">
        <f>IF(P40="","",'6M Pricing'!$I40*100)</f>
        <v>1.2325399060263227</v>
      </c>
      <c r="R40" s="116">
        <f t="shared" si="19"/>
        <v>1.2325399060263227</v>
      </c>
      <c r="S40" s="115" t="str">
        <v>USD_CURVE_12M_3Y</v>
      </c>
      <c r="T40" s="116">
        <f>IF(S40="","",'1Y Pricing'!$I40*100)</f>
        <v>1.4705260709997754</v>
      </c>
      <c r="U40" s="116">
        <f t="shared" si="20"/>
        <v>1.4705260709997754</v>
      </c>
      <c r="V40" s="115" t="str">
        <v>USD_CURVE_OIS_3Y</v>
      </c>
      <c r="W40" s="120">
        <f>IF(V40="","",'ON Pricing'!$G40*100)</f>
        <v>0.76000000000269241</v>
      </c>
      <c r="X40" s="120">
        <f t="shared" si="21"/>
        <v>0.76000000000269241</v>
      </c>
      <c r="Y40" s="115" t="str">
        <v>USD_CURVE_STD_3Y</v>
      </c>
      <c r="Z40" s="120">
        <f>IF(Y40="","",'STD Pricing'!$G40*100)</f>
        <v>1.0580000000000085</v>
      </c>
      <c r="AA40" s="120">
        <f t="shared" si="5"/>
        <v>1.0580000000000085</v>
      </c>
      <c r="AC40" s="143">
        <f>IF($C40=" ","",ROUND(ABS(_xll.RtGet(SourceAlias,$J40,BID)-K40),4))</f>
        <v>1.2E-2</v>
      </c>
      <c r="AD40" s="143">
        <f>IF($C40=" ","",ROUND(ABS(_xll.RtGet(SourceAlias,$J40,ASK)-L40),4))</f>
        <v>1.2E-2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0</v>
      </c>
      <c r="AN40" s="143">
        <f>IF($H40=" ","",ROUND(ABS(_xll.RtGet(SourceAlias,$Y40,ASK)-AA40),4))</f>
        <v>0</v>
      </c>
    </row>
    <row r="41" spans="1:40" x14ac:dyDescent="0.2">
      <c r="A41" s="193"/>
      <c r="B41" s="49" t="s">
        <v>23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44</v>
      </c>
      <c r="J41" s="115" t="str">
        <v>USD_CURVE_1M_4Y</v>
      </c>
      <c r="K41" s="120">
        <f>IF(J41="","",'1M Pricing'!$I41*100)</f>
        <v>1.0263673228713965</v>
      </c>
      <c r="L41" s="120">
        <f t="shared" si="17"/>
        <v>1.0263673228713965</v>
      </c>
      <c r="M41" s="115" t="str">
        <v>USD_CURVE_3M_4Y</v>
      </c>
      <c r="N41" s="120">
        <f>IF(M41="","",'3M Pricing'!$I41*100)</f>
        <v>1.1760000000013653</v>
      </c>
      <c r="O41" s="116">
        <f t="shared" si="18"/>
        <v>1.1760000000013653</v>
      </c>
      <c r="P41" s="115" t="str">
        <v>USD_CURVE_6M_4Y</v>
      </c>
      <c r="Q41" s="116">
        <f>IF(P41="","",'6M Pricing'!$I41*100)</f>
        <v>1.3355567069252527</v>
      </c>
      <c r="R41" s="116">
        <f t="shared" si="19"/>
        <v>1.3355567069252527</v>
      </c>
      <c r="S41" s="115" t="str">
        <v>USD_CURVE_12M_4Y</v>
      </c>
      <c r="T41" s="116">
        <f>IF(S41="","",'1Y Pricing'!$I41*100)</f>
        <v>1.5723830140559714</v>
      </c>
      <c r="U41" s="116">
        <f t="shared" si="20"/>
        <v>1.5723830140559714</v>
      </c>
      <c r="V41" s="115" t="str">
        <v>USD_CURVE_OIS_4Y</v>
      </c>
      <c r="W41" s="120">
        <f>IF(V41="","",'ON Pricing'!$G41*100)</f>
        <v>0.87000000000203426</v>
      </c>
      <c r="X41" s="120">
        <f t="shared" si="21"/>
        <v>0.87000000000203426</v>
      </c>
      <c r="Y41" s="115" t="str">
        <v>USD_CURVE_STD_4Y</v>
      </c>
      <c r="Z41" s="120">
        <f>IF(Y41="","",'STD Pricing'!$G41*100)</f>
        <v>1.1759999999999982</v>
      </c>
      <c r="AA41" s="120">
        <f t="shared" si="5"/>
        <v>1.1759999999999982</v>
      </c>
      <c r="AC41" s="143">
        <f>IF($C41=" ","",ROUND(ABS(_xll.RtGet(SourceAlias,$J41,BID)-K41),4))</f>
        <v>1.2E-2</v>
      </c>
      <c r="AD41" s="143">
        <f>IF($C41=" ","",ROUND(ABS(_xll.RtGet(SourceAlias,$J41,ASK)-L41),4))</f>
        <v>1.2E-2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0</v>
      </c>
      <c r="AN41" s="143">
        <f>IF($H41=" ","",ROUND(ABS(_xll.RtGet(SourceAlias,$Y41,ASK)-AA41),4))</f>
        <v>0</v>
      </c>
    </row>
    <row r="42" spans="1:40" x14ac:dyDescent="0.2">
      <c r="A42" s="193"/>
      <c r="B42" s="49" t="s">
        <v>24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44</v>
      </c>
      <c r="J42" s="115" t="str">
        <v>USD_CURVE_1M_5Y</v>
      </c>
      <c r="K42" s="120">
        <f>IF(J42="","",'1M Pricing'!$I42*100)</f>
        <v>1.1433312152932624</v>
      </c>
      <c r="L42" s="120">
        <f t="shared" ref="L42:L70" si="22">K42</f>
        <v>1.1433312152932624</v>
      </c>
      <c r="M42" s="115" t="str">
        <v>USD_CURVE_3M_5Y</v>
      </c>
      <c r="N42" s="120">
        <f>IF(M42="","",'3M Pricing'!$I42*100)</f>
        <v>1.2859999999983007</v>
      </c>
      <c r="O42" s="116">
        <f t="shared" ref="O42:O70" si="23">N42</f>
        <v>1.2859999999983007</v>
      </c>
      <c r="P42" s="115" t="str">
        <v>USD_CURVE_6M_5Y</v>
      </c>
      <c r="Q42" s="116">
        <f>IF(P42="","",'6M Pricing'!$I42*100)</f>
        <v>1.43557799191563</v>
      </c>
      <c r="R42" s="116">
        <f t="shared" ref="R42:R70" si="24">Q42</f>
        <v>1.43557799191563</v>
      </c>
      <c r="S42" s="115" t="str">
        <v>USD_CURVE_12M_5Y</v>
      </c>
      <c r="T42" s="116">
        <f>IF(S42="","",'1Y Pricing'!$I42*100)</f>
        <v>1.6724934690486768</v>
      </c>
      <c r="U42" s="116">
        <f t="shared" ref="U42:U70" si="25">T42</f>
        <v>1.6724934690486768</v>
      </c>
      <c r="V42" s="115" t="str">
        <v>USD_CURVE_OIS_5Y</v>
      </c>
      <c r="W42" s="120">
        <f>IF(V42="","",'ON Pricing'!$G42*100)</f>
        <v>0.97200000000163367</v>
      </c>
      <c r="X42" s="120">
        <f t="shared" ref="X42:X70" si="26">W42</f>
        <v>0.97200000000163367</v>
      </c>
      <c r="Y42" s="115" t="str">
        <v>USD_CURVE_STD_5Y</v>
      </c>
      <c r="Z42" s="120">
        <f>IF(Y42="","",'STD Pricing'!$G42*100)</f>
        <v>1.2859999999999956</v>
      </c>
      <c r="AA42" s="120">
        <f t="shared" si="5"/>
        <v>1.2859999999999956</v>
      </c>
      <c r="AC42" s="143">
        <f>IF($C42=" ","",ROUND(ABS(_xll.RtGet(SourceAlias,$J42,BID)-K42),4))</f>
        <v>1.2E-2</v>
      </c>
      <c r="AD42" s="143">
        <f>IF($C42=" ","",ROUND(ABS(_xll.RtGet(SourceAlias,$J42,ASK)-L42),4))</f>
        <v>1.2E-2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0</v>
      </c>
      <c r="AN42" s="143">
        <f>IF($H42=" ","",ROUND(ABS(_xll.RtGet(SourceAlias,$Y42,ASK)-AA42),4))</f>
        <v>0</v>
      </c>
    </row>
    <row r="43" spans="1:40" x14ac:dyDescent="0.2">
      <c r="A43" s="193"/>
      <c r="B43" s="49" t="s">
        <v>66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44</v>
      </c>
      <c r="J43" s="115" t="str">
        <v>USD_CURVE_1M_6Y</v>
      </c>
      <c r="K43" s="120">
        <f>IF(J43="","",'1M Pricing'!$I43*100)</f>
        <v>1.2573082726891132</v>
      </c>
      <c r="L43" s="120">
        <f t="shared" si="22"/>
        <v>1.2573082726891132</v>
      </c>
      <c r="M43" s="115" t="str">
        <v>USD_CURVE_3M_6Y</v>
      </c>
      <c r="N43" s="120">
        <f>IF(M43="","",'3M Pricing'!$I43*100)</f>
        <v>1.3920000000000536</v>
      </c>
      <c r="O43" s="116">
        <f t="shared" si="23"/>
        <v>1.3920000000000536</v>
      </c>
      <c r="P43" s="115" t="str">
        <v>USD_CURVE_6M_6Y</v>
      </c>
      <c r="Q43" s="116">
        <f>IF(P43="","",'6M Pricing'!$I43*100)</f>
        <v>1.5356073943408337</v>
      </c>
      <c r="R43" s="116">
        <f t="shared" si="24"/>
        <v>1.5356073943408337</v>
      </c>
      <c r="S43" s="115" t="str">
        <v>USD_CURVE_12M_6Y</v>
      </c>
      <c r="T43" s="116">
        <f>IF(S43="","",'1Y Pricing'!$I43*100)</f>
        <v>1.7598056515969678</v>
      </c>
      <c r="U43" s="116">
        <f t="shared" si="25"/>
        <v>1.7598056515969678</v>
      </c>
      <c r="V43" s="115" t="str">
        <v>USD_CURVE_OIS_6Y</v>
      </c>
      <c r="W43" s="120">
        <f>IF(V43="","",'ON Pricing'!$G43*100)</f>
        <v>1.0720000000000027</v>
      </c>
      <c r="X43" s="120">
        <f t="shared" si="26"/>
        <v>1.0720000000000027</v>
      </c>
      <c r="Y43" s="115" t="str">
        <v>USD_CURVE_STD_6Y</v>
      </c>
      <c r="Z43" s="120">
        <f>IF(Y43="","",'STD Pricing'!$G43*100)</f>
        <v>1.3919999999999952</v>
      </c>
      <c r="AA43" s="120">
        <f t="shared" si="5"/>
        <v>1.3919999999999952</v>
      </c>
      <c r="AC43" s="143">
        <f>IF($C43=" ","",ROUND(ABS(_xll.RtGet(SourceAlias,$J43,BID)-K43),4))</f>
        <v>1.0999999999999999E-2</v>
      </c>
      <c r="AD43" s="143">
        <f>IF($C43=" ","",ROUND(ABS(_xll.RtGet(SourceAlias,$J43,ASK)-L43),4))</f>
        <v>1.0999999999999999E-2</v>
      </c>
      <c r="AE43" s="143">
        <f>IF($D43=" ","",ROUND(ABS(_xll.RtGet(SourceAlias,$M43,BID)-N43),4))</f>
        <v>1E-3</v>
      </c>
      <c r="AF43" s="143">
        <f>IF($D43=" ","",ROUND(ABS(_xll.RtGet(SourceAlias,$M43,ASK)-O43),4))</f>
        <v>1E-3</v>
      </c>
      <c r="AG43" s="143">
        <f>IF($E43=" ","",ROUND(ABS(_xll.RtGet(SourceAlias,$P43,BID)-Q43),4))</f>
        <v>1E-3</v>
      </c>
      <c r="AH43" s="143">
        <f>IF($E43=" ","",ROUND(ABS(_xll.RtGet(SourceAlias,$P43,ASK)-R43),4))</f>
        <v>1E-3</v>
      </c>
      <c r="AI43" s="143">
        <f>IF($F43=" ","",ROUND(ABS(_xll.RtGet(SourceAlias,$S43,BID)-T43),4))</f>
        <v>1E-3</v>
      </c>
      <c r="AJ43" s="143">
        <f>IF($F43=" ","",ROUND(ABS(_xll.RtGet(SourceAlias,$S43,ASK)-U43),4))</f>
        <v>1E-3</v>
      </c>
      <c r="AK43" s="143">
        <f>IF($G43=" ","",ROUND(ABS(_xll.RtGet(SourceAlias,$V43,BID)-W43),4))</f>
        <v>1E-3</v>
      </c>
      <c r="AL43" s="143">
        <f>IF($G43=" ","",ROUND(ABS(_xll.RtGet(SourceAlias,$V43,ASK)-X43),4))</f>
        <v>1E-3</v>
      </c>
      <c r="AM43" s="143">
        <f>IF($H43=" ","",ROUND(ABS(_xll.RtGet(SourceAlias,$Y43,BID)-Z43),4))</f>
        <v>1E-3</v>
      </c>
      <c r="AN43" s="143">
        <f>IF($H43=" ","",ROUND(ABS(_xll.RtGet(SourceAlias,$Y43,ASK)-AA43),4))</f>
        <v>1E-3</v>
      </c>
    </row>
    <row r="44" spans="1:40" x14ac:dyDescent="0.2">
      <c r="A44" s="193"/>
      <c r="B44" s="49" t="s">
        <v>25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44</v>
      </c>
      <c r="J44" s="115" t="str">
        <v>USD_CURVE_1M_7Y</v>
      </c>
      <c r="K44" s="120">
        <f>IF(J44="","",'1M Pricing'!$I44*100)</f>
        <v>1.3592999950381479</v>
      </c>
      <c r="L44" s="120">
        <f t="shared" si="22"/>
        <v>1.3592999950381479</v>
      </c>
      <c r="M44" s="115" t="str">
        <v>USD_CURVE_3M_7Y</v>
      </c>
      <c r="N44" s="120">
        <f>IF(M44="","",'3M Pricing'!$I44*100)</f>
        <v>1.4859999999990261</v>
      </c>
      <c r="O44" s="116">
        <f t="shared" si="23"/>
        <v>1.4859999999990261</v>
      </c>
      <c r="P44" s="115" t="str">
        <v>USD_CURVE_6M_7Y</v>
      </c>
      <c r="Q44" s="116">
        <f>IF(P44="","",'6M Pricing'!$I44*100)</f>
        <v>1.6256348608089808</v>
      </c>
      <c r="R44" s="116">
        <f t="shared" si="24"/>
        <v>1.6256348608089808</v>
      </c>
      <c r="S44" s="115" t="str">
        <v>USD_CURVE_12M_7Y</v>
      </c>
      <c r="T44" s="116">
        <f>IF(S44="","",'1Y Pricing'!$I44*100)</f>
        <v>1.8350871519194436</v>
      </c>
      <c r="U44" s="116">
        <f t="shared" si="25"/>
        <v>1.8350871519194436</v>
      </c>
      <c r="V44" s="115" t="str">
        <v>USD_CURVE_OIS_7Y</v>
      </c>
      <c r="W44" s="120">
        <f>IF(V44="","",'ON Pricing'!$G44*100)</f>
        <v>1.1600000000000985</v>
      </c>
      <c r="X44" s="120">
        <f t="shared" si="26"/>
        <v>1.1600000000000985</v>
      </c>
      <c r="Y44" s="115" t="str">
        <v>USD_CURVE_STD_7Y</v>
      </c>
      <c r="Z44" s="120">
        <f>IF(Y44="","",'STD Pricing'!$G44*100)</f>
        <v>1.4859999999998506</v>
      </c>
      <c r="AA44" s="120">
        <f t="shared" si="5"/>
        <v>1.4859999999998506</v>
      </c>
      <c r="AC44" s="143">
        <f>IF($C44=" ","",ROUND(ABS(_xll.RtGet(SourceAlias,$J44,BID)-K44),4))</f>
        <v>1.2E-2</v>
      </c>
      <c r="AD44" s="143">
        <f>IF($C44=" ","",ROUND(ABS(_xll.RtGet(SourceAlias,$J44,ASK)-L44),4))</f>
        <v>1.2E-2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0</v>
      </c>
      <c r="AN44" s="143">
        <f>IF($H44=" ","",ROUND(ABS(_xll.RtGet(SourceAlias,$Y44,ASK)-AA44),4))</f>
        <v>0</v>
      </c>
    </row>
    <row r="45" spans="1:40" x14ac:dyDescent="0.2">
      <c r="A45" s="193"/>
      <c r="B45" s="49" t="s">
        <v>67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44</v>
      </c>
      <c r="J45" s="115" t="str">
        <v>USD_CURVE_1M_8Y</v>
      </c>
      <c r="K45" s="120">
        <f>IF(J45="","",'1M Pricing'!$I45*100)</f>
        <v>1.4492832728135068</v>
      </c>
      <c r="L45" s="120">
        <f t="shared" si="22"/>
        <v>1.4492832728135068</v>
      </c>
      <c r="M45" s="115" t="str">
        <v>USD_CURVE_3M_8Y</v>
      </c>
      <c r="N45" s="120">
        <f>IF(M45="","",'3M Pricing'!$I45*100)</f>
        <v>1.5709999999994961</v>
      </c>
      <c r="O45" s="116">
        <f t="shared" si="23"/>
        <v>1.5709999999994961</v>
      </c>
      <c r="P45" s="115" t="str">
        <v>USD_CURVE_6M_8Y</v>
      </c>
      <c r="Q45" s="116">
        <f>IF(P45="","",'6M Pricing'!$I45*100)</f>
        <v>1.7086667318442057</v>
      </c>
      <c r="R45" s="116">
        <f t="shared" si="24"/>
        <v>1.7086667318442057</v>
      </c>
      <c r="S45" s="115" t="str">
        <v>USD_CURVE_12M_8Y</v>
      </c>
      <c r="T45" s="116">
        <f>IF(S45="","",'1Y Pricing'!$I45*100)</f>
        <v>1.9051181629613445</v>
      </c>
      <c r="U45" s="116">
        <f t="shared" si="25"/>
        <v>1.9051181629613445</v>
      </c>
      <c r="V45" s="115" t="str">
        <v>USD_CURVE_OIS_8Y</v>
      </c>
      <c r="W45" s="120">
        <f>IF(V45="","",'ON Pricing'!$G45*100)</f>
        <v>1.2399999999999987</v>
      </c>
      <c r="X45" s="120">
        <f t="shared" si="26"/>
        <v>1.2399999999999987</v>
      </c>
      <c r="Y45" s="115" t="str">
        <v>USD_CURVE_STD_8Y</v>
      </c>
      <c r="Z45" s="120">
        <f>IF(Y45="","",'STD Pricing'!$G45*100)</f>
        <v>1.571000000000002</v>
      </c>
      <c r="AA45" s="120">
        <f t="shared" si="5"/>
        <v>1.571000000000002</v>
      </c>
      <c r="AC45" s="143">
        <f>IF($C45=" ","",ROUND(ABS(_xll.RtGet(SourceAlias,$J45,BID)-K45),4))</f>
        <v>1.0999999999999999E-2</v>
      </c>
      <c r="AD45" s="143">
        <f>IF($C45=" ","",ROUND(ABS(_xll.RtGet(SourceAlias,$J45,ASK)-L45),4))</f>
        <v>1.0999999999999999E-2</v>
      </c>
      <c r="AE45" s="143">
        <f>IF($D45=" ","",ROUND(ABS(_xll.RtGet(SourceAlias,$M45,BID)-N45),4))</f>
        <v>1E-3</v>
      </c>
      <c r="AF45" s="143">
        <f>IF($D45=" ","",ROUND(ABS(_xll.RtGet(SourceAlias,$M45,ASK)-O45),4))</f>
        <v>1E-3</v>
      </c>
      <c r="AG45" s="143">
        <f>IF($E45=" ","",ROUND(ABS(_xll.RtGet(SourceAlias,$P45,BID)-Q45),4))</f>
        <v>1E-3</v>
      </c>
      <c r="AH45" s="143">
        <f>IF($E45=" ","",ROUND(ABS(_xll.RtGet(SourceAlias,$P45,ASK)-R45),4))</f>
        <v>1E-3</v>
      </c>
      <c r="AI45" s="143">
        <f>IF($F45=" ","",ROUND(ABS(_xll.RtGet(SourceAlias,$S45,BID)-T45),4))</f>
        <v>1E-3</v>
      </c>
      <c r="AJ45" s="143">
        <f>IF($F45=" ","",ROUND(ABS(_xll.RtGet(SourceAlias,$S45,ASK)-U45),4))</f>
        <v>1E-3</v>
      </c>
      <c r="AK45" s="143">
        <f>IF($G45=" ","",ROUND(ABS(_xll.RtGet(SourceAlias,$V45,BID)-W45),4))</f>
        <v>1E-3</v>
      </c>
      <c r="AL45" s="143">
        <f>IF($G45=" ","",ROUND(ABS(_xll.RtGet(SourceAlias,$V45,ASK)-X45),4))</f>
        <v>1E-3</v>
      </c>
      <c r="AM45" s="143">
        <f>IF($H45=" ","",ROUND(ABS(_xll.RtGet(SourceAlias,$Y45,BID)-Z45),4))</f>
        <v>1E-3</v>
      </c>
      <c r="AN45" s="143">
        <f>IF($H45=" ","",ROUND(ABS(_xll.RtGet(SourceAlias,$Y45,ASK)-AA45),4))</f>
        <v>1E-3</v>
      </c>
    </row>
    <row r="46" spans="1:40" x14ac:dyDescent="0.2">
      <c r="A46" s="193"/>
      <c r="B46" s="49" t="s">
        <v>68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44</v>
      </c>
      <c r="J46" s="115" t="str">
        <v>USD_CURVE_1M_9Y</v>
      </c>
      <c r="K46" s="120">
        <f>IF(J46="","",'1M Pricing'!$I46*100)</f>
        <v>1.5312755271343284</v>
      </c>
      <c r="L46" s="120">
        <f t="shared" si="22"/>
        <v>1.5312755271343284</v>
      </c>
      <c r="M46" s="115" t="str">
        <v>USD_CURVE_3M_9Y</v>
      </c>
      <c r="N46" s="120">
        <f>IF(M46="","",'3M Pricing'!$I46*100)</f>
        <v>1.6479999999897159</v>
      </c>
      <c r="O46" s="116">
        <f t="shared" si="23"/>
        <v>1.6479999999897159</v>
      </c>
      <c r="P46" s="115" t="str">
        <v>USD_CURVE_6M_9Y</v>
      </c>
      <c r="Q46" s="116">
        <f>IF(P46="","",'6M Pricing'!$I46*100)</f>
        <v>1.7846975516571402</v>
      </c>
      <c r="R46" s="116">
        <f t="shared" si="24"/>
        <v>1.7846975516571402</v>
      </c>
      <c r="S46" s="115" t="str">
        <v>USD_CURVE_12M_9Y</v>
      </c>
      <c r="T46" s="116">
        <f>IF(S46="","",'1Y Pricing'!$I46*100)</f>
        <v>1.9683848866546081</v>
      </c>
      <c r="U46" s="116">
        <f t="shared" si="25"/>
        <v>1.9683848866546081</v>
      </c>
      <c r="V46" s="115" t="str">
        <v>USD_CURVE_OIS_9Y</v>
      </c>
      <c r="W46" s="120">
        <f>IF(V46="","",'ON Pricing'!$G46*100)</f>
        <v>1.3120000000003214</v>
      </c>
      <c r="X46" s="120">
        <f t="shared" si="26"/>
        <v>1.3120000000003214</v>
      </c>
      <c r="Y46" s="115" t="str">
        <v>USD_CURVE_STD_9Y</v>
      </c>
      <c r="Z46" s="120">
        <f>IF(Y46="","",'STD Pricing'!$G46*100)</f>
        <v>1.6479999999986636</v>
      </c>
      <c r="AA46" s="120">
        <f t="shared" si="5"/>
        <v>1.6479999999986636</v>
      </c>
      <c r="AC46" s="143">
        <f>IF($C46=" ","",ROUND(ABS(_xll.RtGet(SourceAlias,$J46,BID)-K46),4))</f>
        <v>1.2E-2</v>
      </c>
      <c r="AD46" s="143">
        <f>IF($C46=" ","",ROUND(ABS(_xll.RtGet(SourceAlias,$J46,ASK)-L46),4))</f>
        <v>1.2E-2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0</v>
      </c>
      <c r="AN46" s="143">
        <f>IF($H46=" ","",ROUND(ABS(_xll.RtGet(SourceAlias,$Y46,ASK)-AA46),4))</f>
        <v>0</v>
      </c>
    </row>
    <row r="47" spans="1:40" x14ac:dyDescent="0.2">
      <c r="A47" s="193"/>
      <c r="B47" s="49" t="s">
        <v>26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44</v>
      </c>
      <c r="J47" s="115" t="str">
        <v>USD_CURVE_1M_10Y</v>
      </c>
      <c r="K47" s="120">
        <f>IF(J47="","",'1M Pricing'!$I47*100)</f>
        <v>1.606265803335744</v>
      </c>
      <c r="L47" s="120">
        <f t="shared" si="22"/>
        <v>1.606265803335744</v>
      </c>
      <c r="M47" s="115" t="str">
        <v>USD_CURVE_3M_10Y</v>
      </c>
      <c r="N47" s="120">
        <f>IF(M47="","",'3M Pricing'!$I47*100)</f>
        <v>1.719000000027002</v>
      </c>
      <c r="O47" s="116">
        <f t="shared" si="23"/>
        <v>1.719000000027002</v>
      </c>
      <c r="P47" s="115" t="str">
        <v>USD_CURVE_6M_10Y</v>
      </c>
      <c r="Q47" s="116">
        <f>IF(P47="","",'6M Pricing'!$I47*100)</f>
        <v>1.8567372799111228</v>
      </c>
      <c r="R47" s="116">
        <f t="shared" si="24"/>
        <v>1.8567372799111228</v>
      </c>
      <c r="S47" s="115" t="str">
        <v>USD_CURVE_12M_10Y</v>
      </c>
      <c r="T47" s="116">
        <f>IF(S47="","",'1Y Pricing'!$I47*100)</f>
        <v>2.0268981165131081</v>
      </c>
      <c r="U47" s="116">
        <f t="shared" si="25"/>
        <v>2.0268981165131081</v>
      </c>
      <c r="V47" s="115" t="str">
        <v>USD_CURVE_OIS_10Y</v>
      </c>
      <c r="W47" s="120">
        <f>IF(V47="","",'ON Pricing'!$G47*100)</f>
        <v>1.3810000000002491</v>
      </c>
      <c r="X47" s="120">
        <f t="shared" si="26"/>
        <v>1.3810000000002491</v>
      </c>
      <c r="Y47" s="115" t="str">
        <v>USD_CURVE_STD_10Y</v>
      </c>
      <c r="Z47" s="120">
        <f>IF(Y47="","",'STD Pricing'!$G47*100)</f>
        <v>1.7189999999983874</v>
      </c>
      <c r="AA47" s="120">
        <f t="shared" si="5"/>
        <v>1.7189999999983874</v>
      </c>
      <c r="AC47" s="143">
        <f>IF($C47=" ","",ROUND(ABS(_xll.RtGet(SourceAlias,$J47,BID)-K47),4))</f>
        <v>1.2E-2</v>
      </c>
      <c r="AD47" s="143">
        <f>IF($C47=" ","",ROUND(ABS(_xll.RtGet(SourceAlias,$J47,ASK)-L47),4))</f>
        <v>1.2E-2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0</v>
      </c>
      <c r="AN47" s="143">
        <f>IF($H47=" ","",ROUND(ABS(_xll.RtGet(SourceAlias,$Y47,ASK)-AA47),4))</f>
        <v>0</v>
      </c>
    </row>
    <row r="48" spans="1:40" x14ac:dyDescent="0.2">
      <c r="A48" s="193"/>
      <c r="B48" s="49" t="s">
        <v>69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44</v>
      </c>
      <c r="J48" s="115" t="str">
        <v>USD_CURVE_1M_11Y</v>
      </c>
      <c r="K48" s="120">
        <f>IF(J48="","",'1M Pricing'!$I48*100)</f>
        <v>1.6737542625421684</v>
      </c>
      <c r="L48" s="120">
        <f t="shared" si="22"/>
        <v>1.6737542625421684</v>
      </c>
      <c r="M48" s="115" t="str">
        <v>USD_CURVE_3M_11Y</v>
      </c>
      <c r="N48" s="120">
        <f>IF(M48="","",'3M Pricing'!$I48*100)</f>
        <v>1.7844841619086671</v>
      </c>
      <c r="O48" s="116">
        <f t="shared" si="23"/>
        <v>1.7844841619086671</v>
      </c>
      <c r="P48" s="115" t="str">
        <v>USD_CURVE_6M_11Y</v>
      </c>
      <c r="Q48" s="116">
        <f>IF(P48="","",'6M Pricing'!$I48*100)</f>
        <v>1.9241703002286541</v>
      </c>
      <c r="R48" s="116">
        <f t="shared" si="24"/>
        <v>1.9241703002286541</v>
      </c>
      <c r="S48" s="115" t="str">
        <v>USD_CURVE_12M_11Y</v>
      </c>
      <c r="T48" s="116">
        <f>IF(S48="","",'1Y Pricing'!$I48*100)</f>
        <v>2.0937102655724984</v>
      </c>
      <c r="U48" s="116">
        <f t="shared" si="25"/>
        <v>2.0937102655724984</v>
      </c>
      <c r="V48" s="115" t="str">
        <v>USD_CURVE_OIS_11Y</v>
      </c>
      <c r="W48" s="120">
        <f>IF(V48="","",'ON Pricing'!$G48*100)</f>
        <v>1.4445056962632756</v>
      </c>
      <c r="X48" s="120">
        <f t="shared" si="26"/>
        <v>1.4445056962632756</v>
      </c>
      <c r="Y48" s="115" t="str">
        <v>USD_CURVE_STD_11Y</v>
      </c>
      <c r="Z48" s="120">
        <f>IF(Y48="","",'STD Pricing'!$G48*100)</f>
        <v>1.7812778617914442</v>
      </c>
      <c r="AA48" s="120">
        <f t="shared" si="5"/>
        <v>1.7812778617914442</v>
      </c>
      <c r="AC48" s="143">
        <f>IF($C48=" ","",ROUND(ABS(_xll.RtGet(SourceAlias,$J48,BID)-K48),4))</f>
        <v>1.2E-2</v>
      </c>
      <c r="AD48" s="143">
        <f>IF($C48=" ","",ROUND(ABS(_xll.RtGet(SourceAlias,$J48,ASK)-L48),4))</f>
        <v>1.2E-2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2.0000000000000001E-4</v>
      </c>
      <c r="AL48" s="143">
        <f>IF($G48=" ","",ROUND(ABS(_xll.RtGet(SourceAlias,$V48,ASK)-X48),4))</f>
        <v>2.0000000000000001E-4</v>
      </c>
      <c r="AM48" s="143">
        <f>IF($H48=" ","",ROUND(ABS(_xll.RtGet(SourceAlias,$Y48,BID)-Z48),4))</f>
        <v>3.2000000000000002E-3</v>
      </c>
      <c r="AN48" s="143">
        <f>IF($H48=" ","",ROUND(ABS(_xll.RtGet(SourceAlias,$Y48,ASK)-AA48),4))</f>
        <v>3.2000000000000002E-3</v>
      </c>
    </row>
    <row r="49" spans="1:40" x14ac:dyDescent="0.2">
      <c r="A49" s="193"/>
      <c r="B49" s="49" t="s">
        <v>27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44</v>
      </c>
      <c r="J49" s="115" t="str">
        <v>USD_CURVE_1M_12Y</v>
      </c>
      <c r="K49" s="120">
        <f>IF(J49="","",'1M Pricing'!$I49*100)</f>
        <v>1.7332267364152703</v>
      </c>
      <c r="L49" s="120">
        <f t="shared" si="22"/>
        <v>1.7332267364152703</v>
      </c>
      <c r="M49" s="115" t="str">
        <v>USD_CURVE_3M_12Y</v>
      </c>
      <c r="N49" s="120">
        <f>IF(M49="","",'3M Pricing'!$I49*100)</f>
        <v>1.8430000000000673</v>
      </c>
      <c r="O49" s="116">
        <f t="shared" si="23"/>
        <v>1.8430000000000673</v>
      </c>
      <c r="P49" s="115" t="str">
        <v>USD_CURVE_6M_12Y</v>
      </c>
      <c r="Q49" s="116">
        <f>IF(P49="","",'6M Pricing'!$I49*100)</f>
        <v>1.9848205766897338</v>
      </c>
      <c r="R49" s="116">
        <f t="shared" si="24"/>
        <v>1.9848205766897338</v>
      </c>
      <c r="S49" s="115" t="str">
        <v>USD_CURVE_12M_12Y</v>
      </c>
      <c r="T49" s="116">
        <f>IF(S49="","",'1Y Pricing'!$I49*100)</f>
        <v>2.1535468301622398</v>
      </c>
      <c r="U49" s="116">
        <f t="shared" si="25"/>
        <v>2.1535468301622398</v>
      </c>
      <c r="V49" s="115" t="str">
        <v>USD_CURVE_OIS_12Y</v>
      </c>
      <c r="W49" s="120">
        <f>IF(V49="","",'ON Pricing'!$G49*100)</f>
        <v>1.5009999999967372</v>
      </c>
      <c r="X49" s="120">
        <f t="shared" si="26"/>
        <v>1.5009999999967372</v>
      </c>
      <c r="Y49" s="115" t="str">
        <v>USD_CURVE_STD_12Y</v>
      </c>
      <c r="Z49" s="120">
        <f>IF(Y49="","",'STD Pricing'!$G49*100)</f>
        <v>1.8429999999981734</v>
      </c>
      <c r="AA49" s="120">
        <f t="shared" si="5"/>
        <v>1.8429999999981734</v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0</v>
      </c>
      <c r="AN49" s="143">
        <f>IF($H49=" ","",ROUND(ABS(_xll.RtGet(SourceAlias,$Y49,ASK)-AA49),4))</f>
        <v>0</v>
      </c>
    </row>
    <row r="50" spans="1:40" x14ac:dyDescent="0.2">
      <c r="A50" s="193"/>
      <c r="B50" s="49" t="s">
        <v>70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44</v>
      </c>
      <c r="J50" s="115" t="str">
        <v>USD_CURVE_1M_13Y</v>
      </c>
      <c r="K50" s="120">
        <f>IF(J50="","",'1M Pricing'!$I50*100)</f>
        <v>1.7847339775523912</v>
      </c>
      <c r="L50" s="120">
        <f t="shared" si="22"/>
        <v>1.7847339775523912</v>
      </c>
      <c r="M50" s="115" t="str">
        <v>USD_CURVE_3M_13Y</v>
      </c>
      <c r="N50" s="120">
        <f>IF(M50="","",'3M Pricing'!$I50*100)</f>
        <v>1.8938284311689959</v>
      </c>
      <c r="O50" s="116">
        <f t="shared" si="23"/>
        <v>1.8938284311689959</v>
      </c>
      <c r="P50" s="115" t="str">
        <v>USD_CURVE_6M_13Y</v>
      </c>
      <c r="Q50" s="116">
        <f>IF(P50="","",'6M Pricing'!$I50*100)</f>
        <v>2.0376454621613167</v>
      </c>
      <c r="R50" s="116">
        <f t="shared" si="24"/>
        <v>2.0376454621613167</v>
      </c>
      <c r="S50" s="115" t="str">
        <v>USD_CURVE_12M_13Y</v>
      </c>
      <c r="T50" s="116">
        <f>IF(S50="","",'1Y Pricing'!$I50*100)</f>
        <v>2.206669123769128</v>
      </c>
      <c r="U50" s="116">
        <f t="shared" si="25"/>
        <v>2.206669123769128</v>
      </c>
      <c r="V50" s="115" t="str">
        <v>USD_CURVE_OIS_13Y</v>
      </c>
      <c r="W50" s="120">
        <f>IF(V50="","",'ON Pricing'!$G50*100)</f>
        <v>1.5500051344188299</v>
      </c>
      <c r="X50" s="120">
        <f t="shared" si="26"/>
        <v>1.5500051344188299</v>
      </c>
      <c r="Y50" s="115" t="str">
        <v>USD_CURVE_STD_13Y</v>
      </c>
      <c r="Z50" s="120">
        <f>IF(Y50="","",'STD Pricing'!$G50*100)</f>
        <v>1.888249266089689</v>
      </c>
      <c r="AA50" s="120">
        <f t="shared" si="5"/>
        <v>1.888249266089689</v>
      </c>
      <c r="AC50" s="143">
        <f>IF($C50=" ","",ROUND(ABS(_xll.RtGet(SourceAlias,$J50,BID)-K50),4))</f>
        <v>4.0000000000000002E-4</v>
      </c>
      <c r="AD50" s="143">
        <f>IF($C50=" ","",ROUND(ABS(_xll.RtGet(SourceAlias,$J50,ASK)-L50),4))</f>
        <v>4.0000000000000002E-4</v>
      </c>
      <c r="AE50" s="143">
        <f>IF($D50=" ","",ROUND(ABS(_xll.RtGet(SourceAlias,$M50,BID)-N50),4))</f>
        <v>4.0000000000000002E-4</v>
      </c>
      <c r="AF50" s="143">
        <f>IF($D50=" ","",ROUND(ABS(_xll.RtGet(SourceAlias,$M50,ASK)-O50),4))</f>
        <v>4.0000000000000002E-4</v>
      </c>
      <c r="AG50" s="143">
        <f>IF($E50=" ","",ROUND(ABS(_xll.RtGet(SourceAlias,$P50,BID)-Q50),4))</f>
        <v>4.0000000000000002E-4</v>
      </c>
      <c r="AH50" s="143">
        <f>IF($E50=" ","",ROUND(ABS(_xll.RtGet(SourceAlias,$P50,ASK)-R50),4))</f>
        <v>4.0000000000000002E-4</v>
      </c>
      <c r="AI50" s="143">
        <f>IF($F50=" ","",ROUND(ABS(_xll.RtGet(SourceAlias,$S50,BID)-T50),4))</f>
        <v>4.0000000000000002E-4</v>
      </c>
      <c r="AJ50" s="143">
        <f>IF($F50=" ","",ROUND(ABS(_xll.RtGet(SourceAlias,$S50,ASK)-U50),4))</f>
        <v>4.0000000000000002E-4</v>
      </c>
      <c r="AK50" s="143">
        <f>IF($G50=" ","",ROUND(ABS(_xll.RtGet(SourceAlias,$V50,BID)-W50),4))</f>
        <v>2.0000000000000001E-4</v>
      </c>
      <c r="AL50" s="143">
        <f>IF($G50=" ","",ROUND(ABS(_xll.RtGet(SourceAlias,$V50,ASK)-X50),4))</f>
        <v>2.0000000000000001E-4</v>
      </c>
      <c r="AM50" s="143">
        <f>IF($H50=" ","",ROUND(ABS(_xll.RtGet(SourceAlias,$Y50,BID)-Z50),4))</f>
        <v>5.1999999999999998E-3</v>
      </c>
      <c r="AN50" s="143">
        <f>IF($H50=" ","",ROUND(ABS(_xll.RtGet(SourceAlias,$Y50,ASK)-AA50),4))</f>
        <v>5.1999999999999998E-3</v>
      </c>
    </row>
    <row r="51" spans="1:40" x14ac:dyDescent="0.2">
      <c r="A51" s="193"/>
      <c r="B51" s="49" t="s">
        <v>71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44</v>
      </c>
      <c r="J51" s="115" t="str">
        <v>USD_CURVE_1M_14Y</v>
      </c>
      <c r="K51" s="120">
        <f>IF(J51="","",'1M Pricing'!$I51*100)</f>
        <v>1.8285112310491531</v>
      </c>
      <c r="L51" s="120">
        <f t="shared" si="22"/>
        <v>1.8285112310491531</v>
      </c>
      <c r="M51" s="115" t="str">
        <v>USD_CURVE_3M_14Y</v>
      </c>
      <c r="N51" s="120">
        <f>IF(M51="","",'3M Pricing'!$I51*100)</f>
        <v>1.9374997715791531</v>
      </c>
      <c r="O51" s="116">
        <f t="shared" si="23"/>
        <v>1.9374997715791531</v>
      </c>
      <c r="P51" s="115" t="str">
        <v>USD_CURVE_6M_14Y</v>
      </c>
      <c r="Q51" s="116">
        <f>IF(P51="","",'6M Pricing'!$I51*100)</f>
        <v>2.083025215771618</v>
      </c>
      <c r="R51" s="116">
        <f t="shared" si="24"/>
        <v>2.083025215771618</v>
      </c>
      <c r="S51" s="115" t="str">
        <v>USD_CURVE_12M_14Y</v>
      </c>
      <c r="T51" s="116">
        <f>IF(S51="","",'1Y Pricing'!$I51*100)</f>
        <v>2.254145309558039</v>
      </c>
      <c r="U51" s="116">
        <f t="shared" si="25"/>
        <v>2.254145309558039</v>
      </c>
      <c r="V51" s="115" t="str">
        <v>USD_CURVE_OIS_14Y</v>
      </c>
      <c r="W51" s="120">
        <f>IF(V51="","",'ON Pricing'!$G51*100)</f>
        <v>1.5931334516112932</v>
      </c>
      <c r="X51" s="120">
        <f t="shared" si="26"/>
        <v>1.5931334516112932</v>
      </c>
      <c r="Y51" s="115" t="str">
        <v>USD_CURVE_STD_14Y</v>
      </c>
      <c r="Z51" s="120">
        <f>IF(Y51="","",'STD Pricing'!$G51*100)</f>
        <v>1.9324123749282687</v>
      </c>
      <c r="AA51" s="120">
        <f t="shared" si="5"/>
        <v>1.9324123749282687</v>
      </c>
      <c r="AC51" s="143">
        <f>IF($C51=" ","",ROUND(ABS(_xll.RtGet(SourceAlias,$J51,BID)-K51),4))</f>
        <v>2.9999999999999997E-4</v>
      </c>
      <c r="AD51" s="143">
        <f>IF($C51=" ","",ROUND(ABS(_xll.RtGet(SourceAlias,$J51,ASK)-L51),4))</f>
        <v>2.9999999999999997E-4</v>
      </c>
      <c r="AE51" s="143">
        <f>IF($D51=" ","",ROUND(ABS(_xll.RtGet(SourceAlias,$M51,BID)-N51),4))</f>
        <v>2.9999999999999997E-4</v>
      </c>
      <c r="AF51" s="143">
        <f>IF($D51=" ","",ROUND(ABS(_xll.RtGet(SourceAlias,$M51,ASK)-O51),4))</f>
        <v>2.9999999999999997E-4</v>
      </c>
      <c r="AG51" s="143">
        <f>IF($E51=" ","",ROUND(ABS(_xll.RtGet(SourceAlias,$P51,BID)-Q51),4))</f>
        <v>2.9999999999999997E-4</v>
      </c>
      <c r="AH51" s="143">
        <f>IF($E51=" ","",ROUND(ABS(_xll.RtGet(SourceAlias,$P51,ASK)-R51),4))</f>
        <v>2.9999999999999997E-4</v>
      </c>
      <c r="AI51" s="143">
        <f>IF($F51=" ","",ROUND(ABS(_xll.RtGet(SourceAlias,$S51,BID)-T51),4))</f>
        <v>2.9999999999999997E-4</v>
      </c>
      <c r="AJ51" s="143">
        <f>IF($F51=" ","",ROUND(ABS(_xll.RtGet(SourceAlias,$S51,ASK)-U51),4))</f>
        <v>2.9999999999999997E-4</v>
      </c>
      <c r="AK51" s="143">
        <f>IF($G51=" ","",ROUND(ABS(_xll.RtGet(SourceAlias,$V51,BID)-W51),4))</f>
        <v>1E-4</v>
      </c>
      <c r="AL51" s="143">
        <f>IF($G51=" ","",ROUND(ABS(_xll.RtGet(SourceAlias,$V51,ASK)-X51),4))</f>
        <v>1E-4</v>
      </c>
      <c r="AM51" s="143">
        <f>IF($H51=" ","",ROUND(ABS(_xll.RtGet(SourceAlias,$Y51,BID)-Z51),4))</f>
        <v>4.7999999999999996E-3</v>
      </c>
      <c r="AN51" s="143">
        <f>IF($H51=" ","",ROUND(ABS(_xll.RtGet(SourceAlias,$Y51,ASK)-AA51),4))</f>
        <v>4.7999999999999996E-3</v>
      </c>
    </row>
    <row r="52" spans="1:40" x14ac:dyDescent="0.2">
      <c r="A52" s="193"/>
      <c r="B52" s="49" t="s">
        <v>28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44</v>
      </c>
      <c r="J52" s="115" t="str">
        <v>USD_CURVE_1M_15Y</v>
      </c>
      <c r="K52" s="120">
        <f>IF(J52="","",'1M Pricing'!$I52*100)</f>
        <v>1.8661635739192626</v>
      </c>
      <c r="L52" s="120">
        <f t="shared" si="22"/>
        <v>1.8661635739192626</v>
      </c>
      <c r="M52" s="115" t="str">
        <v>USD_CURVE_3M_15Y</v>
      </c>
      <c r="N52" s="120">
        <f>IF(M52="","",'3M Pricing'!$I52*100)</f>
        <v>1.9759999999986491</v>
      </c>
      <c r="O52" s="116">
        <f t="shared" si="23"/>
        <v>1.9759999999986491</v>
      </c>
      <c r="P52" s="115" t="str">
        <v>USD_CURVE_6M_15Y</v>
      </c>
      <c r="Q52" s="116">
        <f>IF(P52="","",'6M Pricing'!$I52*100)</f>
        <v>2.1229184428878844</v>
      </c>
      <c r="R52" s="116">
        <f t="shared" si="24"/>
        <v>2.1229184428878844</v>
      </c>
      <c r="S52" s="115" t="str">
        <v>USD_CURVE_12M_15Y</v>
      </c>
      <c r="T52" s="116">
        <f>IF(S52="","",'1Y Pricing'!$I52*100)</f>
        <v>2.2967551621255025</v>
      </c>
      <c r="U52" s="116">
        <f t="shared" si="25"/>
        <v>2.2967551621255025</v>
      </c>
      <c r="V52" s="115" t="str">
        <v>USD_CURVE_OIS_15Y</v>
      </c>
      <c r="W52" s="120">
        <f>IF(V52="","",'ON Pricing'!$G52*100)</f>
        <v>1.6310000000019291</v>
      </c>
      <c r="X52" s="120">
        <f t="shared" si="26"/>
        <v>1.6310000000019291</v>
      </c>
      <c r="Y52" s="115" t="str">
        <v>USD_CURVE_STD_15Y</v>
      </c>
      <c r="Z52" s="120">
        <f>IF(Y52="","",'STD Pricing'!$G52*100)</f>
        <v>1.9759999999977689</v>
      </c>
      <c r="AA52" s="120">
        <f t="shared" si="5"/>
        <v>1.9759999999977689</v>
      </c>
      <c r="AC52" s="143">
        <f>IF($C52=" ","",ROUND(ABS(_xll.RtGet(SourceAlias,$J52,BID)-K52),4))</f>
        <v>1.2E-2</v>
      </c>
      <c r="AD52" s="143">
        <f>IF($C52=" ","",ROUND(ABS(_xll.RtGet(SourceAlias,$J52,ASK)-L52),4))</f>
        <v>1.2E-2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0</v>
      </c>
      <c r="AN52" s="143">
        <f>IF($H52=" ","",ROUND(ABS(_xll.RtGet(SourceAlias,$Y52,ASK)-AA52),4))</f>
        <v>0</v>
      </c>
    </row>
    <row r="53" spans="1:40" x14ac:dyDescent="0.2">
      <c r="A53" s="193"/>
      <c r="B53" s="49" t="s">
        <v>72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44</v>
      </c>
      <c r="J53" s="115" t="str">
        <v>USD_CURVE_1M_16Y</v>
      </c>
      <c r="K53" s="120">
        <f>IF(J53="","",'1M Pricing'!$I53*100)</f>
        <v>1.8985537743817473</v>
      </c>
      <c r="L53" s="120">
        <f t="shared" si="22"/>
        <v>1.8985537743817473</v>
      </c>
      <c r="M53" s="115" t="str">
        <v>USD_CURVE_3M_16Y</v>
      </c>
      <c r="N53" s="120">
        <f>IF(M53="","",'3M Pricing'!$I53*100)</f>
        <v>2.010364931394633</v>
      </c>
      <c r="O53" s="116">
        <f t="shared" si="23"/>
        <v>2.010364931394633</v>
      </c>
      <c r="P53" s="115" t="str">
        <v>USD_CURVE_6M_16Y</v>
      </c>
      <c r="Q53" s="116">
        <f>IF(P53="","",'6M Pricing'!$I53*100)</f>
        <v>2.1583453990637591</v>
      </c>
      <c r="R53" s="116">
        <f t="shared" si="24"/>
        <v>2.1583453990637591</v>
      </c>
      <c r="S53" s="115" t="str">
        <v>USD_CURVE_12M_16Y</v>
      </c>
      <c r="T53" s="116">
        <f>IF(S53="","",'1Y Pricing'!$I53*100)</f>
        <v>2.3345090727169371</v>
      </c>
      <c r="U53" s="116">
        <f t="shared" si="25"/>
        <v>2.3345090727169371</v>
      </c>
      <c r="V53" s="115" t="str">
        <v>USD_CURVE_OIS_16Y</v>
      </c>
      <c r="W53" s="120">
        <f>IF(V53="","",'ON Pricing'!$G53*100)</f>
        <v>1.6648893712249604</v>
      </c>
      <c r="X53" s="120">
        <f t="shared" si="26"/>
        <v>1.6648893712249604</v>
      </c>
      <c r="Y53" s="115" t="str">
        <v>USD_CURVE_STD_16Y</v>
      </c>
      <c r="Z53" s="120">
        <f>IF(Y53="","",'STD Pricing'!$G53*100)</f>
        <v>2.003980185499366</v>
      </c>
      <c r="AA53" s="120">
        <f t="shared" si="5"/>
        <v>2.003980185499366</v>
      </c>
      <c r="AC53" s="143">
        <f>IF($C53=" ","",ROUND(ABS(_xll.RtGet(SourceAlias,$J53,BID)-K53),4))</f>
        <v>2.0000000000000001E-4</v>
      </c>
      <c r="AD53" s="143">
        <f>IF($C53=" ","",ROUND(ABS(_xll.RtGet(SourceAlias,$J53,ASK)-L53),4))</f>
        <v>2.0000000000000001E-4</v>
      </c>
      <c r="AE53" s="143">
        <f>IF($D53=" ","",ROUND(ABS(_xll.RtGet(SourceAlias,$M53,BID)-N53),4))</f>
        <v>2.0000000000000001E-4</v>
      </c>
      <c r="AF53" s="143">
        <f>IF($D53=" ","",ROUND(ABS(_xll.RtGet(SourceAlias,$M53,ASK)-O53),4))</f>
        <v>2.0000000000000001E-4</v>
      </c>
      <c r="AG53" s="143">
        <f>IF($E53=" ","",ROUND(ABS(_xll.RtGet(SourceAlias,$P53,BID)-Q53),4))</f>
        <v>2.0000000000000001E-4</v>
      </c>
      <c r="AH53" s="143">
        <f>IF($E53=" ","",ROUND(ABS(_xll.RtGet(SourceAlias,$P53,ASK)-R53),4))</f>
        <v>2.0000000000000001E-4</v>
      </c>
      <c r="AI53" s="143">
        <f>IF($F53=" ","",ROUND(ABS(_xll.RtGet(SourceAlias,$S53,BID)-T53),4))</f>
        <v>2.0000000000000001E-4</v>
      </c>
      <c r="AJ53" s="143">
        <f>IF($F53=" ","",ROUND(ABS(_xll.RtGet(SourceAlias,$S53,ASK)-U53),4))</f>
        <v>2.0000000000000001E-4</v>
      </c>
      <c r="AK53" s="143">
        <f>IF($G53=" ","",ROUND(ABS(_xll.RtGet(SourceAlias,$V53,BID)-W53),4))</f>
        <v>2.0000000000000001E-4</v>
      </c>
      <c r="AL53" s="143">
        <f>IF($G53=" ","",ROUND(ABS(_xll.RtGet(SourceAlias,$V53,ASK)-X53),4))</f>
        <v>2.0000000000000001E-4</v>
      </c>
      <c r="AM53" s="143">
        <f>IF($H53=" ","",ROUND(ABS(_xll.RtGet(SourceAlias,$Y53,BID)-Z53),4))</f>
        <v>6.1999999999999998E-3</v>
      </c>
      <c r="AN53" s="143">
        <f>IF($H53=" ","",ROUND(ABS(_xll.RtGet(SourceAlias,$Y53,ASK)-AA53),4))</f>
        <v>6.1999999999999998E-3</v>
      </c>
    </row>
    <row r="54" spans="1:40" x14ac:dyDescent="0.2">
      <c r="A54" s="193"/>
      <c r="B54" s="49" t="s">
        <v>73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44</v>
      </c>
      <c r="J54" s="115" t="str">
        <v>USD_CURVE_1M_17Y</v>
      </c>
      <c r="K54" s="120">
        <f>IF(J54="","",'1M Pricing'!$I54*100)</f>
        <v>1.9262860638134056</v>
      </c>
      <c r="L54" s="120">
        <f t="shared" si="22"/>
        <v>1.9262860638134056</v>
      </c>
      <c r="M54" s="115" t="str">
        <v>USD_CURVE_3M_17Y</v>
      </c>
      <c r="N54" s="120">
        <f>IF(M54="","",'3M Pricing'!$I54*100)</f>
        <v>2.0408959669745337</v>
      </c>
      <c r="O54" s="116">
        <f t="shared" si="23"/>
        <v>2.0408959669745337</v>
      </c>
      <c r="P54" s="115" t="str">
        <v>USD_CURVE_6M_17Y</v>
      </c>
      <c r="Q54" s="116">
        <f>IF(P54="","",'6M Pricing'!$I54*100)</f>
        <v>2.189660779504512</v>
      </c>
      <c r="R54" s="116">
        <f t="shared" si="24"/>
        <v>2.189660779504512</v>
      </c>
      <c r="S54" s="115" t="str">
        <v>USD_CURVE_12M_17Y</v>
      </c>
      <c r="T54" s="116">
        <f>IF(S54="","",'1Y Pricing'!$I54*100)</f>
        <v>2.3677011956238081</v>
      </c>
      <c r="U54" s="116">
        <f t="shared" si="25"/>
        <v>2.3677011956238081</v>
      </c>
      <c r="V54" s="115" t="str">
        <v>USD_CURVE_OIS_17Y</v>
      </c>
      <c r="W54" s="120">
        <f>IF(V54="","",'ON Pricing'!$G54*100)</f>
        <v>1.6950294829125472</v>
      </c>
      <c r="X54" s="120">
        <f t="shared" si="26"/>
        <v>1.6950294829125472</v>
      </c>
      <c r="Y54" s="115" t="str">
        <v>USD_CURVE_STD_17Y</v>
      </c>
      <c r="Z54" s="120">
        <f>IF(Y54="","",'STD Pricing'!$G54*100)</f>
        <v>2.0315443899093295</v>
      </c>
      <c r="AA54" s="120">
        <f t="shared" si="5"/>
        <v>2.0315443899093295</v>
      </c>
      <c r="AC54" s="143">
        <f>IF($C54=" ","",ROUND(ABS(_xll.RtGet(SourceAlias,$J54,BID)-K54),4))</f>
        <v>2.0000000000000001E-4</v>
      </c>
      <c r="AD54" s="143">
        <f>IF($C54=" ","",ROUND(ABS(_xll.RtGet(SourceAlias,$J54,ASK)-L54),4))</f>
        <v>2.0000000000000001E-4</v>
      </c>
      <c r="AE54" s="143">
        <f>IF($D54=" ","",ROUND(ABS(_xll.RtGet(SourceAlias,$M54,BID)-N54),4))</f>
        <v>2.9999999999999997E-4</v>
      </c>
      <c r="AF54" s="143">
        <f>IF($D54=" ","",ROUND(ABS(_xll.RtGet(SourceAlias,$M54,ASK)-O54),4))</f>
        <v>2.9999999999999997E-4</v>
      </c>
      <c r="AG54" s="143">
        <f>IF($E54=" ","",ROUND(ABS(_xll.RtGet(SourceAlias,$P54,BID)-Q54),4))</f>
        <v>2.9999999999999997E-4</v>
      </c>
      <c r="AH54" s="143">
        <f>IF($E54=" ","",ROUND(ABS(_xll.RtGet(SourceAlias,$P54,ASK)-R54),4))</f>
        <v>2.9999999999999997E-4</v>
      </c>
      <c r="AI54" s="143">
        <f>IF($F54=" ","",ROUND(ABS(_xll.RtGet(SourceAlias,$S54,BID)-T54),4))</f>
        <v>2.9999999999999997E-4</v>
      </c>
      <c r="AJ54" s="143">
        <f>IF($F54=" ","",ROUND(ABS(_xll.RtGet(SourceAlias,$S54,ASK)-U54),4))</f>
        <v>2.9999999999999997E-4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>
        <f>IF($H54=" ","",ROUND(ABS(_xll.RtGet(SourceAlias,$Y54,BID)-Z54),4))</f>
        <v>9.1000000000000004E-3</v>
      </c>
      <c r="AN54" s="143">
        <f>IF($H54=" ","",ROUND(ABS(_xll.RtGet(SourceAlias,$Y54,ASK)-AA54),4))</f>
        <v>9.1000000000000004E-3</v>
      </c>
    </row>
    <row r="55" spans="1:40" x14ac:dyDescent="0.2">
      <c r="A55" s="193"/>
      <c r="B55" s="49" t="s">
        <v>74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44</v>
      </c>
      <c r="J55" s="115" t="str">
        <v>USD_CURVE_1M_18Y</v>
      </c>
      <c r="K55" s="120">
        <f>IF(J55="","",'1M Pricing'!$I55*100)</f>
        <v>1.9499522722813061</v>
      </c>
      <c r="L55" s="120">
        <f t="shared" si="22"/>
        <v>1.9499522722813061</v>
      </c>
      <c r="M55" s="115" t="str">
        <v>USD_CURVE_3M_18Y</v>
      </c>
      <c r="N55" s="120">
        <f>IF(M55="","",'3M Pricing'!$I55*100)</f>
        <v>2.0678548243498196</v>
      </c>
      <c r="O55" s="116">
        <f t="shared" si="23"/>
        <v>2.0678548243498196</v>
      </c>
      <c r="P55" s="115" t="str">
        <v>USD_CURVE_6M_18Y</v>
      </c>
      <c r="Q55" s="116">
        <f>IF(P55="","",'6M Pricing'!$I55*100)</f>
        <v>2.2171883102995196</v>
      </c>
      <c r="R55" s="116">
        <f t="shared" si="24"/>
        <v>2.2171883102995196</v>
      </c>
      <c r="S55" s="115" t="str">
        <v>USD_CURVE_12M_18Y</v>
      </c>
      <c r="T55" s="116">
        <f>IF(S55="","",'1Y Pricing'!$I55*100)</f>
        <v>2.3967947686500208</v>
      </c>
      <c r="U55" s="116">
        <f t="shared" si="25"/>
        <v>2.3967947686500208</v>
      </c>
      <c r="V55" s="115" t="str">
        <v>USD_CURVE_OIS_18Y</v>
      </c>
      <c r="W55" s="120">
        <f>IF(V55="","",'ON Pricing'!$G55*100)</f>
        <v>1.7216298965713577</v>
      </c>
      <c r="X55" s="120">
        <f t="shared" si="26"/>
        <v>1.7216298965713577</v>
      </c>
      <c r="Y55" s="115" t="str">
        <v>USD_CURVE_STD_18Y</v>
      </c>
      <c r="Z55" s="120">
        <f>IF(Y55="","",'STD Pricing'!$G55*100)</f>
        <v>2.058705453681005</v>
      </c>
      <c r="AA55" s="120">
        <f t="shared" si="5"/>
        <v>2.058705453681005</v>
      </c>
      <c r="AC55" s="143">
        <f>IF($C55=" ","",ROUND(ABS(_xll.RtGet(SourceAlias,$J55,BID)-K55),4))</f>
        <v>2.0000000000000001E-4</v>
      </c>
      <c r="AD55" s="143">
        <f>IF($C55=" ","",ROUND(ABS(_xll.RtGet(SourceAlias,$J55,ASK)-L55),4))</f>
        <v>2.0000000000000001E-4</v>
      </c>
      <c r="AE55" s="143">
        <f>IF($D55=" ","",ROUND(ABS(_xll.RtGet(SourceAlias,$M55,BID)-N55),4))</f>
        <v>2.0000000000000001E-4</v>
      </c>
      <c r="AF55" s="143">
        <f>IF($D55=" ","",ROUND(ABS(_xll.RtGet(SourceAlias,$M55,ASK)-O55),4))</f>
        <v>2.0000000000000001E-4</v>
      </c>
      <c r="AG55" s="143">
        <f>IF($E55=" ","",ROUND(ABS(_xll.RtGet(SourceAlias,$P55,BID)-Q55),4))</f>
        <v>2.0000000000000001E-4</v>
      </c>
      <c r="AH55" s="143">
        <f>IF($E55=" ","",ROUND(ABS(_xll.RtGet(SourceAlias,$P55,ASK)-R55),4))</f>
        <v>2.0000000000000001E-4</v>
      </c>
      <c r="AI55" s="143">
        <f>IF($F55=" ","",ROUND(ABS(_xll.RtGet(SourceAlias,$S55,BID)-T55),4))</f>
        <v>2.9999999999999997E-4</v>
      </c>
      <c r="AJ55" s="143">
        <f>IF($F55=" ","",ROUND(ABS(_xll.RtGet(SourceAlias,$S55,ASK)-U55),4))</f>
        <v>2.9999999999999997E-4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8.8999999999999999E-3</v>
      </c>
      <c r="AN55" s="143">
        <f>IF($H55=" ","",ROUND(ABS(_xll.RtGet(SourceAlias,$Y55,ASK)-AA55),4))</f>
        <v>8.8999999999999999E-3</v>
      </c>
    </row>
    <row r="56" spans="1:40" x14ac:dyDescent="0.2">
      <c r="A56" s="193"/>
      <c r="B56" s="49" t="s">
        <v>75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44</v>
      </c>
      <c r="J56" s="115" t="str">
        <v>USD_CURVE_1M_19Y</v>
      </c>
      <c r="K56" s="120">
        <f>IF(J56="","",'1M Pricing'!$I56*100)</f>
        <v>1.9701839040369027</v>
      </c>
      <c r="L56" s="120">
        <f t="shared" si="22"/>
        <v>1.9701839040369027</v>
      </c>
      <c r="M56" s="115" t="str">
        <v>USD_CURVE_3M_19Y</v>
      </c>
      <c r="N56" s="120">
        <f>IF(M56="","",'3M Pricing'!$I56*100)</f>
        <v>2.0916481981079995</v>
      </c>
      <c r="O56" s="116">
        <f t="shared" si="23"/>
        <v>2.0916481981079995</v>
      </c>
      <c r="P56" s="115" t="str">
        <v>USD_CURVE_6M_19Y</v>
      </c>
      <c r="Q56" s="116">
        <f>IF(P56="","",'6M Pricing'!$I56*100)</f>
        <v>2.2413871613460259</v>
      </c>
      <c r="R56" s="116">
        <f t="shared" si="24"/>
        <v>2.2413871613460259</v>
      </c>
      <c r="S56" s="115" t="str">
        <v>USD_CURVE_12M_19Y</v>
      </c>
      <c r="T56" s="116">
        <f>IF(S56="","",'1Y Pricing'!$I56*100)</f>
        <v>2.4223714529113489</v>
      </c>
      <c r="U56" s="116">
        <f t="shared" si="25"/>
        <v>2.4223714529113489</v>
      </c>
      <c r="V56" s="115" t="str">
        <v>USD_CURVE_OIS_19Y</v>
      </c>
      <c r="W56" s="120">
        <f>IF(V56="","",'ON Pricing'!$G56*100)</f>
        <v>1.744867578866705</v>
      </c>
      <c r="X56" s="120">
        <f t="shared" si="26"/>
        <v>1.744867578866705</v>
      </c>
      <c r="Y56" s="115" t="str">
        <v>USD_CURVE_STD_19Y</v>
      </c>
      <c r="Z56" s="120">
        <f>IF(Y56="","",'STD Pricing'!$G56*100)</f>
        <v>2.0857003606578131</v>
      </c>
      <c r="AA56" s="120">
        <f t="shared" si="5"/>
        <v>2.0857003606578131</v>
      </c>
      <c r="AC56" s="143">
        <f>IF($C56=" ","",ROUND(ABS(_xll.RtGet(SourceAlias,$J56,BID)-K56),4))</f>
        <v>2.9999999999999997E-4</v>
      </c>
      <c r="AD56" s="143">
        <f>IF($C56=" ","",ROUND(ABS(_xll.RtGet(SourceAlias,$J56,ASK)-L56),4))</f>
        <v>2.9999999999999997E-4</v>
      </c>
      <c r="AE56" s="143">
        <f>IF($D56=" ","",ROUND(ABS(_xll.RtGet(SourceAlias,$M56,BID)-N56),4))</f>
        <v>4.0000000000000002E-4</v>
      </c>
      <c r="AF56" s="143">
        <f>IF($D56=" ","",ROUND(ABS(_xll.RtGet(SourceAlias,$M56,ASK)-O56),4))</f>
        <v>4.0000000000000002E-4</v>
      </c>
      <c r="AG56" s="143">
        <f>IF($E56=" ","",ROUND(ABS(_xll.RtGet(SourceAlias,$P56,BID)-Q56),4))</f>
        <v>4.0000000000000002E-4</v>
      </c>
      <c r="AH56" s="143">
        <f>IF($E56=" ","",ROUND(ABS(_xll.RtGet(SourceAlias,$P56,ASK)-R56),4))</f>
        <v>4.0000000000000002E-4</v>
      </c>
      <c r="AI56" s="143">
        <f>IF($F56=" ","",ROUND(ABS(_xll.RtGet(SourceAlias,$S56,BID)-T56),4))</f>
        <v>4.0000000000000002E-4</v>
      </c>
      <c r="AJ56" s="143">
        <f>IF($F56=" ","",ROUND(ABS(_xll.RtGet(SourceAlias,$S56,ASK)-U56),4))</f>
        <v>4.0000000000000002E-4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5.5999999999999999E-3</v>
      </c>
      <c r="AN56" s="143">
        <f>IF($H56=" ","",ROUND(ABS(_xll.RtGet(SourceAlias,$Y56,ASK)-AA56),4))</f>
        <v>5.5999999999999999E-3</v>
      </c>
    </row>
    <row r="57" spans="1:40" x14ac:dyDescent="0.2">
      <c r="A57" s="193"/>
      <c r="B57" s="49" t="s">
        <v>76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44</v>
      </c>
      <c r="J57" s="115" t="str">
        <v>USD_CURVE_1M_20Y</v>
      </c>
      <c r="K57" s="120">
        <f>IF(J57="","",'1M Pricing'!$I57*100)</f>
        <v>1.9869747779604052</v>
      </c>
      <c r="L57" s="120">
        <f t="shared" si="22"/>
        <v>1.9869747779604052</v>
      </c>
      <c r="M57" s="115" t="str">
        <v>USD_CURVE_3M_20Y</v>
      </c>
      <c r="N57" s="120">
        <f>IF(M57="","",'3M Pricing'!$I57*100)</f>
        <v>2.1119999999923995</v>
      </c>
      <c r="O57" s="116">
        <f t="shared" si="23"/>
        <v>2.1119999999923995</v>
      </c>
      <c r="P57" s="115" t="str">
        <v>USD_CURVE_6M_20Y</v>
      </c>
      <c r="Q57" s="116">
        <f>IF(P57="","",'6M Pricing'!$I57*100)</f>
        <v>2.2620092036315205</v>
      </c>
      <c r="R57" s="116">
        <f t="shared" si="24"/>
        <v>2.2620092036315205</v>
      </c>
      <c r="S57" s="115" t="str">
        <v>USD_CURVE_12M_20Y</v>
      </c>
      <c r="T57" s="116">
        <f>IF(S57="","",'1Y Pricing'!$I57*100)</f>
        <v>2.4442351489923113</v>
      </c>
      <c r="U57" s="116">
        <f t="shared" si="25"/>
        <v>2.4442351489923113</v>
      </c>
      <c r="V57" s="115" t="str">
        <v>USD_CURVE_OIS_20Y</v>
      </c>
      <c r="W57" s="120">
        <f>IF(V57="","",'ON Pricing'!$G57*100)</f>
        <v>1.7650000000000707</v>
      </c>
      <c r="X57" s="120">
        <f t="shared" si="26"/>
        <v>1.7650000000000707</v>
      </c>
      <c r="Y57" s="115" t="str">
        <v>USD_CURVE_STD_20Y</v>
      </c>
      <c r="Z57" s="120">
        <f>IF(Y57="","",'STD Pricing'!$G57*100)</f>
        <v>2.1119999999974026</v>
      </c>
      <c r="AA57" s="120">
        <f t="shared" si="5"/>
        <v>2.1119999999974026</v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0</v>
      </c>
      <c r="AN57" s="143">
        <f>IF($H57=" ","",ROUND(ABS(_xll.RtGet(SourceAlias,$Y57,ASK)-AA57),4))</f>
        <v>0</v>
      </c>
    </row>
    <row r="58" spans="1:40" x14ac:dyDescent="0.2">
      <c r="A58" s="193"/>
      <c r="B58" s="49" t="s">
        <v>77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44</v>
      </c>
      <c r="J58" s="115" t="str">
        <v>USD_CURVE_1M_21Y</v>
      </c>
      <c r="K58" s="120">
        <f>IF(J58="","",'1M Pricing'!$I58*100)</f>
        <v>2.0009475812023401</v>
      </c>
      <c r="L58" s="120">
        <f t="shared" si="22"/>
        <v>2.0009475812023401</v>
      </c>
      <c r="M58" s="115" t="str">
        <v>USD_CURVE_3M_21Y</v>
      </c>
      <c r="N58" s="120">
        <f>IF(M58="","",'3M Pricing'!$I58*100)</f>
        <v>2.129438290070703</v>
      </c>
      <c r="O58" s="116">
        <f t="shared" si="23"/>
        <v>2.129438290070703</v>
      </c>
      <c r="P58" s="115" t="str">
        <v>USD_CURVE_6M_21Y</v>
      </c>
      <c r="Q58" s="116">
        <f>IF(P58="","",'6M Pricing'!$I58*100)</f>
        <v>2.279627109615511</v>
      </c>
      <c r="R58" s="116">
        <f t="shared" si="24"/>
        <v>2.279627109615511</v>
      </c>
      <c r="S58" s="115" t="str">
        <v>USD_CURVE_12M_21Y</v>
      </c>
      <c r="T58" s="116">
        <f>IF(S58="","",'1Y Pricing'!$I58*100)</f>
        <v>2.4630349547210475</v>
      </c>
      <c r="U58" s="116">
        <f t="shared" si="25"/>
        <v>2.4630349547210475</v>
      </c>
      <c r="V58" s="115" t="str">
        <v>USD_CURVE_OIS_21Y</v>
      </c>
      <c r="W58" s="120">
        <f>IF(V58="","",'ON Pricing'!$G58*100)</f>
        <v>1.7819839628523404</v>
      </c>
      <c r="X58" s="120">
        <f t="shared" si="26"/>
        <v>1.7819839628523404</v>
      </c>
      <c r="Y58" s="115" t="str">
        <v>USD_CURVE_STD_21Y</v>
      </c>
      <c r="Z58" s="120">
        <f>IF(Y58="","",'STD Pricing'!$G58*100)</f>
        <v>2.1260456230464109</v>
      </c>
      <c r="AA58" s="120">
        <f t="shared" si="5"/>
        <v>2.1260456230464109</v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1E-4</v>
      </c>
      <c r="AL58" s="143">
        <f>IF($G58=" ","",ROUND(ABS(_xll.RtGet(SourceAlias,$V58,ASK)-X58),4))</f>
        <v>1E-4</v>
      </c>
      <c r="AM58" s="143">
        <f>IF($H58=" ","",ROUND(ABS(_xll.RtGet(SourceAlias,$Y58,BID)-Z58),4))</f>
        <v>3.3999999999999998E-3</v>
      </c>
      <c r="AN58" s="143">
        <f>IF($H58=" ","",ROUND(ABS(_xll.RtGet(SourceAlias,$Y58,ASK)-AA58),4))</f>
        <v>3.3999999999999998E-3</v>
      </c>
    </row>
    <row r="59" spans="1:40" x14ac:dyDescent="0.2">
      <c r="A59" s="193"/>
      <c r="B59" s="49" t="s">
        <v>78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44</v>
      </c>
      <c r="J59" s="115" t="str">
        <v>USD_CURVE_1M_22Y</v>
      </c>
      <c r="K59" s="120">
        <f>IF(J59="","",'1M Pricing'!$I59*100)</f>
        <v>2.0126770114802657</v>
      </c>
      <c r="L59" s="120">
        <f t="shared" si="22"/>
        <v>2.0126770114802657</v>
      </c>
      <c r="M59" s="115" t="str">
        <v>USD_CURVE_3M_22Y</v>
      </c>
      <c r="N59" s="120">
        <f>IF(M59="","",'3M Pricing'!$I59*100)</f>
        <v>2.1445218851171872</v>
      </c>
      <c r="O59" s="116">
        <f t="shared" si="23"/>
        <v>2.1445218851171872</v>
      </c>
      <c r="P59" s="115" t="str">
        <v>USD_CURVE_6M_22Y</v>
      </c>
      <c r="Q59" s="116">
        <f>IF(P59="","",'6M Pricing'!$I59*100)</f>
        <v>2.2948572016655935</v>
      </c>
      <c r="R59" s="116">
        <f t="shared" si="24"/>
        <v>2.2948572016655935</v>
      </c>
      <c r="S59" s="115" t="str">
        <v>USD_CURVE_12M_22Y</v>
      </c>
      <c r="T59" s="116">
        <f>IF(S59="","",'1Y Pricing'!$I59*100)</f>
        <v>2.4793956303299796</v>
      </c>
      <c r="U59" s="116">
        <f t="shared" si="25"/>
        <v>2.4793956303299796</v>
      </c>
      <c r="V59" s="115" t="str">
        <v>USD_CURVE_OIS_22Y</v>
      </c>
      <c r="W59" s="120">
        <f>IF(V59="","",'ON Pricing'!$G59*100)</f>
        <v>1.7966001215215668</v>
      </c>
      <c r="X59" s="120">
        <f t="shared" si="26"/>
        <v>1.7966001215215668</v>
      </c>
      <c r="Y59" s="115" t="str">
        <v>USD_CURVE_STD_22Y</v>
      </c>
      <c r="Z59" s="120">
        <f>IF(Y59="","",'STD Pricing'!$G59*100)</f>
        <v>2.1398683205134583</v>
      </c>
      <c r="AA59" s="120">
        <f t="shared" si="5"/>
        <v>2.1398683205134583</v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1E-4</v>
      </c>
      <c r="AL59" s="143">
        <f>IF($G59=" ","",ROUND(ABS(_xll.RtGet(SourceAlias,$V59,ASK)-X59),4))</f>
        <v>1E-4</v>
      </c>
      <c r="AM59" s="143">
        <f>IF($H59=" ","",ROUND(ABS(_xll.RtGet(SourceAlias,$Y59,BID)-Z59),4))</f>
        <v>4.7000000000000002E-3</v>
      </c>
      <c r="AN59" s="143">
        <f>IF($H59=" ","",ROUND(ABS(_xll.RtGet(SourceAlias,$Y59,ASK)-AA59),4))</f>
        <v>4.7000000000000002E-3</v>
      </c>
    </row>
    <row r="60" spans="1:40" x14ac:dyDescent="0.2">
      <c r="A60" s="193"/>
      <c r="B60" s="49" t="s">
        <v>79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44</v>
      </c>
      <c r="J60" s="115" t="str">
        <v>USD_CURVE_1M_23Y</v>
      </c>
      <c r="K60" s="120">
        <f>IF(J60="","",'1M Pricing'!$I60*100)</f>
        <v>2.0226216937512032</v>
      </c>
      <c r="L60" s="120">
        <f t="shared" si="22"/>
        <v>2.0226216937512032</v>
      </c>
      <c r="M60" s="115" t="str">
        <v>USD_CURVE_3M_23Y</v>
      </c>
      <c r="N60" s="120">
        <f>IF(M60="","",'3M Pricing'!$I60*100)</f>
        <v>2.1576986790294894</v>
      </c>
      <c r="O60" s="116">
        <f t="shared" si="23"/>
        <v>2.1576986790294894</v>
      </c>
      <c r="P60" s="115" t="str">
        <v>USD_CURVE_6M_23Y</v>
      </c>
      <c r="Q60" s="116">
        <f>IF(P60="","",'6M Pricing'!$I60*100)</f>
        <v>2.3081987934609005</v>
      </c>
      <c r="R60" s="116">
        <f t="shared" si="24"/>
        <v>2.3081987934609005</v>
      </c>
      <c r="S60" s="115" t="str">
        <v>USD_CURVE_12M_23Y</v>
      </c>
      <c r="T60" s="116">
        <f>IF(S60="","",'1Y Pricing'!$I60*100)</f>
        <v>2.4938064996561637</v>
      </c>
      <c r="U60" s="116">
        <f t="shared" si="25"/>
        <v>2.4938064996561637</v>
      </c>
      <c r="V60" s="115" t="str">
        <v>USD_CURVE_OIS_23Y</v>
      </c>
      <c r="W60" s="120">
        <f>IF(V60="","",'ON Pricing'!$G60*100)</f>
        <v>1.8093415998217695</v>
      </c>
      <c r="X60" s="120">
        <f t="shared" si="26"/>
        <v>1.8093415998217695</v>
      </c>
      <c r="Y60" s="115" t="str">
        <v>USD_CURVE_STD_23Y</v>
      </c>
      <c r="Z60" s="120">
        <f>IF(Y60="","",'STD Pricing'!$G60*100)</f>
        <v>2.1534414011385481</v>
      </c>
      <c r="AA60" s="120">
        <f t="shared" si="5"/>
        <v>2.1534414011385481</v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1E-4</v>
      </c>
      <c r="AL60" s="143">
        <f>IF($G60=" ","",ROUND(ABS(_xll.RtGet(SourceAlias,$V60,ASK)-X60),4))</f>
        <v>1E-4</v>
      </c>
      <c r="AM60" s="143">
        <f>IF($H60=" ","",ROUND(ABS(_xll.RtGet(SourceAlias,$Y60,BID)-Z60),4))</f>
        <v>4.3E-3</v>
      </c>
      <c r="AN60" s="143">
        <f>IF($H60=" ","",ROUND(ABS(_xll.RtGet(SourceAlias,$Y60,ASK)-AA60),4))</f>
        <v>4.3E-3</v>
      </c>
    </row>
    <row r="61" spans="1:40" x14ac:dyDescent="0.2">
      <c r="A61" s="193"/>
      <c r="B61" s="49" t="s">
        <v>80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44</v>
      </c>
      <c r="J61" s="115" t="str">
        <v>USD_CURVE_1M_24Y</v>
      </c>
      <c r="K61" s="120">
        <f>IF(J61="","",'1M Pricing'!$I61*100)</f>
        <v>2.0312902807831694</v>
      </c>
      <c r="L61" s="120">
        <f t="shared" si="22"/>
        <v>2.0312902807831694</v>
      </c>
      <c r="M61" s="115" t="str">
        <v>USD_CURVE_3M_24Y</v>
      </c>
      <c r="N61" s="120">
        <f>IF(M61="","",'3M Pricing'!$I61*100)</f>
        <v>2.1695110961545212</v>
      </c>
      <c r="O61" s="116">
        <f t="shared" si="23"/>
        <v>2.1695110961545212</v>
      </c>
      <c r="P61" s="115" t="str">
        <v>USD_CURVE_6M_24Y</v>
      </c>
      <c r="Q61" s="116">
        <f>IF(P61="","",'6M Pricing'!$I61*100)</f>
        <v>2.3202412629950024</v>
      </c>
      <c r="R61" s="116">
        <f t="shared" si="24"/>
        <v>2.3202412629950024</v>
      </c>
      <c r="S61" s="115" t="str">
        <v>USD_CURVE_12M_24Y</v>
      </c>
      <c r="T61" s="116">
        <f>IF(S61="","",'1Y Pricing'!$I61*100)</f>
        <v>2.5068663464410905</v>
      </c>
      <c r="U61" s="116">
        <f t="shared" si="25"/>
        <v>2.5068663464410905</v>
      </c>
      <c r="V61" s="115" t="str">
        <v>USD_CURVE_OIS_24Y</v>
      </c>
      <c r="W61" s="120">
        <f>IF(V61="","",'ON Pricing'!$G61*100)</f>
        <v>1.8206873885285531</v>
      </c>
      <c r="X61" s="120">
        <f t="shared" si="26"/>
        <v>1.8206873885285531</v>
      </c>
      <c r="Y61" s="115" t="str">
        <v>USD_CURVE_STD_24Y</v>
      </c>
      <c r="Z61" s="120">
        <f>IF(Y61="","",'STD Pricing'!$G61*100)</f>
        <v>2.1669317398122572</v>
      </c>
      <c r="AA61" s="120">
        <f t="shared" si="5"/>
        <v>2.1669317398122572</v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1E-4</v>
      </c>
      <c r="AF61" s="143">
        <f>IF($D61=" ","",ROUND(ABS(_xll.RtGet(SourceAlias,$M61,ASK)-O61),4))</f>
        <v>1E-4</v>
      </c>
      <c r="AG61" s="143">
        <f>IF($E61=" ","",ROUND(ABS(_xll.RtGet(SourceAlias,$P61,BID)-Q61),4))</f>
        <v>1E-4</v>
      </c>
      <c r="AH61" s="143">
        <f>IF($E61=" ","",ROUND(ABS(_xll.RtGet(SourceAlias,$P61,ASK)-R61),4))</f>
        <v>1E-4</v>
      </c>
      <c r="AI61" s="143">
        <f>IF($F61=" ","",ROUND(ABS(_xll.RtGet(SourceAlias,$S61,BID)-T61),4))</f>
        <v>1E-4</v>
      </c>
      <c r="AJ61" s="143">
        <f>IF($F61=" ","",ROUND(ABS(_xll.RtGet(SourceAlias,$S61,ASK)-U61),4))</f>
        <v>1E-4</v>
      </c>
      <c r="AK61" s="143">
        <f>IF($G61=" ","",ROUND(ABS(_xll.RtGet(SourceAlias,$V61,BID)-W61),4))</f>
        <v>1E-4</v>
      </c>
      <c r="AL61" s="143">
        <f>IF($G61=" ","",ROUND(ABS(_xll.RtGet(SourceAlias,$V61,ASK)-X61),4))</f>
        <v>1E-4</v>
      </c>
      <c r="AM61" s="143">
        <f>IF($H61=" ","",ROUND(ABS(_xll.RtGet(SourceAlias,$Y61,BID)-Z61),4))</f>
        <v>2.5000000000000001E-3</v>
      </c>
      <c r="AN61" s="143">
        <f>IF($H61=" ","",ROUND(ABS(_xll.RtGet(SourceAlias,$Y61,ASK)-AA61),4))</f>
        <v>2.5000000000000001E-3</v>
      </c>
    </row>
    <row r="62" spans="1:40" x14ac:dyDescent="0.2">
      <c r="A62" s="193"/>
      <c r="B62" s="49" t="s">
        <v>81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44</v>
      </c>
      <c r="J62" s="115" t="str">
        <v>USD_CURVE_1M_25Y</v>
      </c>
      <c r="K62" s="120">
        <f>IF(J62="","",'1M Pricing'!$I62*100)</f>
        <v>2.0388020073624835</v>
      </c>
      <c r="L62" s="120">
        <f t="shared" si="22"/>
        <v>2.0388020073624835</v>
      </c>
      <c r="M62" s="115" t="str">
        <v>USD_CURVE_3M_25Y</v>
      </c>
      <c r="N62" s="120">
        <f>IF(M62="","",'3M Pricing'!$I62*100)</f>
        <v>2.180000000008377</v>
      </c>
      <c r="O62" s="116">
        <f t="shared" si="23"/>
        <v>2.180000000008377</v>
      </c>
      <c r="P62" s="115" t="str">
        <v>USD_CURVE_6M_25Y</v>
      </c>
      <c r="Q62" s="116">
        <f>IF(P62="","",'6M Pricing'!$I62*100)</f>
        <v>2.3310511342363576</v>
      </c>
      <c r="R62" s="116">
        <f t="shared" si="24"/>
        <v>2.3310511342363576</v>
      </c>
      <c r="S62" s="115" t="str">
        <v>USD_CURVE_12M_25Y</v>
      </c>
      <c r="T62" s="116">
        <f>IF(S62="","",'1Y Pricing'!$I62*100)</f>
        <v>2.5186062925621542</v>
      </c>
      <c r="U62" s="116">
        <f t="shared" si="25"/>
        <v>2.5186062925621542</v>
      </c>
      <c r="V62" s="115" t="str">
        <v>USD_CURVE_OIS_25Y</v>
      </c>
      <c r="W62" s="120">
        <f>IF(V62="","",'ON Pricing'!$G62*100)</f>
        <v>1.8310000000006106</v>
      </c>
      <c r="X62" s="120">
        <f t="shared" si="26"/>
        <v>1.8310000000006106</v>
      </c>
      <c r="Y62" s="115" t="str">
        <v>USD_CURVE_STD_25Y</v>
      </c>
      <c r="Z62" s="120">
        <f>IF(Y62="","",'STD Pricing'!$G62*100)</f>
        <v>2.17999999999686</v>
      </c>
      <c r="AA62" s="120">
        <f t="shared" si="5"/>
        <v>2.17999999999686</v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0</v>
      </c>
      <c r="AN62" s="143">
        <f>IF($H62=" ","",ROUND(ABS(_xll.RtGet(SourceAlias,$Y62,ASK)-AA62),4))</f>
        <v>0</v>
      </c>
    </row>
    <row r="63" spans="1:40" x14ac:dyDescent="0.2">
      <c r="A63" s="193"/>
      <c r="B63" s="49" t="s">
        <v>82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44</v>
      </c>
      <c r="J63" s="115" t="str">
        <v>USD_CURVE_1M_26Y</v>
      </c>
      <c r="K63" s="120">
        <f>IF(J63="","",'1M Pricing'!$I63*100)</f>
        <v>2.0455468341189258</v>
      </c>
      <c r="L63" s="120">
        <f t="shared" si="22"/>
        <v>2.0455468341189258</v>
      </c>
      <c r="M63" s="115" t="str">
        <v>USD_CURVE_3M_26Y</v>
      </c>
      <c r="N63" s="120">
        <f>IF(M63="","",'3M Pricing'!$I63*100)</f>
        <v>2.1895812381169724</v>
      </c>
      <c r="O63" s="116">
        <f t="shared" si="23"/>
        <v>2.1895812381169724</v>
      </c>
      <c r="P63" s="115" t="str">
        <v>USD_CURVE_6M_26Y</v>
      </c>
      <c r="Q63" s="116">
        <f>IF(P63="","",'6M Pricing'!$I63*100)</f>
        <v>2.3410593422277488</v>
      </c>
      <c r="R63" s="116">
        <f t="shared" si="24"/>
        <v>2.3410593422277488</v>
      </c>
      <c r="S63" s="115" t="str">
        <v>USD_CURVE_12M_26Y</v>
      </c>
      <c r="T63" s="116">
        <f>IF(S63="","",'1Y Pricing'!$I63*100)</f>
        <v>2.5294681829933809</v>
      </c>
      <c r="U63" s="116">
        <f t="shared" si="25"/>
        <v>2.5294681829933809</v>
      </c>
      <c r="V63" s="115" t="str">
        <v>USD_CURVE_OIS_26Y</v>
      </c>
      <c r="W63" s="120">
        <f>IF(V63="","",'ON Pricing'!$G63*100)</f>
        <v>1.8404144712788673</v>
      </c>
      <c r="X63" s="120">
        <f t="shared" si="26"/>
        <v>1.8404144712788673</v>
      </c>
      <c r="Y63" s="115" t="str">
        <v>USD_CURVE_STD_26Y</v>
      </c>
      <c r="Z63" s="120">
        <f>IF(Y63="","",'STD Pricing'!$G63*100)</f>
        <v>2.1880970913046274</v>
      </c>
      <c r="AA63" s="120">
        <f t="shared" si="5"/>
        <v>2.1880970913046274</v>
      </c>
      <c r="AC63" s="143">
        <f>IF($C63=" ","",ROUND(ABS(_xll.RtGet(SourceAlias,$J63,BID)-K63),4))</f>
        <v>1E-4</v>
      </c>
      <c r="AD63" s="143">
        <f>IF($C63=" ","",ROUND(ABS(_xll.RtGet(SourceAlias,$J63,ASK)-L63),4))</f>
        <v>1E-4</v>
      </c>
      <c r="AE63" s="143">
        <f>IF($D63=" ","",ROUND(ABS(_xll.RtGet(SourceAlias,$M63,BID)-N63),4))</f>
        <v>1E-4</v>
      </c>
      <c r="AF63" s="143">
        <f>IF($D63=" ","",ROUND(ABS(_xll.RtGet(SourceAlias,$M63,ASK)-O63),4))</f>
        <v>1E-4</v>
      </c>
      <c r="AG63" s="143">
        <f>IF($E63=" ","",ROUND(ABS(_xll.RtGet(SourceAlias,$P63,BID)-Q63),4))</f>
        <v>1E-4</v>
      </c>
      <c r="AH63" s="143">
        <f>IF($E63=" ","",ROUND(ABS(_xll.RtGet(SourceAlias,$P63,ASK)-R63),4))</f>
        <v>1E-4</v>
      </c>
      <c r="AI63" s="143">
        <f>IF($F63=" ","",ROUND(ABS(_xll.RtGet(SourceAlias,$S63,BID)-T63),4))</f>
        <v>1E-4</v>
      </c>
      <c r="AJ63" s="143">
        <f>IF($F63=" ","",ROUND(ABS(_xll.RtGet(SourceAlias,$S63,ASK)-U63),4))</f>
        <v>1E-4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1.6000000000000001E-3</v>
      </c>
      <c r="AN63" s="143">
        <f>IF($H63=" ","",ROUND(ABS(_xll.RtGet(SourceAlias,$Y63,ASK)-AA63),4))</f>
        <v>1.6000000000000001E-3</v>
      </c>
    </row>
    <row r="64" spans="1:40" x14ac:dyDescent="0.2">
      <c r="A64" s="193"/>
      <c r="B64" s="49" t="s">
        <v>83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44</v>
      </c>
      <c r="J64" s="115" t="str">
        <v>USD_CURVE_1M_27Y</v>
      </c>
      <c r="K64" s="120">
        <f>IF(J64="","",'1M Pricing'!$I64*100)</f>
        <v>2.0516338643900731</v>
      </c>
      <c r="L64" s="120">
        <f t="shared" si="22"/>
        <v>2.0516338643900731</v>
      </c>
      <c r="M64" s="115" t="str">
        <v>USD_CURVE_3M_27Y</v>
      </c>
      <c r="N64" s="120">
        <f>IF(M64="","",'3M Pricing'!$I64*100)</f>
        <v>2.1982773647492428</v>
      </c>
      <c r="O64" s="116">
        <f t="shared" si="23"/>
        <v>2.1982773647492428</v>
      </c>
      <c r="P64" s="115" t="str">
        <v>USD_CURVE_6M_27Y</v>
      </c>
      <c r="Q64" s="116">
        <f>IF(P64="","",'6M Pricing'!$I64*100)</f>
        <v>2.3502308915065977</v>
      </c>
      <c r="R64" s="116">
        <f t="shared" si="24"/>
        <v>2.3502308915065977</v>
      </c>
      <c r="S64" s="115" t="str">
        <v>USD_CURVE_12M_27Y</v>
      </c>
      <c r="T64" s="116">
        <f>IF(S64="","",'1Y Pricing'!$I64*100)</f>
        <v>2.5393927027180392</v>
      </c>
      <c r="U64" s="116">
        <f t="shared" si="25"/>
        <v>2.5393927027180392</v>
      </c>
      <c r="V64" s="115" t="str">
        <v>USD_CURVE_OIS_27Y</v>
      </c>
      <c r="W64" s="120">
        <f>IF(V64="","",'ON Pricing'!$G64*100)</f>
        <v>1.8489901614761135</v>
      </c>
      <c r="X64" s="120">
        <f t="shared" si="26"/>
        <v>1.8489901614761135</v>
      </c>
      <c r="Y64" s="115" t="str">
        <v>USD_CURVE_STD_27Y</v>
      </c>
      <c r="Z64" s="120">
        <f>IF(Y64="","",'STD Pricing'!$G64*100)</f>
        <v>2.1960205004391624</v>
      </c>
      <c r="AA64" s="120">
        <f t="shared" si="5"/>
        <v>2.1960205004391624</v>
      </c>
      <c r="AC64" s="143">
        <f>IF($C64=" ","",ROUND(ABS(_xll.RtGet(SourceAlias,$J64,BID)-K64),4))</f>
        <v>1E-4</v>
      </c>
      <c r="AD64" s="143">
        <f>IF($C64=" ","",ROUND(ABS(_xll.RtGet(SourceAlias,$J64,ASK)-L64),4))</f>
        <v>1E-4</v>
      </c>
      <c r="AE64" s="143">
        <f>IF($D64=" ","",ROUND(ABS(_xll.RtGet(SourceAlias,$M64,BID)-N64),4))</f>
        <v>1E-4</v>
      </c>
      <c r="AF64" s="143">
        <f>IF($D64=" ","",ROUND(ABS(_xll.RtGet(SourceAlias,$M64,ASK)-O64),4))</f>
        <v>1E-4</v>
      </c>
      <c r="AG64" s="143">
        <f>IF($E64=" ","",ROUND(ABS(_xll.RtGet(SourceAlias,$P64,BID)-Q64),4))</f>
        <v>1E-4</v>
      </c>
      <c r="AH64" s="143">
        <f>IF($E64=" ","",ROUND(ABS(_xll.RtGet(SourceAlias,$P64,ASK)-R64),4))</f>
        <v>1E-4</v>
      </c>
      <c r="AI64" s="143">
        <f>IF($F64=" ","",ROUND(ABS(_xll.RtGet(SourceAlias,$S64,BID)-T64),4))</f>
        <v>1E-4</v>
      </c>
      <c r="AJ64" s="143">
        <f>IF($F64=" ","",ROUND(ABS(_xll.RtGet(SourceAlias,$S64,ASK)-U64),4))</f>
        <v>1E-4</v>
      </c>
      <c r="AK64" s="143">
        <f>IF($G64=" ","",ROUND(ABS(_xll.RtGet(SourceAlias,$V64,BID)-W64),4))</f>
        <v>1E-4</v>
      </c>
      <c r="AL64" s="143">
        <f>IF($G64=" ","",ROUND(ABS(_xll.RtGet(SourceAlias,$V64,ASK)-X64),4))</f>
        <v>1E-4</v>
      </c>
      <c r="AM64" s="143">
        <f>IF($H64=" ","",ROUND(ABS(_xll.RtGet(SourceAlias,$Y64,BID)-Z64),4))</f>
        <v>2.3999999999999998E-3</v>
      </c>
      <c r="AN64" s="143">
        <f>IF($H64=" ","",ROUND(ABS(_xll.RtGet(SourceAlias,$Y64,ASK)-AA64),4))</f>
        <v>2.3999999999999998E-3</v>
      </c>
    </row>
    <row r="65" spans="1:40" x14ac:dyDescent="0.2">
      <c r="A65" s="193"/>
      <c r="B65" s="49" t="s">
        <v>84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44</v>
      </c>
      <c r="J65" s="115" t="str">
        <v>USD_CURVE_1M_28Y</v>
      </c>
      <c r="K65" s="120">
        <f>IF(J65="","",'1M Pricing'!$I65*100)</f>
        <v>2.0571636778270768</v>
      </c>
      <c r="L65" s="120">
        <f t="shared" si="22"/>
        <v>2.0571636778270768</v>
      </c>
      <c r="M65" s="115" t="str">
        <v>USD_CURVE_3M_28Y</v>
      </c>
      <c r="N65" s="120">
        <f>IF(M65="","",'3M Pricing'!$I65*100)</f>
        <v>2.2061122217556792</v>
      </c>
      <c r="O65" s="116">
        <f t="shared" si="23"/>
        <v>2.2061122217556792</v>
      </c>
      <c r="P65" s="115" t="str">
        <v>USD_CURVE_6M_28Y</v>
      </c>
      <c r="Q65" s="116">
        <f>IF(P65="","",'6M Pricing'!$I65*100)</f>
        <v>2.3585285435840051</v>
      </c>
      <c r="R65" s="116">
        <f t="shared" si="24"/>
        <v>2.3585285435840051</v>
      </c>
      <c r="S65" s="115" t="str">
        <v>USD_CURVE_12M_28Y</v>
      </c>
      <c r="T65" s="116">
        <f>IF(S65="","",'1Y Pricing'!$I65*100)</f>
        <v>2.5483225855500269</v>
      </c>
      <c r="U65" s="116">
        <f t="shared" si="25"/>
        <v>2.5483225855500269</v>
      </c>
      <c r="V65" s="115" t="str">
        <v>USD_CURVE_OIS_28Y</v>
      </c>
      <c r="W65" s="120">
        <f>IF(V65="","",'ON Pricing'!$G65*100)</f>
        <v>1.8566871128141877</v>
      </c>
      <c r="X65" s="120">
        <f t="shared" si="26"/>
        <v>1.8566871128141877</v>
      </c>
      <c r="Y65" s="115" t="str">
        <v>USD_CURVE_STD_28Y</v>
      </c>
      <c r="Z65" s="120">
        <f>IF(Y65="","",'STD Pricing'!$G65*100)</f>
        <v>2.2038266121308219</v>
      </c>
      <c r="AA65" s="120">
        <f t="shared" si="5"/>
        <v>2.2038266121308219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1E-4</v>
      </c>
      <c r="AF65" s="143">
        <f>IF($D65=" ","",ROUND(ABS(_xll.RtGet(SourceAlias,$M65,ASK)-O65),4))</f>
        <v>1E-4</v>
      </c>
      <c r="AG65" s="143">
        <f>IF($E65=" ","",ROUND(ABS(_xll.RtGet(SourceAlias,$P65,BID)-Q65),4))</f>
        <v>1E-4</v>
      </c>
      <c r="AH65" s="143">
        <f>IF($E65=" ","",ROUND(ABS(_xll.RtGet(SourceAlias,$P65,ASK)-R65),4))</f>
        <v>1E-4</v>
      </c>
      <c r="AI65" s="143">
        <f>IF($F65=" ","",ROUND(ABS(_xll.RtGet(SourceAlias,$S65,BID)-T65),4))</f>
        <v>1E-4</v>
      </c>
      <c r="AJ65" s="143">
        <f>IF($F65=" ","",ROUND(ABS(_xll.RtGet(SourceAlias,$S65,ASK)-U65),4))</f>
        <v>1E-4</v>
      </c>
      <c r="AK65" s="143">
        <f>IF($G65=" ","",ROUND(ABS(_xll.RtGet(SourceAlias,$V65,BID)-W65),4))</f>
        <v>1E-4</v>
      </c>
      <c r="AL65" s="143">
        <f>IF($G65=" ","",ROUND(ABS(_xll.RtGet(SourceAlias,$V65,ASK)-X65),4))</f>
        <v>1E-4</v>
      </c>
      <c r="AM65" s="143">
        <f>IF($H65=" ","",ROUND(ABS(_xll.RtGet(SourceAlias,$Y65,BID)-Z65),4))</f>
        <v>2.3999999999999998E-3</v>
      </c>
      <c r="AN65" s="143">
        <f>IF($H65=" ","",ROUND(ABS(_xll.RtGet(SourceAlias,$Y65,ASK)-AA65),4))</f>
        <v>2.3999999999999998E-3</v>
      </c>
    </row>
    <row r="66" spans="1:40" x14ac:dyDescent="0.2">
      <c r="A66" s="193"/>
      <c r="B66" s="49" t="s">
        <v>85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44</v>
      </c>
      <c r="J66" s="115" t="str">
        <v>USD_CURVE_1M_29Y</v>
      </c>
      <c r="K66" s="120">
        <f>IF(J66="","",'1M Pricing'!$I66*100)</f>
        <v>2.062143621464501</v>
      </c>
      <c r="L66" s="120">
        <f t="shared" si="22"/>
        <v>2.062143621464501</v>
      </c>
      <c r="M66" s="115" t="str">
        <v>USD_CURVE_3M_29Y</v>
      </c>
      <c r="N66" s="120">
        <f>IF(M66="","",'3M Pricing'!$I66*100)</f>
        <v>2.2129981196128008</v>
      </c>
      <c r="O66" s="116">
        <f t="shared" si="23"/>
        <v>2.2129981196128008</v>
      </c>
      <c r="P66" s="115" t="str">
        <v>USD_CURVE_6M_29Y</v>
      </c>
      <c r="Q66" s="116">
        <f>IF(P66="","",'6M Pricing'!$I66*100)</f>
        <v>2.3658056142726704</v>
      </c>
      <c r="R66" s="116">
        <f t="shared" si="24"/>
        <v>2.3658056142726704</v>
      </c>
      <c r="S66" s="115" t="str">
        <v>USD_CURVE_12M_29Y</v>
      </c>
      <c r="T66" s="116">
        <f>IF(S66="","",'1Y Pricing'!$I66*100)</f>
        <v>2.5560830282616709</v>
      </c>
      <c r="U66" s="116">
        <f t="shared" si="25"/>
        <v>2.5560830282616709</v>
      </c>
      <c r="V66" s="115" t="str">
        <v>USD_CURVE_OIS_29Y</v>
      </c>
      <c r="W66" s="120">
        <f>IF(V66="","",'ON Pricing'!$G66*100)</f>
        <v>1.8633670417330779</v>
      </c>
      <c r="X66" s="120">
        <f t="shared" si="26"/>
        <v>1.8633670417330779</v>
      </c>
      <c r="Y66" s="115" t="str">
        <v>USD_CURVE_STD_29Y</v>
      </c>
      <c r="Z66" s="120">
        <f>IF(Y66="","",'STD Pricing'!$G66*100)</f>
        <v>2.2114539417723895</v>
      </c>
      <c r="AA66" s="120">
        <f t="shared" si="5"/>
        <v>2.2114539417723895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1E-4</v>
      </c>
      <c r="AF66" s="143">
        <f>IF($D66=" ","",ROUND(ABS(_xll.RtGet(SourceAlias,$M66,ASK)-O66),4))</f>
        <v>1E-4</v>
      </c>
      <c r="AG66" s="143">
        <f>IF($E66=" ","",ROUND(ABS(_xll.RtGet(SourceAlias,$P66,BID)-Q66),4))</f>
        <v>1E-4</v>
      </c>
      <c r="AH66" s="143">
        <f>IF($E66=" ","",ROUND(ABS(_xll.RtGet(SourceAlias,$P66,ASK)-R66),4))</f>
        <v>1E-4</v>
      </c>
      <c r="AI66" s="143">
        <f>IF($F66=" ","",ROUND(ABS(_xll.RtGet(SourceAlias,$S66,BID)-T66),4))</f>
        <v>1E-4</v>
      </c>
      <c r="AJ66" s="143">
        <f>IF($F66=" ","",ROUND(ABS(_xll.RtGet(SourceAlias,$S66,ASK)-U66),4))</f>
        <v>1E-4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1.6000000000000001E-3</v>
      </c>
      <c r="AN66" s="143">
        <f>IF($H66=" ","",ROUND(ABS(_xll.RtGet(SourceAlias,$Y66,ASK)-AA66),4))</f>
        <v>1.6000000000000001E-3</v>
      </c>
    </row>
    <row r="67" spans="1:40" x14ac:dyDescent="0.2">
      <c r="A67" s="193"/>
      <c r="B67" s="49" t="s">
        <v>86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44</v>
      </c>
      <c r="J67" s="115" t="str">
        <v>USD_CURVE_1M_30Y</v>
      </c>
      <c r="K67" s="120">
        <f>IF(J67="","",'1M Pricing'!$I67*100)</f>
        <v>2.0666829194208174</v>
      </c>
      <c r="L67" s="120">
        <f t="shared" si="22"/>
        <v>2.0666829194208174</v>
      </c>
      <c r="M67" s="115" t="str">
        <v>USD_CURVE_3M_30Y</v>
      </c>
      <c r="N67" s="120">
        <f>IF(M67="","",'3M Pricing'!$I67*100)</f>
        <v>2.2189999999969459</v>
      </c>
      <c r="O67" s="116">
        <f t="shared" si="23"/>
        <v>2.2189999999969459</v>
      </c>
      <c r="P67" s="115" t="str">
        <v>USD_CURVE_6M_30Y</v>
      </c>
      <c r="Q67" s="116">
        <f>IF(P67="","",'6M Pricing'!$I67*100)</f>
        <v>2.372085485831648</v>
      </c>
      <c r="R67" s="116">
        <f t="shared" si="24"/>
        <v>2.372085485831648</v>
      </c>
      <c r="S67" s="115" t="str">
        <v>USD_CURVE_12M_30Y</v>
      </c>
      <c r="T67" s="116">
        <f>IF(S67="","",'1Y Pricing'!$I67*100)</f>
        <v>2.5626869871162818</v>
      </c>
      <c r="U67" s="116">
        <f t="shared" si="25"/>
        <v>2.5626869871162818</v>
      </c>
      <c r="V67" s="115" t="str">
        <v>USD_CURVE_OIS_30Y</v>
      </c>
      <c r="W67" s="120">
        <f>IF(V67="","",'ON Pricing'!$G67*100)</f>
        <v>1.8690000000033833</v>
      </c>
      <c r="X67" s="120">
        <f t="shared" si="26"/>
        <v>1.8690000000033833</v>
      </c>
      <c r="Y67" s="115" t="str">
        <v>USD_CURVE_STD_30Y</v>
      </c>
      <c r="Z67" s="120">
        <f>IF(Y67="","",'STD Pricing'!$G67*100)</f>
        <v>2.2189999999965768</v>
      </c>
      <c r="AA67" s="120">
        <f t="shared" si="5"/>
        <v>2.2189999999965768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x14ac:dyDescent="0.2">
      <c r="A68" s="193"/>
      <c r="B68" s="49" t="s">
        <v>87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2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2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44</v>
      </c>
      <c r="J68" s="115" t="str">
        <v>USD_CURVE_1M_40Y</v>
      </c>
      <c r="K68" s="120">
        <f>IF(J68="","",'1M Pricing'!$I68*100)</f>
        <v>2.086671222159906</v>
      </c>
      <c r="L68" s="120">
        <f t="shared" si="22"/>
        <v>2.086671222159906</v>
      </c>
      <c r="M68" s="115" t="str">
        <v>USD_CURVE_3M_40Y</v>
      </c>
      <c r="N68" s="120">
        <f>IF(M68="","",'3M Pricing'!$I68*100)</f>
        <v>2.2390000000003711</v>
      </c>
      <c r="O68" s="116">
        <f t="shared" si="23"/>
        <v>2.2390000000003711</v>
      </c>
      <c r="P68" s="115" t="str">
        <v>USD_CURVE_6M_40Y</v>
      </c>
      <c r="Q68" s="116">
        <f>IF(P68="","",'6M Pricing'!$I68*100)</f>
        <v>2.3920948495452556</v>
      </c>
      <c r="R68" s="116">
        <f t="shared" si="24"/>
        <v>2.3920948495452556</v>
      </c>
      <c r="S68" s="115" t="str">
        <v>USD_CURVE_12M_40Y</v>
      </c>
      <c r="T68" s="116">
        <f>IF(S68="","",'1Y Pricing'!$I68*100)</f>
        <v>2.5827080092629622</v>
      </c>
      <c r="U68" s="116">
        <f t="shared" si="25"/>
        <v>2.5827080092629622</v>
      </c>
      <c r="V68" s="115" t="str">
        <v>USD_CURVE_OIS_40Y</v>
      </c>
      <c r="W68" s="120">
        <f>IF(V68="","",'ON Pricing'!$G68*100)</f>
        <v>1.8890000000038276</v>
      </c>
      <c r="X68" s="120">
        <f t="shared" si="26"/>
        <v>1.8890000000038276</v>
      </c>
      <c r="Y68" s="115" t="str">
        <v>USD_CURVE_STD_40Y</v>
      </c>
      <c r="Z68" s="120">
        <f>IF(Y68="","",'STD Pricing'!$G68*100)</f>
        <v>2.2389999999971519</v>
      </c>
      <c r="AA68" s="120">
        <f t="shared" si="5"/>
        <v>2.2389999999971519</v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1E-3</v>
      </c>
      <c r="AL68" s="143">
        <f>IF($G68=" ","",ROUND(ABS(_xll.RtGet(SourceAlias,$V68,ASK)-X68),4))</f>
        <v>1E-3</v>
      </c>
      <c r="AM68" s="143">
        <f>IF($H68=" ","",ROUND(ABS(_xll.RtGet(SourceAlias,$Y68,BID)-Z68),4))</f>
        <v>0</v>
      </c>
      <c r="AN68" s="143">
        <f>IF($H68=" ","",ROUND(ABS(_xll.RtGet(SourceAlias,$Y68,ASK)-AA68),4))</f>
        <v>0</v>
      </c>
    </row>
    <row r="69" spans="1:40" x14ac:dyDescent="0.2">
      <c r="A69" s="193"/>
      <c r="B69" s="49" t="s">
        <v>88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2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2" t="str">
        <f>IF(Contribute="abcd",IF($E$2&lt;&gt;-1,_xll.RtContribute(SourceAlias,Y69,Fields,Z69:AA69,"SCOPE:SERVER"),_xll.RtContribute(SourceAlias,"DDS_INSERT_S",$E$2:$G$2,Y69:AA69,"SCOPE:SERVER FTC:ALL")),"stopped")</f>
        <v>stopped</v>
      </c>
      <c r="I69" s="3" t="s">
        <v>44</v>
      </c>
      <c r="J69" s="115" t="str">
        <v>USD_CURVE_1M_50Y</v>
      </c>
      <c r="K69" s="120">
        <f>IF(J69="","",'1M Pricing'!$I69*100)</f>
        <v>2.071668765901892</v>
      </c>
      <c r="L69" s="120">
        <f t="shared" si="22"/>
        <v>2.071668765901892</v>
      </c>
      <c r="M69" s="115" t="str">
        <v>USD_CURVE_3M_50Y</v>
      </c>
      <c r="N69" s="120">
        <f>IF(M69="","",'3M Pricing'!$I69*100)</f>
        <v>2.2240000000000051</v>
      </c>
      <c r="O69" s="116">
        <f t="shared" si="23"/>
        <v>2.2240000000000051</v>
      </c>
      <c r="P69" s="115" t="str">
        <v>USD_CURVE_6M_50Y</v>
      </c>
      <c r="Q69" s="116">
        <f>IF(P69="","",'6M Pricing'!$I69*100)</f>
        <v>2.3770967552770266</v>
      </c>
      <c r="R69" s="116">
        <f t="shared" si="24"/>
        <v>2.3770967552770266</v>
      </c>
      <c r="S69" s="115" t="str">
        <v>USD_CURVE_12M_50Y</v>
      </c>
      <c r="T69" s="116">
        <f>IF(S69="","",'1Y Pricing'!$I69*100)</f>
        <v>2.5677122877510659</v>
      </c>
      <c r="U69" s="116">
        <f t="shared" si="25"/>
        <v>2.5677122877510659</v>
      </c>
      <c r="V69" s="115" t="str">
        <v>USD_CURVE_OIS_50Y</v>
      </c>
      <c r="W69" s="120">
        <f>IF(V69="","",'ON Pricing'!$G69*100)</f>
        <v>1.8938571125311843</v>
      </c>
      <c r="X69" s="120">
        <f t="shared" si="26"/>
        <v>1.8938571125311843</v>
      </c>
      <c r="Y69" s="115" t="str">
        <v>USD_CURVE_STD_50Y</v>
      </c>
      <c r="Z69" s="120">
        <f>IF(Y69="","",'STD Pricing'!$G69*100)</f>
        <v>2.2239999999992244</v>
      </c>
      <c r="AA69" s="120">
        <f t="shared" si="5"/>
        <v>2.2239999999992244</v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1.8E-3</v>
      </c>
      <c r="AL69" s="143">
        <f>IF($G69=" ","",ROUND(ABS(_xll.RtGet(SourceAlias,$V69,ASK)-X69),4))</f>
        <v>1.8E-3</v>
      </c>
      <c r="AM69" s="143">
        <f>IF($H69=" ","",ROUND(ABS(_xll.RtGet(SourceAlias,$Y69,BID)-Z69),4))</f>
        <v>0</v>
      </c>
      <c r="AN69" s="143">
        <f>IF($H69=" ","",ROUND(ABS(_xll.RtGet(SourceAlias,$Y69,ASK)-AA69),4))</f>
        <v>0</v>
      </c>
    </row>
    <row r="70" spans="1:40" ht="11.25" customHeight="1" x14ac:dyDescent="0.2">
      <c r="A70" s="194"/>
      <c r="B70" s="50" t="s">
        <v>89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33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33" t="str">
        <f>IF(Contribute="abcd",IF($E$2&lt;&gt;-1,_xll.RtContribute(SourceAlias,Y70,Fields,Z70:AA70,"SCOPE:SERVER"),_xll.RtContribute(SourceAlias,"DDS_INSERT_S",$E$2:$G$2,Y70:AA70,"SCOPE:SERVER FTC:ALL")),"stopped")</f>
        <v>stopped</v>
      </c>
      <c r="I70" s="3" t="s">
        <v>44</v>
      </c>
      <c r="J70" s="121" t="str">
        <v>USD_CURVE_1M_60Y</v>
      </c>
      <c r="K70" s="162">
        <f>IF(J70="","",'1M Pricing'!$I70*100)</f>
        <v>2.0569160184484128</v>
      </c>
      <c r="L70" s="162">
        <f t="shared" si="22"/>
        <v>2.0569160184484128</v>
      </c>
      <c r="M70" s="121" t="str">
        <v>USD_CURVE_3M_60Y</v>
      </c>
      <c r="N70" s="162">
        <f>IF(M70="","",'3M Pricing'!$I70*100)</f>
        <v>2.2100255073285968</v>
      </c>
      <c r="O70" s="119">
        <f t="shared" si="23"/>
        <v>2.2100255073285968</v>
      </c>
      <c r="P70" s="121" t="str">
        <v>USD_CURVE_6M_60Y</v>
      </c>
      <c r="Q70" s="119">
        <f>IF(P70="","",'6M Pricing'!$I70*100)</f>
        <v>2.3631235334031988</v>
      </c>
      <c r="R70" s="119">
        <f t="shared" si="24"/>
        <v>2.3631235334031988</v>
      </c>
      <c r="S70" s="121" t="str">
        <v>USD_CURVE_12M_60Y</v>
      </c>
      <c r="T70" s="119">
        <f>IF(S70="","",'1Y Pricing'!$I70*100)</f>
        <v>2.5537406481046387</v>
      </c>
      <c r="U70" s="119">
        <f t="shared" si="25"/>
        <v>2.5537406481046387</v>
      </c>
      <c r="V70" s="121" t="str">
        <v>USD_CURVE_OIS_60Y</v>
      </c>
      <c r="W70" s="162">
        <f>IF(V70="","",'ON Pricing'!$G70*100)</f>
        <v>1.897019288755692</v>
      </c>
      <c r="X70" s="162">
        <f t="shared" si="26"/>
        <v>1.897019288755692</v>
      </c>
      <c r="Y70" s="121" t="str">
        <v>USD_CURVE_STD_60Y</v>
      </c>
      <c r="Z70" s="162">
        <f>IF(Y70="","",'STD Pricing'!$G70*100)</f>
        <v>2.210648608052606</v>
      </c>
      <c r="AA70" s="162">
        <f t="shared" si="5"/>
        <v>2.210648608052606</v>
      </c>
      <c r="AC70" s="163">
        <f>IF($C70=" ","",ROUND(ABS(_xll.RtGet(SourceAlias,$J70,BID)-K70),4))</f>
        <v>0</v>
      </c>
      <c r="AD70" s="163">
        <f>IF($C70=" ","",ROUND(ABS(_xll.RtGet(SourceAlias,$J70,ASK)-L70),4))</f>
        <v>0</v>
      </c>
      <c r="AE70" s="163">
        <f>IF($D70=" ","",ROUND(ABS(_xll.RtGet(SourceAlias,$M70,BID)-N70),4))</f>
        <v>0</v>
      </c>
      <c r="AF70" s="163">
        <f>IF($D70=" ","",ROUND(ABS(_xll.RtGet(SourceAlias,$M70,ASK)-O70),4))</f>
        <v>0</v>
      </c>
      <c r="AG70" s="163">
        <f>IF($E70=" ","",ROUND(ABS(_xll.RtGet(SourceAlias,$P70,BID)-Q70),4))</f>
        <v>0</v>
      </c>
      <c r="AH70" s="163">
        <f>IF($E70=" ","",ROUND(ABS(_xll.RtGet(SourceAlias,$P70,ASK)-R70),4))</f>
        <v>0</v>
      </c>
      <c r="AI70" s="163">
        <f>IF($F70=" ","",ROUND(ABS(_xll.RtGet(SourceAlias,$S70,BID)-T70),4))</f>
        <v>0</v>
      </c>
      <c r="AJ70" s="163">
        <f>IF($F70=" ","",ROUND(ABS(_xll.RtGet(SourceAlias,$S70,ASK)-U70),4))</f>
        <v>0</v>
      </c>
      <c r="AK70" s="163">
        <f>IF($G70=" ","",ROUND(ABS(_xll.RtGet(SourceAlias,$V70,BID)-W70),4))</f>
        <v>2.3999999999999998E-3</v>
      </c>
      <c r="AL70" s="163">
        <f>IF($G70=" ","",ROUND(ABS(_xll.RtGet(SourceAlias,$V70,ASK)-X70),4))</f>
        <v>2.3999999999999998E-3</v>
      </c>
      <c r="AM70" s="163">
        <f>IF($H70=" ","",ROUND(ABS(_xll.RtGet(SourceAlias,$Y70,BID)-Z70),4))</f>
        <v>5.9999999999999995E-4</v>
      </c>
      <c r="AN70" s="163">
        <f>IF($H70=" ","",ROUND(ABS(_xll.RtGet(SourceAlias,$Y70,ASK)-AA70),4))</f>
        <v>5.9999999999999995E-4</v>
      </c>
    </row>
  </sheetData>
  <mergeCells count="3">
    <mergeCell ref="A6:A24"/>
    <mergeCell ref="A26:A34"/>
    <mergeCell ref="A35:A70"/>
  </mergeCells>
  <conditionalFormatting sqref="C2">
    <cfRule type="cellIs" dxfId="2" priority="3" operator="equal">
      <formula>"abcd"</formula>
    </cfRule>
  </conditionalFormatting>
  <conditionalFormatting sqref="C6:G40">
    <cfRule type="containsText" dxfId="1" priority="2" operator="containsText" text="Failure">
      <formula>NOT(ISERROR(SEARCH("Failure",C6)))</formula>
    </cfRule>
  </conditionalFormatting>
  <conditionalFormatting sqref="H6:H40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0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50</v>
      </c>
      <c r="F1" s="36" t="s">
        <v>14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51</v>
      </c>
      <c r="F2" s="36" t="str">
        <f>Currency&amp;CurveTenor</f>
        <v>USD1M</v>
      </c>
      <c r="G2" s="37"/>
      <c r="H2" s="37"/>
      <c r="I2" s="98"/>
      <c r="J2" s="37"/>
      <c r="K2" s="37"/>
      <c r="L2" s="37"/>
      <c r="M2" s="37"/>
      <c r="O2" s="37"/>
      <c r="P2" s="37"/>
      <c r="Q2" s="37"/>
      <c r="R2" s="37"/>
      <c r="S2" s="23"/>
    </row>
    <row r="3" spans="1:19" x14ac:dyDescent="0.2">
      <c r="E3" s="35" t="s">
        <v>29</v>
      </c>
      <c r="F3" s="16" t="str">
        <f>IborIndexFamily&amp;CurveTenor</f>
        <v>UsdLibor1M</v>
      </c>
      <c r="G3" s="37"/>
      <c r="H3" s="37"/>
      <c r="I3" s="98"/>
      <c r="J3" s="37"/>
      <c r="K3" s="37"/>
      <c r="L3" s="37"/>
      <c r="M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5" t="s">
        <v>92</v>
      </c>
      <c r="E9" s="62" t="s">
        <v>94</v>
      </c>
      <c r="F9" s="63">
        <f t="shared" ref="F9:F20" si="0">FirstLiborFixingDate</f>
        <v>42493</v>
      </c>
      <c r="G9" s="63">
        <f>_xll.qlInterestRateIndexValueDate(M9,F9,Trigger)</f>
        <v>42495</v>
      </c>
      <c r="H9" s="63">
        <f>_xll.qlInterestRateIndexMaturity(M9,G9,Trigger)</f>
        <v>42502</v>
      </c>
      <c r="I9" s="60">
        <f>_xll.qlIndexFixing(M9,F9,TRUE,AllTriggers)</f>
        <v>4.5529999998183968E-3</v>
      </c>
      <c r="J9" s="60" t="str">
        <f>Currency&amp;"_CURVE_DEP"&amp;CurveTenor&amp;"_"&amp;"1W"</f>
        <v>USD_CURVE_DEP1M_1W</v>
      </c>
      <c r="K9" s="60"/>
      <c r="L9" s="23"/>
      <c r="M9" s="110" t="str">
        <f>_xll.qlLibor(,Currency,D9,YieldCurve,,Trigger)</f>
        <v>obj_00389#0000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13</v>
      </c>
      <c r="E10" s="53" t="s">
        <v>94</v>
      </c>
      <c r="F10" s="54">
        <f t="shared" si="0"/>
        <v>42493</v>
      </c>
      <c r="G10" s="54">
        <f>_xll.qlInterestRateIndexValueDate(M10,F10,Trigger)</f>
        <v>42495</v>
      </c>
      <c r="H10" s="54">
        <f>_xll.qlInterestRateIndexMaturity(M10,G10,Trigger)</f>
        <v>42509</v>
      </c>
      <c r="I10" s="61">
        <f>_xll.qlIndexFixing(M10,F10,TRUE,AllTriggers)</f>
        <v>4.4853605735698365E-3</v>
      </c>
      <c r="J10" s="61" t="str">
        <f t="shared" ref="J10:J20" si="1">Currency&amp;"_CURVE_DEP"&amp;CurveTenor&amp;"_"&amp;D10</f>
        <v>USD_CURVE_DEP1M_2W</v>
      </c>
      <c r="K10" s="61"/>
      <c r="L10" s="23"/>
      <c r="M10" s="52" t="str">
        <f>_xll.qlLibor(,Currency,D10,YieldCurve,,Trigger)</f>
        <v>obj_003c0#0000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65</v>
      </c>
      <c r="E11" s="53" t="s">
        <v>94</v>
      </c>
      <c r="F11" s="54">
        <f t="shared" si="0"/>
        <v>42493</v>
      </c>
      <c r="G11" s="54">
        <f>_xll.qlInterestRateIndexValueDate(M11,F11,Trigger)</f>
        <v>42495</v>
      </c>
      <c r="H11" s="54">
        <f>_xll.qlInterestRateIndexMaturity(M11,G11,Trigger)</f>
        <v>42516</v>
      </c>
      <c r="I11" s="61">
        <f>_xll.qlIndexFixing(M11,F11,TRUE,AllTriggers)</f>
        <v>4.4294941841562163E-3</v>
      </c>
      <c r="J11" s="61" t="str">
        <f t="shared" si="1"/>
        <v>USD_CURVE_DEP1M_3W</v>
      </c>
      <c r="K11" s="61"/>
      <c r="L11" s="23"/>
      <c r="M11" s="52" t="str">
        <f>_xll.qlLibor(,Currency,D11,YieldCurve,,Trigger)</f>
        <v>obj_003db#0000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14</v>
      </c>
      <c r="E12" s="53" t="s">
        <v>94</v>
      </c>
      <c r="F12" s="54">
        <f t="shared" si="0"/>
        <v>42493</v>
      </c>
      <c r="G12" s="54">
        <f>_xll.qlInterestRateIndexValueDate(M12,F12,Trigger)</f>
        <v>42495</v>
      </c>
      <c r="H12" s="54">
        <f>_xll.qlInterestRateIndexMaturity(M12,G12,Trigger)</f>
        <v>42527</v>
      </c>
      <c r="I12" s="61">
        <f>_xll.qlIndexFixing(M12,F12,TRUE,AllTriggers)</f>
        <v>4.3880000000001695E-3</v>
      </c>
      <c r="J12" s="61" t="str">
        <f t="shared" si="1"/>
        <v>USD_CURVE_DEP1M_1M</v>
      </c>
      <c r="K12" s="61"/>
      <c r="L12" s="23"/>
      <c r="M12" s="52" t="str">
        <f>_xll.qlLibor(,Currency,D12,YieldCurve,,Trigger)</f>
        <v>obj_0040a#0000</v>
      </c>
      <c r="R12" s="23"/>
      <c r="S12" s="23"/>
    </row>
    <row r="13" spans="1:19" x14ac:dyDescent="0.2">
      <c r="A13" s="23"/>
      <c r="B13" s="23"/>
      <c r="C13" s="23"/>
      <c r="D13" s="46" t="s">
        <v>15</v>
      </c>
      <c r="E13" s="53" t="s">
        <v>94</v>
      </c>
      <c r="F13" s="54">
        <f t="shared" si="0"/>
        <v>42493</v>
      </c>
      <c r="G13" s="54">
        <f>_xll.qlInterestRateIndexValueDate(M13,F13,Trigger)</f>
        <v>42495</v>
      </c>
      <c r="H13" s="54">
        <f>_xll.qlInterestRateIndexMaturity(M13,G13,Trigger)</f>
        <v>42556</v>
      </c>
      <c r="I13" s="61">
        <f>_xll.qlIndexFixing(M13,F13,TRUE,AllTriggers)</f>
        <v>4.4689153452992514E-3</v>
      </c>
      <c r="J13" s="61" t="str">
        <f t="shared" si="1"/>
        <v>USD_CURVE_DEP1M_2M</v>
      </c>
      <c r="K13" s="61"/>
      <c r="M13" s="52" t="str">
        <f>_xll.qlLibor(,Currency,D13,YieldCurve,,Trigger)</f>
        <v>obj_00433#0000</v>
      </c>
      <c r="R13" s="23"/>
      <c r="S13" s="23"/>
    </row>
    <row r="14" spans="1:19" x14ac:dyDescent="0.2">
      <c r="A14" s="23"/>
      <c r="B14" s="23"/>
      <c r="C14" s="23"/>
      <c r="D14" s="46" t="s">
        <v>16</v>
      </c>
      <c r="E14" s="53" t="s">
        <v>94</v>
      </c>
      <c r="F14" s="54">
        <f t="shared" si="0"/>
        <v>42493</v>
      </c>
      <c r="G14" s="54">
        <f>_xll.qlInterestRateIndexValueDate(M14,F14,Trigger)</f>
        <v>42495</v>
      </c>
      <c r="H14" s="54">
        <f>_xll.qlInterestRateIndexMaturity(M14,G14,Trigger)</f>
        <v>42587</v>
      </c>
      <c r="I14" s="61">
        <f>_xll.qlIndexFixing(M14,F14,TRUE,AllTriggers)</f>
        <v>4.6302980475053804E-3</v>
      </c>
      <c r="J14" s="61" t="str">
        <f t="shared" si="1"/>
        <v>USD_CURVE_DEP1M_3M</v>
      </c>
      <c r="K14" s="61"/>
      <c r="M14" s="52" t="str">
        <f>_xll.qlLibor(,Currency,D14,YieldCurve,,Trigger)</f>
        <v>obj_00432#0000</v>
      </c>
      <c r="R14" s="23"/>
      <c r="S14" s="23"/>
    </row>
    <row r="15" spans="1:19" x14ac:dyDescent="0.2">
      <c r="A15" s="23"/>
      <c r="B15" s="23"/>
      <c r="C15" s="23"/>
      <c r="D15" s="46" t="s">
        <v>17</v>
      </c>
      <c r="E15" s="53" t="s">
        <v>94</v>
      </c>
      <c r="F15" s="54">
        <f t="shared" si="0"/>
        <v>42493</v>
      </c>
      <c r="G15" s="54">
        <f>_xll.qlInterestRateIndexValueDate(M15,F15,Trigger)</f>
        <v>42495</v>
      </c>
      <c r="H15" s="54">
        <f>_xll.qlInterestRateIndexMaturity(M15,G15,Trigger)</f>
        <v>42619</v>
      </c>
      <c r="I15" s="61">
        <f>_xll.qlIndexFixing(M15,F15,TRUE,AllTriggers)</f>
        <v>4.8086670949067864E-3</v>
      </c>
      <c r="J15" s="61" t="str">
        <f t="shared" si="1"/>
        <v>USD_CURVE_DEP1M_4M</v>
      </c>
      <c r="K15" s="61"/>
      <c r="M15" s="81" t="str">
        <f>_xll.qlLibor(,Currency,D15,YieldCurve,,Trigger)</f>
        <v>obj_0041e#0000</v>
      </c>
      <c r="R15" s="23"/>
      <c r="S15" s="23"/>
    </row>
    <row r="16" spans="1:19" x14ac:dyDescent="0.2">
      <c r="A16" s="23"/>
      <c r="B16" s="23"/>
      <c r="C16" s="23"/>
      <c r="D16" s="46" t="s">
        <v>18</v>
      </c>
      <c r="E16" s="53" t="s">
        <v>94</v>
      </c>
      <c r="F16" s="54">
        <f t="shared" si="0"/>
        <v>42493</v>
      </c>
      <c r="G16" s="54">
        <f>_xll.qlInterestRateIndexValueDate(M16,F16,Trigger)</f>
        <v>42495</v>
      </c>
      <c r="H16" s="54">
        <f>_xll.qlInterestRateIndexMaturity(M16,G16,Trigger)</f>
        <v>42648</v>
      </c>
      <c r="I16" s="61">
        <f>_xll.qlIndexFixing(M16,F16,TRUE,AllTriggers)</f>
        <v>4.9754256017674279E-3</v>
      </c>
      <c r="J16" s="61" t="str">
        <f t="shared" si="1"/>
        <v>USD_CURVE_DEP1M_5M</v>
      </c>
      <c r="K16" s="61"/>
      <c r="M16" s="52" t="str">
        <f>_xll.qlLibor(,Currency,D16,YieldCurve,,Trigger)</f>
        <v>obj_0042f#0000</v>
      </c>
      <c r="R16" s="23"/>
      <c r="S16" s="23"/>
    </row>
    <row r="17" spans="1:19" x14ac:dyDescent="0.2">
      <c r="A17" s="23"/>
      <c r="B17" s="23"/>
      <c r="C17" s="23"/>
      <c r="D17" s="46" t="s">
        <v>11</v>
      </c>
      <c r="E17" s="53" t="s">
        <v>94</v>
      </c>
      <c r="F17" s="54">
        <f t="shared" si="0"/>
        <v>42493</v>
      </c>
      <c r="G17" s="54">
        <f>_xll.qlInterestRateIndexValueDate(M17,F17,Trigger)</f>
        <v>42495</v>
      </c>
      <c r="H17" s="54">
        <f>_xll.qlInterestRateIndexMaturity(M17,G17,Trigger)</f>
        <v>42681</v>
      </c>
      <c r="I17" s="61">
        <f>_xll.qlIndexFixing(M17,F17,TRUE,AllTriggers)</f>
        <v>5.1709230301909938E-3</v>
      </c>
      <c r="J17" s="61" t="str">
        <f t="shared" si="1"/>
        <v>USD_CURVE_DEP1M_6M</v>
      </c>
      <c r="K17" s="61"/>
      <c r="M17" s="52" t="str">
        <f>_xll.qlLibor(,Currency,D17,YieldCurve,,Trigger)</f>
        <v>obj_003cb#0000</v>
      </c>
      <c r="R17" s="23"/>
      <c r="S17" s="23"/>
    </row>
    <row r="18" spans="1:19" x14ac:dyDescent="0.2">
      <c r="A18" s="23"/>
      <c r="B18" s="23"/>
      <c r="C18" s="23"/>
      <c r="D18" s="46" t="s">
        <v>59</v>
      </c>
      <c r="E18" s="53" t="s">
        <v>94</v>
      </c>
      <c r="F18" s="54">
        <f t="shared" si="0"/>
        <v>42493</v>
      </c>
      <c r="G18" s="54">
        <f>_xll.qlInterestRateIndexValueDate(M18,F18,Trigger)</f>
        <v>42495</v>
      </c>
      <c r="H18" s="54">
        <f>_xll.qlInterestRateIndexMaturity(M18,G18,Trigger)</f>
        <v>42709</v>
      </c>
      <c r="I18" s="61">
        <f>_xll.qlIndexFixing(M18,F18,TRUE,AllTriggers)</f>
        <v>5.3404314648392796E-3</v>
      </c>
      <c r="J18" s="61" t="str">
        <f t="shared" si="1"/>
        <v>USD_CURVE_DEP1M_7M</v>
      </c>
      <c r="K18" s="61"/>
      <c r="M18" s="52" t="str">
        <f>_xll.qlLibor(,Currency,D18,YieldCurve,,Trigger)</f>
        <v>obj_003f4#0000</v>
      </c>
      <c r="R18" s="23"/>
      <c r="S18" s="23"/>
    </row>
    <row r="19" spans="1:19" x14ac:dyDescent="0.2">
      <c r="A19" s="23"/>
      <c r="B19" s="23"/>
      <c r="C19" s="23"/>
      <c r="D19" s="46" t="s">
        <v>60</v>
      </c>
      <c r="E19" s="53" t="s">
        <v>94</v>
      </c>
      <c r="F19" s="54">
        <f t="shared" si="0"/>
        <v>42493</v>
      </c>
      <c r="G19" s="54">
        <f>_xll.qlInterestRateIndexValueDate(M19,F19,Trigger)</f>
        <v>42495</v>
      </c>
      <c r="H19" s="54">
        <f>_xll.qlInterestRateIndexMaturity(M19,G19,Trigger)</f>
        <v>42740</v>
      </c>
      <c r="I19" s="61">
        <f>_xll.qlIndexFixing(M19,F19,TRUE,AllTriggers)</f>
        <v>5.5264386429412045E-3</v>
      </c>
      <c r="J19" s="61" t="str">
        <f t="shared" si="1"/>
        <v>USD_CURVE_DEP1M_8M</v>
      </c>
      <c r="K19" s="61"/>
      <c r="M19" s="81" t="str">
        <f>_xll.qlLibor(,Currency,D19,YieldCurve,,Trigger)</f>
        <v>obj_003cc#0000</v>
      </c>
      <c r="R19" s="23"/>
      <c r="S19" s="23"/>
    </row>
    <row r="20" spans="1:19" x14ac:dyDescent="0.2">
      <c r="A20" s="23"/>
      <c r="B20" s="23"/>
      <c r="C20" s="23"/>
      <c r="D20" s="46" t="s">
        <v>19</v>
      </c>
      <c r="E20" s="53" t="s">
        <v>94</v>
      </c>
      <c r="F20" s="54">
        <f t="shared" si="0"/>
        <v>42493</v>
      </c>
      <c r="G20" s="54">
        <f>_xll.qlInterestRateIndexValueDate(M20,F20,Trigger)</f>
        <v>42495</v>
      </c>
      <c r="H20" s="54">
        <f>_xll.qlInterestRateIndexMaturity(M20,G20,Trigger)</f>
        <v>42772</v>
      </c>
      <c r="I20" s="61">
        <f>_xll.qlIndexFixing(M20,F20,TRUE,AllTriggers)</f>
        <v>5.711876225486621E-3</v>
      </c>
      <c r="J20" s="61" t="str">
        <f t="shared" si="1"/>
        <v>USD_CURVE_DEP1M_9M</v>
      </c>
      <c r="K20" s="61"/>
      <c r="M20" s="52" t="str">
        <f>_xll.qlLibor(,Currency,D20,YieldCurve,,Trigger)</f>
        <v>obj_003fb#0000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2"/>
      <c r="R23" s="23"/>
      <c r="S23" s="23"/>
    </row>
    <row r="24" spans="1:19" x14ac:dyDescent="0.2">
      <c r="A24" s="23"/>
      <c r="B24" s="180">
        <f>_xll.qlDayCounterYearFraction("actual/360",$G$20,C24,,,Trigger)</f>
        <v>0.63888888888888884</v>
      </c>
      <c r="C24" s="166">
        <f>_xll.qlIMMNextDate(_xll.qlIMMNextCode(_xll.qlIMMNextCode(EvaluationDate+FuturesRollDays)))</f>
        <v>42725</v>
      </c>
      <c r="D24" s="45" t="str">
        <f>"#"&amp;YEAR(C24)&amp;IF(LEN(MONTH(C24))=1,"0","")&amp;MONTH(C24)&amp;IF(LEN(DAY(C24))=1,"0","")&amp;DAY(C24)</f>
        <v>#20161221</v>
      </c>
      <c r="E24" s="62" t="s">
        <v>109</v>
      </c>
      <c r="F24" s="63"/>
      <c r="G24" s="63"/>
      <c r="H24" s="63"/>
      <c r="I24" s="60">
        <f>(_xll.qlYieldTSDiscount(YieldCurve,$G$20,,AllTriggers)/_xll.qlYieldTSDiscount(YieldCurve,C24,,AllTriggers)-1)/B24</f>
        <v>5.4369815112730461E-3</v>
      </c>
      <c r="J24" s="60" t="str">
        <f>Currency&amp;"_CURVE_DEP"&amp;CurveTenor&amp;"_"&amp;D24</f>
        <v>USD_CURVE_DEP1M_#20161221</v>
      </c>
      <c r="K24" s="60"/>
      <c r="M24" s="58"/>
      <c r="R24" s="23"/>
      <c r="S24" s="23"/>
    </row>
    <row r="25" spans="1:19" x14ac:dyDescent="0.2">
      <c r="A25" s="23"/>
      <c r="B25" s="180">
        <f>_xll.qlDayCounterYearFraction("actual/360",$G$20,C25,,,Trigger)</f>
        <v>0.87222222222222223</v>
      </c>
      <c r="C25" s="166">
        <f>_xll.qlIMMNextDate(C24)</f>
        <v>42809</v>
      </c>
      <c r="D25" s="47" t="str">
        <f>"#"&amp;YEAR(C25)&amp;IF(LEN(MONTH(C25))=1,"0","")&amp;MONTH(C25)&amp;IF(LEN(DAY(C25))=1,"0","")&amp;DAY(C25)</f>
        <v>#20170315</v>
      </c>
      <c r="E25" s="55" t="s">
        <v>109</v>
      </c>
      <c r="F25" s="56"/>
      <c r="G25" s="56"/>
      <c r="H25" s="56"/>
      <c r="I25" s="57">
        <f>(_xll.qlYieldTSDiscount(YieldCurve,$G$20,,AllTriggers)/_xll.qlYieldTSDiscount(YieldCurve,C25,,AllTriggers)-1)/B25</f>
        <v>5.9146129012449282E-3</v>
      </c>
      <c r="J25" s="57" t="str">
        <f>Currency&amp;"_CURVE_DEP"&amp;CurveTenor&amp;"_"&amp;D25</f>
        <v>USD_CURVE_DEP1M_#20170315</v>
      </c>
      <c r="K25" s="57"/>
      <c r="M25" s="35" t="s">
        <v>115</v>
      </c>
      <c r="R25" s="23"/>
      <c r="S25" s="23"/>
    </row>
    <row r="26" spans="1:19" x14ac:dyDescent="0.2">
      <c r="A26" s="23"/>
      <c r="B26" s="23"/>
      <c r="C26" s="23" t="b">
        <v>1</v>
      </c>
      <c r="D26" s="186" t="str">
        <f t="array" ref="D26:D34">_xll.qlIMMNextCodes(EvaluationDate+2,C26:C34)</f>
        <v>M6</v>
      </c>
      <c r="E26" s="62" t="s">
        <v>98</v>
      </c>
      <c r="F26" s="63">
        <f>_xll.qlInterestRateIndexFixingDate(IborIndex,G26)</f>
        <v>42534</v>
      </c>
      <c r="G26" s="63">
        <f>_xll.qlIMMdate(D26,,Trigger)</f>
        <v>42536</v>
      </c>
      <c r="H26" s="63">
        <f>_xll.qlInterestRateIndexMaturity(IborIndex,G26)</f>
        <v>42566</v>
      </c>
      <c r="I26" s="175">
        <f>(1-_xll.qlIndexFixing($M$26,F26,TRUE,AllTriggers))*100</f>
        <v>99.493546202149801</v>
      </c>
      <c r="J26" s="61" t="str">
        <f t="shared" ref="J26:J34" si="2">Currency&amp;"_CURVE_"&amp;E26&amp;CurveTenor&amp;"_"&amp;D26</f>
        <v>USD_CURVE_FUT1M_M6</v>
      </c>
      <c r="K26" s="61"/>
      <c r="M26" s="65" t="str">
        <f>_xll.qlLibor(,Currency,"3M",YieldCurve,,Trigger)</f>
        <v>obj_00388#0000</v>
      </c>
      <c r="R26" s="23"/>
      <c r="S26" s="23"/>
    </row>
    <row r="27" spans="1:19" x14ac:dyDescent="0.2">
      <c r="A27" s="23"/>
      <c r="B27" s="23"/>
      <c r="C27" s="23" t="b">
        <v>1</v>
      </c>
      <c r="D27" s="187" t="str">
        <v>U6</v>
      </c>
      <c r="E27" s="53" t="s">
        <v>98</v>
      </c>
      <c r="F27" s="54">
        <f>_xll.qlInterestRateIndexFixingDate(IborIndex,G27)</f>
        <v>42632</v>
      </c>
      <c r="G27" s="54">
        <f>_xll.qlIMMdate(D27,,Trigger)</f>
        <v>42634</v>
      </c>
      <c r="H27" s="54">
        <f>_xll.qlInterestRateIndexMaturity(IborIndex,G27)</f>
        <v>42664</v>
      </c>
      <c r="I27" s="176">
        <f>(1-_xll.qlIndexFixing($M$26,F27,TRUE,AllTriggers))*100</f>
        <v>99.37459472099836</v>
      </c>
      <c r="J27" s="61" t="str">
        <f t="shared" si="2"/>
        <v>USD_CURVE_FUT1M_U6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87" t="str">
        <v>Z6</v>
      </c>
      <c r="E28" s="53" t="s">
        <v>98</v>
      </c>
      <c r="F28" s="54">
        <f>_xll.qlInterestRateIndexFixingDate(IborIndex,G28)</f>
        <v>42723</v>
      </c>
      <c r="G28" s="54">
        <f>_xll.qlIMMdate(D28,,Trigger)</f>
        <v>42725</v>
      </c>
      <c r="H28" s="54">
        <f>_xll.qlInterestRateIndexMaturity(IborIndex,G28)</f>
        <v>42758</v>
      </c>
      <c r="I28" s="176">
        <f>(1-_xll.qlIndexFixing($M$26,F28,TRUE,AllTriggers))*100</f>
        <v>99.277731984136693</v>
      </c>
      <c r="J28" s="61" t="str">
        <f t="shared" si="2"/>
        <v>USD_CURVE_FUT1M_Z6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87" t="str">
        <v>H7</v>
      </c>
      <c r="E29" s="53" t="s">
        <v>98</v>
      </c>
      <c r="F29" s="54">
        <f>_xll.qlInterestRateIndexFixingDate(IborIndex,G29)</f>
        <v>42807</v>
      </c>
      <c r="G29" s="54">
        <f>_xll.qlIMMdate(D29,,Trigger)</f>
        <v>42809</v>
      </c>
      <c r="H29" s="54">
        <f>_xll.qlInterestRateIndexMaturity(IborIndex,G29)</f>
        <v>42843</v>
      </c>
      <c r="I29" s="176">
        <f>(1-_xll.qlIndexFixing($M$26,F29,TRUE,AllTriggers))*100</f>
        <v>99.214429120472772</v>
      </c>
      <c r="J29" s="61" t="str">
        <f t="shared" si="2"/>
        <v>USD_CURVE_FUT1M_H7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87" t="str">
        <v>M7</v>
      </c>
      <c r="E30" s="53" t="s">
        <v>98</v>
      </c>
      <c r="F30" s="54">
        <f>_xll.qlInterestRateIndexFixingDate(IborIndex,G30)</f>
        <v>42905</v>
      </c>
      <c r="G30" s="54">
        <f>_xll.qlIMMdate(D30,,Trigger)</f>
        <v>42907</v>
      </c>
      <c r="H30" s="54">
        <f>_xll.qlInterestRateIndexMaturity(IborIndex,G30)</f>
        <v>42937</v>
      </c>
      <c r="I30" s="176">
        <f>(1-_xll.qlIndexFixing($M$26,F30,TRUE,AllTriggers))*100</f>
        <v>99.152867853036952</v>
      </c>
      <c r="J30" s="61" t="str">
        <f t="shared" si="2"/>
        <v>USD_CURVE_FUT1M_M7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87" t="str">
        <v>U7</v>
      </c>
      <c r="E31" s="53" t="s">
        <v>98</v>
      </c>
      <c r="F31" s="54">
        <f>_xll.qlInterestRateIndexFixingDate(IborIndex,G31)</f>
        <v>42996</v>
      </c>
      <c r="G31" s="54">
        <f>_xll.qlIMMdate(D31,,Trigger)</f>
        <v>42998</v>
      </c>
      <c r="H31" s="54">
        <f>_xll.qlInterestRateIndexMaturity(IborIndex,G31)</f>
        <v>43028</v>
      </c>
      <c r="I31" s="176">
        <f>(1-_xll.qlIndexFixing($M$26,F31,TRUE,AllTriggers))*100</f>
        <v>99.093263971953434</v>
      </c>
      <c r="J31" s="61" t="str">
        <f t="shared" si="2"/>
        <v>USD_CURVE_FUT1M_U7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87" t="str">
        <v>Z7</v>
      </c>
      <c r="E32" s="53" t="s">
        <v>98</v>
      </c>
      <c r="F32" s="54">
        <f>_xll.qlInterestRateIndexFixingDate(IborIndex,G32)</f>
        <v>43087</v>
      </c>
      <c r="G32" s="54">
        <f>_xll.qlIMMdate(D32,,Trigger)</f>
        <v>43089</v>
      </c>
      <c r="H32" s="54">
        <f>_xll.qlInterestRateIndexMaturity(IborIndex,G32)</f>
        <v>43122</v>
      </c>
      <c r="I32" s="176">
        <f>(1-_xll.qlIndexFixing($M$26,F32,TRUE,AllTriggers))*100</f>
        <v>99.030318436644109</v>
      </c>
      <c r="J32" s="61" t="str">
        <f t="shared" si="2"/>
        <v>USD_CURVE_FUT1M_Z7</v>
      </c>
      <c r="K32" s="61"/>
      <c r="R32" s="23"/>
      <c r="S32" s="23"/>
    </row>
    <row r="33" spans="1:19" x14ac:dyDescent="0.2">
      <c r="A33" s="23"/>
      <c r="B33" s="23"/>
      <c r="C33" s="23" t="b">
        <v>1</v>
      </c>
      <c r="D33" s="187" t="str">
        <v>H8</v>
      </c>
      <c r="E33" s="53" t="s">
        <v>98</v>
      </c>
      <c r="F33" s="54">
        <f>_xll.qlInterestRateIndexFixingDate(IborIndex,G33)</f>
        <v>43178</v>
      </c>
      <c r="G33" s="54">
        <f>_xll.qlIMMdate(D33,,Trigger)</f>
        <v>43180</v>
      </c>
      <c r="H33" s="54">
        <f>_xll.qlInterestRateIndexMaturity(IborIndex,G33)</f>
        <v>43213</v>
      </c>
      <c r="I33" s="176">
        <f>(1-_xll.qlIndexFixing($M$26,F33,TRUE,AllTriggers))*100</f>
        <v>98.962945003027585</v>
      </c>
      <c r="J33" s="61" t="str">
        <f t="shared" ref="J33" si="3">Currency&amp;"_CURVE_"&amp;E33&amp;CurveTenor&amp;"_"&amp;D33</f>
        <v>USD_CURVE_FUT1M_H8</v>
      </c>
      <c r="K33" s="61"/>
      <c r="R33" s="23"/>
      <c r="S33" s="23"/>
    </row>
    <row r="34" spans="1:19" x14ac:dyDescent="0.2">
      <c r="A34" s="23"/>
      <c r="B34" s="23"/>
      <c r="C34" s="23" t="b">
        <v>1</v>
      </c>
      <c r="D34" s="187" t="str">
        <v>M8</v>
      </c>
      <c r="E34" s="53" t="s">
        <v>98</v>
      </c>
      <c r="F34" s="54">
        <f>_xll.qlInterestRateIndexFixingDate(IborIndex,G34)</f>
        <v>43269</v>
      </c>
      <c r="G34" s="54">
        <f>_xll.qlIMMdate(D34,,Trigger)</f>
        <v>43271</v>
      </c>
      <c r="H34" s="54">
        <f>_xll.qlInterestRateIndexMaturity(IborIndex,G34)</f>
        <v>43301</v>
      </c>
      <c r="I34" s="176">
        <f>(1-_xll.qlIndexFixing($M$26,F34,TRUE,AllTriggers))*100</f>
        <v>98.895422092703981</v>
      </c>
      <c r="J34" s="61" t="str">
        <f t="shared" si="2"/>
        <v>USD_CURVE_FUT1M_M8</v>
      </c>
      <c r="K34" s="61"/>
      <c r="M34" s="59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</row>
    <row r="35" spans="1:19" x14ac:dyDescent="0.2">
      <c r="D35" s="45" t="s">
        <v>20</v>
      </c>
      <c r="E35" s="62" t="s">
        <v>92</v>
      </c>
      <c r="F35" s="63">
        <f>SwapFixingDate</f>
        <v>42493</v>
      </c>
      <c r="G35" s="63">
        <f>_xll.qlInterestRateIndexValueDate(M35,F35)</f>
        <v>42495</v>
      </c>
      <c r="H35" s="63">
        <f>_xll.qlInterestRateIndexMaturity(M35,G35)</f>
        <v>42860</v>
      </c>
      <c r="I35" s="60">
        <f>_xll.qlIndexFixing(M35,F35,TRUE,AllTriggers)</f>
        <v>6.1700000118381487E-3</v>
      </c>
      <c r="J35" s="60" t="str">
        <f t="shared" ref="J35:J63" si="4">Currency&amp;"_CURVE_"&amp;CurveTenor&amp;"_"&amp;D35</f>
        <v>USD_CURVE_1M_1Y</v>
      </c>
      <c r="K35" s="60" t="s">
        <v>150</v>
      </c>
      <c r="L35" s="51"/>
      <c r="M35" s="52" t="str">
        <f>_xll.qlSwapIndex(,"NoFix",D35,2,Currency,JoinCalendar,FixedLegTenor,FixedLegBDC,FixedLegDayCounter,IborIndex,DiscountingCurve,,Trigger)</f>
        <v>obj_003cd#0000</v>
      </c>
      <c r="N35" s="34"/>
      <c r="O35" s="36" t="s">
        <v>20</v>
      </c>
      <c r="P35" s="36" t="s">
        <v>37</v>
      </c>
      <c r="Q35" s="36" t="s">
        <v>93</v>
      </c>
      <c r="S35" s="23"/>
    </row>
    <row r="36" spans="1:19" x14ac:dyDescent="0.2">
      <c r="D36" s="46"/>
      <c r="E36" s="5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1:19" x14ac:dyDescent="0.2">
      <c r="D37" s="46"/>
      <c r="E37" s="13"/>
      <c r="F37" s="54"/>
      <c r="G37" s="54"/>
      <c r="H37" s="54"/>
      <c r="I37" s="61"/>
      <c r="J37" s="61"/>
      <c r="K37" s="61"/>
      <c r="L37" s="51"/>
      <c r="M37" s="52"/>
      <c r="N37" s="34"/>
      <c r="O37" s="37"/>
      <c r="P37" s="37"/>
      <c r="Q37" s="37"/>
      <c r="S37" s="23"/>
    </row>
    <row r="38" spans="1:19" x14ac:dyDescent="0.2">
      <c r="D38" s="46"/>
      <c r="E38" s="13"/>
      <c r="F38" s="54"/>
      <c r="G38" s="54"/>
      <c r="H38" s="54"/>
      <c r="I38" s="61"/>
      <c r="J38" s="61"/>
      <c r="K38" s="61"/>
      <c r="L38" s="51"/>
      <c r="M38" s="52"/>
      <c r="N38" s="34"/>
      <c r="O38" s="37"/>
      <c r="P38" s="37"/>
      <c r="Q38" s="37"/>
      <c r="S38" s="23"/>
    </row>
    <row r="39" spans="1:19" x14ac:dyDescent="0.2">
      <c r="D39" s="46" t="s">
        <v>21</v>
      </c>
      <c r="E39" s="13" t="s">
        <v>92</v>
      </c>
      <c r="F39" s="54">
        <f t="shared" ref="F39:F70" si="5">SwapFixingDate</f>
        <v>42493</v>
      </c>
      <c r="G39" s="54">
        <f>_xll.qlInterestRateIndexValueDate(M39,F39)</f>
        <v>42495</v>
      </c>
      <c r="H39" s="54">
        <f>_xll.qlInterestRateIndexMaturity(M39,G39)</f>
        <v>43228</v>
      </c>
      <c r="I39" s="61">
        <f>_xll.qlIndexFixing(M39,F39,TRUE,AllTriggers)</f>
        <v>7.6445282512840138E-3</v>
      </c>
      <c r="J39" s="61" t="str">
        <f t="shared" si="4"/>
        <v>USD_CURVE_1M_2Y</v>
      </c>
      <c r="K39" s="61" t="s">
        <v>151</v>
      </c>
      <c r="L39" s="51"/>
      <c r="M39" s="52" t="str">
        <f>_xll.qlSwapIndex(,"NoFix",D39,2,Currency,JoinCalendar,FixedLegTenor,FixedLegBDC,FixedLegDayCounter,IborIndex,DiscountingCurve,,Trigger)</f>
        <v>obj_003de#0000</v>
      </c>
      <c r="N39" s="34"/>
      <c r="O39" s="37"/>
      <c r="P39" s="37"/>
      <c r="Q39" s="37"/>
      <c r="S39" s="23"/>
    </row>
    <row r="40" spans="1:19" x14ac:dyDescent="0.2">
      <c r="D40" s="46" t="s">
        <v>22</v>
      </c>
      <c r="E40" s="13" t="s">
        <v>92</v>
      </c>
      <c r="F40" s="54">
        <f t="shared" si="5"/>
        <v>42493</v>
      </c>
      <c r="G40" s="54">
        <f>_xll.qlInterestRateIndexValueDate(M40,F40)</f>
        <v>42495</v>
      </c>
      <c r="H40" s="54">
        <f>_xll.qlInterestRateIndexMaturity(M40,G40)</f>
        <v>43592</v>
      </c>
      <c r="I40" s="61">
        <f>_xll.qlIndexFixing(M40,F40,TRUE,AllTriggers)</f>
        <v>8.9940652167532359E-3</v>
      </c>
      <c r="J40" s="61" t="str">
        <f t="shared" si="4"/>
        <v>USD_CURVE_1M_3Y</v>
      </c>
      <c r="K40" s="61" t="s">
        <v>152</v>
      </c>
      <c r="L40" s="23"/>
      <c r="M40" s="52" t="str">
        <f>_xll.qlSwapIndex(,"NoFix",D40,2,Currency,JoinCalendar,FixedLegTenor,FixedLegBDC,FixedLegDayCounter,IborIndex,DiscountingCurve,,Trigger)</f>
        <v>obj_003b3#0000</v>
      </c>
      <c r="N40" s="34"/>
      <c r="O40" s="37"/>
      <c r="P40" s="34"/>
      <c r="Q40" s="37"/>
      <c r="S40" s="23"/>
    </row>
    <row r="41" spans="1:19" x14ac:dyDescent="0.2">
      <c r="D41" s="46" t="s">
        <v>23</v>
      </c>
      <c r="E41" s="13" t="s">
        <v>92</v>
      </c>
      <c r="F41" s="54">
        <f t="shared" si="5"/>
        <v>42493</v>
      </c>
      <c r="G41" s="54">
        <f>_xll.qlInterestRateIndexValueDate(M41,F41)</f>
        <v>42495</v>
      </c>
      <c r="H41" s="54">
        <f>_xll.qlInterestRateIndexMaturity(M41,G41)</f>
        <v>43956</v>
      </c>
      <c r="I41" s="61">
        <f>_xll.qlIndexFixing(M41,F41,TRUE,AllTriggers)</f>
        <v>1.0263673228713965E-2</v>
      </c>
      <c r="J41" s="61" t="str">
        <f t="shared" si="4"/>
        <v>USD_CURVE_1M_4Y</v>
      </c>
      <c r="K41" s="61" t="s">
        <v>153</v>
      </c>
      <c r="L41" s="23"/>
      <c r="M41" s="52" t="str">
        <f>_xll.qlSwapIndex(,"NoFix",D41,2,Currency,JoinCalendar,FixedLegTenor,FixedLegBDC,FixedLegDayCounter,IborIndex,DiscountingCurve,,Trigger)</f>
        <v>obj_003f0#0000</v>
      </c>
      <c r="N41" s="34"/>
      <c r="O41" s="37"/>
      <c r="P41" s="37"/>
      <c r="Q41" s="34"/>
      <c r="S41" s="23"/>
    </row>
    <row r="42" spans="1:19" x14ac:dyDescent="0.2">
      <c r="D42" s="46" t="s">
        <v>24</v>
      </c>
      <c r="E42" s="13" t="s">
        <v>92</v>
      </c>
      <c r="F42" s="54">
        <f t="shared" si="5"/>
        <v>42493</v>
      </c>
      <c r="G42" s="54">
        <f>_xll.qlInterestRateIndexValueDate(M42,F42)</f>
        <v>42495</v>
      </c>
      <c r="H42" s="54">
        <f>_xll.qlInterestRateIndexMaturity(M42,G42)</f>
        <v>44321</v>
      </c>
      <c r="I42" s="61">
        <f>_xll.qlIndexFixing(M42,F42,TRUE,AllTriggers)</f>
        <v>1.1433312152932624E-2</v>
      </c>
      <c r="J42" s="61" t="str">
        <f t="shared" si="4"/>
        <v>USD_CURVE_1M_5Y</v>
      </c>
      <c r="K42" s="61" t="s">
        <v>154</v>
      </c>
      <c r="L42" s="23"/>
      <c r="M42" s="52" t="str">
        <f>_xll.qlSwapIndex(,"NoFix",D42,2,Currency,JoinCalendar,FixedLegTenor,FixedLegBDC,FixedLegDayCounter,IborIndex,DiscountingCurve,,Trigger)</f>
        <v>obj_003c2#0000</v>
      </c>
      <c r="N42" s="34"/>
      <c r="O42" s="37"/>
      <c r="P42" s="34"/>
      <c r="Q42" s="37"/>
      <c r="S42" s="23"/>
    </row>
    <row r="43" spans="1:19" x14ac:dyDescent="0.2">
      <c r="D43" s="46" t="s">
        <v>66</v>
      </c>
      <c r="E43" s="13" t="s">
        <v>92</v>
      </c>
      <c r="F43" s="54">
        <f t="shared" si="5"/>
        <v>42493</v>
      </c>
      <c r="G43" s="54">
        <f>_xll.qlInterestRateIndexValueDate(M43,F43)</f>
        <v>42495</v>
      </c>
      <c r="H43" s="54">
        <f>_xll.qlInterestRateIndexMaturity(M43,G43)</f>
        <v>44686</v>
      </c>
      <c r="I43" s="61">
        <f>_xll.qlIndexFixing(M43,F43,TRUE,AllTriggers)</f>
        <v>1.2573082726891132E-2</v>
      </c>
      <c r="J43" s="61" t="str">
        <f t="shared" si="4"/>
        <v>USD_CURVE_1M_6Y</v>
      </c>
      <c r="K43" s="61" t="s">
        <v>155</v>
      </c>
      <c r="L43" s="23"/>
      <c r="M43" s="52" t="str">
        <f>_xll.qlSwapIndex(,"NoFix",D43,2,Currency,JoinCalendar,FixedLegTenor,FixedLegBDC,FixedLegDayCounter,IborIndex,DiscountingCurve,,Trigger)</f>
        <v>obj_003f5#0000</v>
      </c>
      <c r="N43" s="34"/>
      <c r="O43" s="37"/>
      <c r="P43" s="34"/>
      <c r="Q43" s="37"/>
      <c r="S43" s="23"/>
    </row>
    <row r="44" spans="1:19" x14ac:dyDescent="0.2">
      <c r="D44" s="46" t="s">
        <v>25</v>
      </c>
      <c r="E44" s="13" t="s">
        <v>92</v>
      </c>
      <c r="F44" s="54">
        <f t="shared" si="5"/>
        <v>42493</v>
      </c>
      <c r="G44" s="54">
        <f>_xll.qlInterestRateIndexValueDate(M44,F44)</f>
        <v>42495</v>
      </c>
      <c r="H44" s="54">
        <f>_xll.qlInterestRateIndexMaturity(M44,G44)</f>
        <v>45051</v>
      </c>
      <c r="I44" s="61">
        <f>_xll.qlIndexFixing(M44,F44,TRUE,AllTriggers)</f>
        <v>1.359299995038148E-2</v>
      </c>
      <c r="J44" s="61" t="str">
        <f t="shared" si="4"/>
        <v>USD_CURVE_1M_7Y</v>
      </c>
      <c r="K44" s="61" t="s">
        <v>156</v>
      </c>
      <c r="L44" s="23"/>
      <c r="M44" s="52" t="str">
        <f>_xll.qlSwapIndex(,"NoFix",D44,2,Currency,JoinCalendar,FixedLegTenor,FixedLegBDC,FixedLegDayCounter,IborIndex,DiscountingCurve,,Trigger)</f>
        <v>obj_003e4#0000</v>
      </c>
      <c r="N44" s="34"/>
      <c r="O44" s="37"/>
      <c r="P44" s="34"/>
      <c r="Q44" s="37"/>
      <c r="S44" s="23"/>
    </row>
    <row r="45" spans="1:19" x14ac:dyDescent="0.2">
      <c r="D45" s="46" t="s">
        <v>67</v>
      </c>
      <c r="E45" s="13" t="s">
        <v>92</v>
      </c>
      <c r="F45" s="54">
        <f t="shared" si="5"/>
        <v>42493</v>
      </c>
      <c r="G45" s="54">
        <f>_xll.qlInterestRateIndexValueDate(M45,F45)</f>
        <v>42495</v>
      </c>
      <c r="H45" s="54">
        <f>_xll.qlInterestRateIndexMaturity(M45,G45)</f>
        <v>45419</v>
      </c>
      <c r="I45" s="61">
        <f>_xll.qlIndexFixing(M45,F45,TRUE,AllTriggers)</f>
        <v>1.4492832728135068E-2</v>
      </c>
      <c r="J45" s="61" t="str">
        <f t="shared" si="4"/>
        <v>USD_CURVE_1M_8Y</v>
      </c>
      <c r="K45" s="61" t="s">
        <v>157</v>
      </c>
      <c r="L45" s="23"/>
      <c r="M45" s="52" t="str">
        <f>_xll.qlSwapIndex(,"NoFix",D45,2,Currency,JoinCalendar,FixedLegTenor,FixedLegBDC,FixedLegDayCounter,IborIndex,DiscountingCurve,,Trigger)</f>
        <v>obj_003c1#0000</v>
      </c>
      <c r="N45" s="37"/>
      <c r="O45" s="37"/>
      <c r="P45" s="23"/>
      <c r="Q45" s="23"/>
      <c r="S45" s="23"/>
    </row>
    <row r="46" spans="1:19" x14ac:dyDescent="0.2">
      <c r="D46" s="46" t="s">
        <v>68</v>
      </c>
      <c r="E46" s="13" t="s">
        <v>92</v>
      </c>
      <c r="F46" s="54">
        <f t="shared" si="5"/>
        <v>42493</v>
      </c>
      <c r="G46" s="54">
        <f>_xll.qlInterestRateIndexValueDate(M46,F46)</f>
        <v>42495</v>
      </c>
      <c r="H46" s="54">
        <f>_xll.qlInterestRateIndexMaturity(M46,G46)</f>
        <v>45783</v>
      </c>
      <c r="I46" s="61">
        <f>_xll.qlIndexFixing(M46,F46,TRUE,AllTriggers)</f>
        <v>1.5312755271343284E-2</v>
      </c>
      <c r="J46" s="61" t="str">
        <f t="shared" si="4"/>
        <v>USD_CURVE_1M_9Y</v>
      </c>
      <c r="K46" s="61" t="s">
        <v>158</v>
      </c>
      <c r="L46" s="23"/>
      <c r="M46" s="52" t="str">
        <f>_xll.qlSwapIndex(,"NoFix",D46,2,Currency,JoinCalendar,FixedLegTenor,FixedLegBDC,FixedLegDayCounter,IborIndex,DiscountingCurve,,Trigger)</f>
        <v>obj_00410#0000</v>
      </c>
      <c r="N46" s="37"/>
      <c r="O46" s="37"/>
      <c r="P46" s="23"/>
      <c r="Q46" s="23"/>
      <c r="S46" s="23"/>
    </row>
    <row r="47" spans="1:19" x14ac:dyDescent="0.2">
      <c r="D47" s="46" t="s">
        <v>26</v>
      </c>
      <c r="E47" s="13" t="s">
        <v>92</v>
      </c>
      <c r="F47" s="54">
        <f t="shared" si="5"/>
        <v>42493</v>
      </c>
      <c r="G47" s="54">
        <f>_xll.qlInterestRateIndexValueDate(M47,F47)</f>
        <v>42495</v>
      </c>
      <c r="H47" s="54">
        <f>_xll.qlInterestRateIndexMaturity(M47,G47)</f>
        <v>46147</v>
      </c>
      <c r="I47" s="61">
        <f>_xll.qlIndexFixing(M47,F47,TRUE,AllTriggers)</f>
        <v>1.6062658033357439E-2</v>
      </c>
      <c r="J47" s="61" t="str">
        <f t="shared" si="4"/>
        <v>USD_CURVE_1M_10Y</v>
      </c>
      <c r="K47" s="61" t="s">
        <v>159</v>
      </c>
      <c r="L47" s="23"/>
      <c r="M47" s="52" t="str">
        <f>_xll.qlSwapIndex(,"NoFix",D47,2,Currency,JoinCalendar,FixedLegTenor,FixedLegBDC,FixedLegDayCounter,IborIndex,DiscountingCurve,,Trigger)</f>
        <v>obj_003fe#0000</v>
      </c>
      <c r="N47" s="37"/>
      <c r="O47" s="37"/>
      <c r="P47" s="23"/>
      <c r="Q47" s="23"/>
      <c r="S47" s="23"/>
    </row>
    <row r="48" spans="1:19" x14ac:dyDescent="0.2">
      <c r="D48" s="46" t="s">
        <v>69</v>
      </c>
      <c r="E48" s="13" t="s">
        <v>92</v>
      </c>
      <c r="F48" s="54">
        <f t="shared" si="5"/>
        <v>42493</v>
      </c>
      <c r="G48" s="54">
        <f>_xll.qlInterestRateIndexValueDate(M48,F48)</f>
        <v>42495</v>
      </c>
      <c r="H48" s="54">
        <f>_xll.qlInterestRateIndexMaturity(M48,G48)</f>
        <v>46512</v>
      </c>
      <c r="I48" s="61">
        <f>_xll.qlIndexFixing(M48,F48,TRUE,AllTriggers)</f>
        <v>1.6737542625421684E-2</v>
      </c>
      <c r="J48" s="61" t="str">
        <f t="shared" si="4"/>
        <v>USD_CURVE_1M_11Y</v>
      </c>
      <c r="K48" s="61" t="s">
        <v>160</v>
      </c>
      <c r="L48" s="37"/>
      <c r="M48" s="52" t="str">
        <f>_xll.qlSwapIndex(,"NoFix",D48,2,Currency,JoinCalendar,FixedLegTenor,FixedLegBDC,FixedLegDayCounter,IborIndex,DiscountingCurve,,Trigger)</f>
        <v>obj_00421#0000</v>
      </c>
      <c r="N48" s="37"/>
      <c r="O48" s="37"/>
      <c r="P48" s="23"/>
      <c r="Q48" s="23"/>
    </row>
    <row r="49" spans="4:15" x14ac:dyDescent="0.2">
      <c r="D49" s="46" t="s">
        <v>27</v>
      </c>
      <c r="E49" s="13" t="s">
        <v>92</v>
      </c>
      <c r="F49" s="54">
        <f t="shared" si="5"/>
        <v>42493</v>
      </c>
      <c r="G49" s="54">
        <f>_xll.qlInterestRateIndexValueDate(M49,F49)</f>
        <v>42495</v>
      </c>
      <c r="H49" s="54">
        <f>_xll.qlInterestRateIndexMaturity(M49,G49)</f>
        <v>46878</v>
      </c>
      <c r="I49" s="61">
        <f>_xll.qlIndexFixing(M49,F49,TRUE,AllTriggers)</f>
        <v>1.7332267364152703E-2</v>
      </c>
      <c r="J49" s="61" t="str">
        <f t="shared" si="4"/>
        <v>USD_CURVE_1M_12Y</v>
      </c>
      <c r="K49" s="61" t="s">
        <v>161</v>
      </c>
      <c r="L49" s="37"/>
      <c r="M49" s="52" t="str">
        <f>_xll.qlSwapIndex(,"NoFix",D49,2,Currency,JoinCalendar,FixedLegTenor,FixedLegBDC,FixedLegDayCounter,IborIndex,DiscountingCurve,,Trigger)</f>
        <v>obj_00438#0000</v>
      </c>
      <c r="O49" s="37"/>
    </row>
    <row r="50" spans="4:15" x14ac:dyDescent="0.2">
      <c r="D50" s="46" t="s">
        <v>70</v>
      </c>
      <c r="E50" s="13" t="s">
        <v>92</v>
      </c>
      <c r="F50" s="54">
        <f t="shared" si="5"/>
        <v>42493</v>
      </c>
      <c r="G50" s="54">
        <f>_xll.qlInterestRateIndexValueDate(M50,F50)</f>
        <v>42495</v>
      </c>
      <c r="H50" s="54">
        <f>_xll.qlInterestRateIndexMaturity(M50,G50)</f>
        <v>47246</v>
      </c>
      <c r="I50" s="61">
        <f>_xll.qlIndexFixing(M50,F50,TRUE,AllTriggers)</f>
        <v>1.7847339775523913E-2</v>
      </c>
      <c r="J50" s="61" t="str">
        <f t="shared" si="4"/>
        <v>USD_CURVE_1M_13Y</v>
      </c>
      <c r="K50" s="61" t="s">
        <v>162</v>
      </c>
      <c r="M50" s="52" t="str">
        <f>_xll.qlSwapIndex(,"NoFix",D50,2,Currency,JoinCalendar,FixedLegTenor,FixedLegBDC,FixedLegDayCounter,IborIndex,DiscountingCurve,,Trigger)</f>
        <v>obj_00406#0000</v>
      </c>
      <c r="O50" s="37"/>
    </row>
    <row r="51" spans="4:15" x14ac:dyDescent="0.2">
      <c r="D51" s="46" t="s">
        <v>71</v>
      </c>
      <c r="E51" s="13" t="s">
        <v>92</v>
      </c>
      <c r="F51" s="54">
        <f t="shared" si="5"/>
        <v>42493</v>
      </c>
      <c r="G51" s="54">
        <f>_xll.qlInterestRateIndexValueDate(M51,F51)</f>
        <v>42495</v>
      </c>
      <c r="H51" s="54">
        <f>_xll.qlInterestRateIndexMaturity(M51,G51)</f>
        <v>47610</v>
      </c>
      <c r="I51" s="61">
        <f>_xll.qlIndexFixing(M51,F51,TRUE,AllTriggers)</f>
        <v>1.8285112310491531E-2</v>
      </c>
      <c r="J51" s="61" t="str">
        <f t="shared" si="4"/>
        <v>USD_CURVE_1M_14Y</v>
      </c>
      <c r="K51" s="61" t="s">
        <v>163</v>
      </c>
      <c r="M51" s="52" t="str">
        <f>_xll.qlSwapIndex(,"NoFix",D51,2,Currency,JoinCalendar,FixedLegTenor,FixedLegBDC,FixedLegDayCounter,IborIndex,DiscountingCurve,,Trigger)</f>
        <v>obj_003b1#0000</v>
      </c>
      <c r="O51" s="37"/>
    </row>
    <row r="52" spans="4:15" x14ac:dyDescent="0.2">
      <c r="D52" s="46" t="s">
        <v>28</v>
      </c>
      <c r="E52" s="13" t="s">
        <v>92</v>
      </c>
      <c r="F52" s="54">
        <f t="shared" si="5"/>
        <v>42493</v>
      </c>
      <c r="G52" s="54">
        <f>_xll.qlInterestRateIndexValueDate(M52,F52)</f>
        <v>42495</v>
      </c>
      <c r="H52" s="54">
        <f>_xll.qlInterestRateIndexMaturity(M52,G52)</f>
        <v>47974</v>
      </c>
      <c r="I52" s="61">
        <f>_xll.qlIndexFixing(M52,F52,TRUE,AllTriggers)</f>
        <v>1.8661635739192627E-2</v>
      </c>
      <c r="J52" s="61" t="str">
        <f t="shared" si="4"/>
        <v>USD_CURVE_1M_15Y</v>
      </c>
      <c r="K52" s="61" t="s">
        <v>164</v>
      </c>
      <c r="M52" s="52" t="str">
        <f>_xll.qlSwapIndex(,"NoFix",D52,2,Currency,JoinCalendar,FixedLegTenor,FixedLegBDC,FixedLegDayCounter,IborIndex,DiscountingCurve,,Trigger)</f>
        <v>obj_0040b#0000</v>
      </c>
      <c r="O52" s="37"/>
    </row>
    <row r="53" spans="4:15" x14ac:dyDescent="0.2">
      <c r="D53" s="46" t="s">
        <v>72</v>
      </c>
      <c r="E53" s="13" t="s">
        <v>92</v>
      </c>
      <c r="F53" s="54">
        <f t="shared" si="5"/>
        <v>42493</v>
      </c>
      <c r="G53" s="54">
        <f>_xll.qlInterestRateIndexValueDate(M53,F53)</f>
        <v>42495</v>
      </c>
      <c r="H53" s="54">
        <f>_xll.qlInterestRateIndexMaturity(M53,G53)</f>
        <v>48339</v>
      </c>
      <c r="I53" s="61">
        <f>_xll.qlIndexFixing(M53,F53,TRUE,AllTriggers)</f>
        <v>1.8985537743817473E-2</v>
      </c>
      <c r="J53" s="61" t="str">
        <f t="shared" si="4"/>
        <v>USD_CURVE_1M_16Y</v>
      </c>
      <c r="K53" s="61" t="s">
        <v>165</v>
      </c>
      <c r="M53" s="52" t="str">
        <f>_xll.qlSwapIndex(,"NoFix",D53,2,Currency,JoinCalendar,FixedLegTenor,FixedLegBDC,FixedLegDayCounter,IborIndex,DiscountingCurve,,Trigger)</f>
        <v>obj_003b0#0000</v>
      </c>
      <c r="O53" s="37"/>
    </row>
    <row r="54" spans="4:15" x14ac:dyDescent="0.2">
      <c r="D54" s="46" t="s">
        <v>73</v>
      </c>
      <c r="E54" s="13" t="s">
        <v>92</v>
      </c>
      <c r="F54" s="54">
        <f t="shared" si="5"/>
        <v>42493</v>
      </c>
      <c r="G54" s="54">
        <f>_xll.qlInterestRateIndexValueDate(M54,F54)</f>
        <v>42495</v>
      </c>
      <c r="H54" s="54">
        <f>_xll.qlInterestRateIndexMaturity(M54,G54)</f>
        <v>48704</v>
      </c>
      <c r="I54" s="61">
        <f>_xll.qlIndexFixing(M54,F54,TRUE,AllTriggers)</f>
        <v>1.9262860638134056E-2</v>
      </c>
      <c r="J54" s="61" t="str">
        <f t="shared" si="4"/>
        <v>USD_CURVE_1M_17Y</v>
      </c>
      <c r="K54" s="61" t="s">
        <v>166</v>
      </c>
      <c r="M54" s="52" t="str">
        <f>_xll.qlSwapIndex(,"NoFix",D54,2,Currency,JoinCalendar,FixedLegTenor,FixedLegBDC,FixedLegDayCounter,IborIndex,DiscountingCurve,,Trigger)</f>
        <v>obj_003dc#0000</v>
      </c>
      <c r="O54" s="37"/>
    </row>
    <row r="55" spans="4:15" x14ac:dyDescent="0.2">
      <c r="D55" s="46" t="s">
        <v>74</v>
      </c>
      <c r="E55" s="13" t="s">
        <v>92</v>
      </c>
      <c r="F55" s="54">
        <f t="shared" si="5"/>
        <v>42493</v>
      </c>
      <c r="G55" s="54">
        <f>_xll.qlInterestRateIndexValueDate(M55,F55)</f>
        <v>42495</v>
      </c>
      <c r="H55" s="54">
        <f>_xll.qlInterestRateIndexMaturity(M55,G55)</f>
        <v>49069</v>
      </c>
      <c r="I55" s="61">
        <f>_xll.qlIndexFixing(M55,F55,TRUE,AllTriggers)</f>
        <v>1.9499522722813061E-2</v>
      </c>
      <c r="J55" s="61" t="str">
        <f t="shared" si="4"/>
        <v>USD_CURVE_1M_18Y</v>
      </c>
      <c r="K55" s="61" t="s">
        <v>167</v>
      </c>
      <c r="M55" s="52" t="str">
        <f>_xll.qlSwapIndex(,"NoFix",D55,2,Currency,JoinCalendar,FixedLegTenor,FixedLegBDC,FixedLegDayCounter,IborIndex,DiscountingCurve,,Trigger)</f>
        <v>obj_003b2#0000</v>
      </c>
      <c r="O55" s="37"/>
    </row>
    <row r="56" spans="4:15" x14ac:dyDescent="0.2">
      <c r="D56" s="46" t="s">
        <v>75</v>
      </c>
      <c r="E56" s="13" t="s">
        <v>92</v>
      </c>
      <c r="F56" s="54">
        <f t="shared" si="5"/>
        <v>42493</v>
      </c>
      <c r="G56" s="54">
        <f>_xll.qlInterestRateIndexValueDate(M56,F56)</f>
        <v>42495</v>
      </c>
      <c r="H56" s="54">
        <f>_xll.qlInterestRateIndexMaturity(M56,G56)</f>
        <v>49437</v>
      </c>
      <c r="I56" s="61">
        <f>_xll.qlIndexFixing(M56,F56,TRUE,AllTriggers)</f>
        <v>1.9701839040369026E-2</v>
      </c>
      <c r="J56" s="61" t="str">
        <f t="shared" si="4"/>
        <v>USD_CURVE_1M_19Y</v>
      </c>
      <c r="K56" s="61" t="s">
        <v>168</v>
      </c>
      <c r="M56" s="52" t="str">
        <f>_xll.qlSwapIndex(,"NoFix",D56,2,Currency,JoinCalendar,FixedLegTenor,FixedLegBDC,FixedLegDayCounter,IborIndex,DiscountingCurve,,Trigger)</f>
        <v>obj_00430#0000</v>
      </c>
      <c r="O56" s="37"/>
    </row>
    <row r="57" spans="4:15" x14ac:dyDescent="0.2">
      <c r="D57" s="46" t="s">
        <v>76</v>
      </c>
      <c r="E57" s="13" t="s">
        <v>92</v>
      </c>
      <c r="F57" s="54">
        <f t="shared" si="5"/>
        <v>42493</v>
      </c>
      <c r="G57" s="54">
        <f>_xll.qlInterestRateIndexValueDate(M57,F57)</f>
        <v>42495</v>
      </c>
      <c r="H57" s="54">
        <f>_xll.qlInterestRateIndexMaturity(M57,G57)</f>
        <v>49801</v>
      </c>
      <c r="I57" s="61">
        <f>_xll.qlIndexFixing(M57,F57,TRUE,AllTriggers)</f>
        <v>1.9869747779604052E-2</v>
      </c>
      <c r="J57" s="61" t="str">
        <f t="shared" si="4"/>
        <v>USD_CURVE_1M_20Y</v>
      </c>
      <c r="K57" s="61" t="s">
        <v>169</v>
      </c>
      <c r="M57" s="52" t="str">
        <f>_xll.qlSwapIndex(,"NoFix",D57,2,Currency,JoinCalendar,FixedLegTenor,FixedLegBDC,FixedLegDayCounter,IborIndex,DiscountingCurve,,Trigger)</f>
        <v>obj_00436#0000</v>
      </c>
      <c r="O57" s="37"/>
    </row>
    <row r="58" spans="4:15" x14ac:dyDescent="0.2">
      <c r="D58" s="46" t="s">
        <v>77</v>
      </c>
      <c r="E58" s="13" t="s">
        <v>92</v>
      </c>
      <c r="F58" s="54">
        <f t="shared" si="5"/>
        <v>42493</v>
      </c>
      <c r="G58" s="54">
        <f>_xll.qlInterestRateIndexValueDate(M58,F58)</f>
        <v>42495</v>
      </c>
      <c r="H58" s="54">
        <f>_xll.qlInterestRateIndexMaturity(M58,G58)</f>
        <v>50165</v>
      </c>
      <c r="I58" s="61">
        <f>_xll.qlIndexFixing(M58,F58,TRUE,AllTriggers)</f>
        <v>2.0009475812023402E-2</v>
      </c>
      <c r="J58" s="61" t="str">
        <f t="shared" si="4"/>
        <v>USD_CURVE_1M_21Y</v>
      </c>
      <c r="K58" s="61" t="s">
        <v>170</v>
      </c>
      <c r="M58" s="52" t="str">
        <f>_xll.qlSwapIndex(,"NoFix",D58,2,Currency,JoinCalendar,FixedLegTenor,FixedLegBDC,FixedLegDayCounter,IborIndex,DiscountingCurve,,Trigger)</f>
        <v>obj_0041a#0000</v>
      </c>
      <c r="O58" s="37"/>
    </row>
    <row r="59" spans="4:15" x14ac:dyDescent="0.2">
      <c r="D59" s="46" t="s">
        <v>78</v>
      </c>
      <c r="E59" s="13" t="s">
        <v>92</v>
      </c>
      <c r="F59" s="54">
        <f t="shared" si="5"/>
        <v>42493</v>
      </c>
      <c r="G59" s="54">
        <f>_xll.qlInterestRateIndexValueDate(M59,F59)</f>
        <v>42495</v>
      </c>
      <c r="H59" s="54">
        <f>_xll.qlInterestRateIndexMaturity(M59,G59)</f>
        <v>50530</v>
      </c>
      <c r="I59" s="61">
        <f>_xll.qlIndexFixing(M59,F59,TRUE,AllTriggers)</f>
        <v>2.0126770114802656E-2</v>
      </c>
      <c r="J59" s="61" t="str">
        <f t="shared" si="4"/>
        <v>USD_CURVE_1M_22Y</v>
      </c>
      <c r="K59" s="61" t="s">
        <v>171</v>
      </c>
      <c r="M59" s="52" t="str">
        <f>_xll.qlSwapIndex(,"NoFix",D59,2,Currency,JoinCalendar,FixedLegTenor,FixedLegBDC,FixedLegDayCounter,IborIndex,DiscountingCurve,,Trigger)</f>
        <v>obj_0043b#0000</v>
      </c>
      <c r="O59" s="37"/>
    </row>
    <row r="60" spans="4:15" x14ac:dyDescent="0.2">
      <c r="D60" s="46" t="s">
        <v>79</v>
      </c>
      <c r="E60" s="13" t="s">
        <v>92</v>
      </c>
      <c r="F60" s="54">
        <f t="shared" si="5"/>
        <v>42493</v>
      </c>
      <c r="G60" s="54">
        <f>_xll.qlInterestRateIndexValueDate(M60,F60)</f>
        <v>42495</v>
      </c>
      <c r="H60" s="54">
        <f>_xll.qlInterestRateIndexMaturity(M60,G60)</f>
        <v>50895</v>
      </c>
      <c r="I60" s="61">
        <f>_xll.qlIndexFixing(M60,F60,TRUE,AllTriggers)</f>
        <v>2.0226216937512032E-2</v>
      </c>
      <c r="J60" s="61" t="str">
        <f t="shared" si="4"/>
        <v>USD_CURVE_1M_23Y</v>
      </c>
      <c r="K60" s="61" t="s">
        <v>172</v>
      </c>
      <c r="M60" s="52" t="str">
        <f>_xll.qlSwapIndex(,"NoFix",D60,2,Currency,JoinCalendar,FixedLegTenor,FixedLegBDC,FixedLegDayCounter,IborIndex,DiscountingCurve,,Trigger)</f>
        <v>obj_003d4#0000</v>
      </c>
      <c r="O60" s="37"/>
    </row>
    <row r="61" spans="4:15" x14ac:dyDescent="0.2">
      <c r="D61" s="46" t="s">
        <v>80</v>
      </c>
      <c r="E61" s="13" t="s">
        <v>92</v>
      </c>
      <c r="F61" s="54">
        <f t="shared" si="5"/>
        <v>42493</v>
      </c>
      <c r="G61" s="54">
        <f>_xll.qlInterestRateIndexValueDate(M61,F61)</f>
        <v>42495</v>
      </c>
      <c r="H61" s="54">
        <f>_xll.qlInterestRateIndexMaturity(M61,G61)</f>
        <v>51264</v>
      </c>
      <c r="I61" s="61">
        <f>_xll.qlIndexFixing(M61,F61,TRUE,AllTriggers)</f>
        <v>2.0312902807831695E-2</v>
      </c>
      <c r="J61" s="61" t="str">
        <f t="shared" si="4"/>
        <v>USD_CURVE_1M_24Y</v>
      </c>
      <c r="K61" s="61" t="s">
        <v>173</v>
      </c>
      <c r="M61" s="52" t="str">
        <f>_xll.qlSwapIndex(,"NoFix",D61,2,Currency,JoinCalendar,FixedLegTenor,FixedLegBDC,FixedLegDayCounter,IborIndex,DiscountingCurve,,Trigger)</f>
        <v>obj_003ef#0000</v>
      </c>
    </row>
    <row r="62" spans="4:15" x14ac:dyDescent="0.2">
      <c r="D62" s="46" t="s">
        <v>81</v>
      </c>
      <c r="E62" s="13" t="s">
        <v>92</v>
      </c>
      <c r="F62" s="54">
        <f t="shared" si="5"/>
        <v>42493</v>
      </c>
      <c r="G62" s="54">
        <f>_xll.qlInterestRateIndexValueDate(M62,F62)</f>
        <v>42495</v>
      </c>
      <c r="H62" s="54">
        <f>_xll.qlInterestRateIndexMaturity(M62,G62)</f>
        <v>51628</v>
      </c>
      <c r="I62" s="61">
        <f>_xll.qlIndexFixing(M62,F62,TRUE,AllTriggers)</f>
        <v>2.0388020073624835E-2</v>
      </c>
      <c r="J62" s="61" t="str">
        <f t="shared" si="4"/>
        <v>USD_CURVE_1M_25Y</v>
      </c>
      <c r="K62" s="61" t="s">
        <v>174</v>
      </c>
      <c r="M62" s="52" t="str">
        <f>_xll.qlSwapIndex(,"NoFix",D62,2,Currency,JoinCalendar,FixedLegTenor,FixedLegBDC,FixedLegDayCounter,IborIndex,DiscountingCurve,,Trigger)</f>
        <v>obj_00405#0000</v>
      </c>
    </row>
    <row r="63" spans="4:15" x14ac:dyDescent="0.2">
      <c r="D63" s="46" t="s">
        <v>82</v>
      </c>
      <c r="E63" s="13" t="s">
        <v>92</v>
      </c>
      <c r="F63" s="54">
        <f t="shared" si="5"/>
        <v>42493</v>
      </c>
      <c r="G63" s="54">
        <f>_xll.qlInterestRateIndexValueDate(M63,F63)</f>
        <v>42495</v>
      </c>
      <c r="H63" s="54">
        <f>_xll.qlInterestRateIndexMaturity(M63,G63)</f>
        <v>51992</v>
      </c>
      <c r="I63" s="61">
        <f>_xll.qlIndexFixing(M63,F63,TRUE,AllTriggers)</f>
        <v>2.0455468341189258E-2</v>
      </c>
      <c r="J63" s="61" t="str">
        <f t="shared" si="4"/>
        <v>USD_CURVE_1M_26Y</v>
      </c>
      <c r="K63" s="61" t="s">
        <v>175</v>
      </c>
      <c r="M63" s="52" t="str">
        <f>_xll.qlSwapIndex(,"NoFix",D63,2,Currency,JoinCalendar,FixedLegTenor,FixedLegBDC,FixedLegDayCounter,IborIndex,DiscountingCurve,,Trigger)</f>
        <v>obj_003c3#0000</v>
      </c>
    </row>
    <row r="64" spans="4:15" x14ac:dyDescent="0.2">
      <c r="D64" s="46" t="s">
        <v>83</v>
      </c>
      <c r="E64" s="13" t="s">
        <v>92</v>
      </c>
      <c r="F64" s="54">
        <f t="shared" si="5"/>
        <v>42493</v>
      </c>
      <c r="G64" s="54">
        <f>_xll.qlInterestRateIndexValueDate(M64,F64)</f>
        <v>42495</v>
      </c>
      <c r="H64" s="54">
        <f>_xll.qlInterestRateIndexMaturity(M64,G64)</f>
        <v>52356</v>
      </c>
      <c r="I64" s="61">
        <f>_xll.qlIndexFixing(M64,F64,TRUE,AllTriggers)</f>
        <v>2.0516338643900733E-2</v>
      </c>
      <c r="J64" s="61" t="str">
        <f t="shared" ref="J64:J70" si="6">Currency&amp;"_CURVE_"&amp;CurveTenor&amp;"_"&amp;D64</f>
        <v>USD_CURVE_1M_27Y</v>
      </c>
      <c r="K64" s="61" t="s">
        <v>176</v>
      </c>
      <c r="M64" s="52" t="str">
        <f>_xll.qlSwapIndex(,"NoFix",D64,2,Currency,JoinCalendar,FixedLegTenor,FixedLegBDC,FixedLegDayCounter,IborIndex,DiscountingCurve,,Trigger)</f>
        <v>obj_0042d#0000</v>
      </c>
    </row>
    <row r="65" spans="4:13" x14ac:dyDescent="0.2">
      <c r="D65" s="46" t="s">
        <v>84</v>
      </c>
      <c r="E65" s="13" t="s">
        <v>92</v>
      </c>
      <c r="F65" s="54">
        <f t="shared" si="5"/>
        <v>42493</v>
      </c>
      <c r="G65" s="54">
        <f>_xll.qlInterestRateIndexValueDate(M65,F65)</f>
        <v>42495</v>
      </c>
      <c r="H65" s="54">
        <f>_xll.qlInterestRateIndexMaturity(M65,G65)</f>
        <v>52722</v>
      </c>
      <c r="I65" s="61">
        <f>_xll.qlIndexFixing(M65,F65,TRUE,AllTriggers)</f>
        <v>2.0571636778270768E-2</v>
      </c>
      <c r="J65" s="61" t="str">
        <f t="shared" si="6"/>
        <v>USD_CURVE_1M_28Y</v>
      </c>
      <c r="K65" s="61" t="s">
        <v>177</v>
      </c>
      <c r="M65" s="52" t="str">
        <f>_xll.qlSwapIndex(,"NoFix",D65,2,Currency,JoinCalendar,FixedLegTenor,FixedLegBDC,FixedLegDayCounter,IborIndex,DiscountingCurve,,Trigger)</f>
        <v>obj_003dd#0000</v>
      </c>
    </row>
    <row r="66" spans="4:13" x14ac:dyDescent="0.2">
      <c r="D66" s="46" t="s">
        <v>85</v>
      </c>
      <c r="E66" s="13" t="s">
        <v>92</v>
      </c>
      <c r="F66" s="54">
        <f t="shared" si="5"/>
        <v>42493</v>
      </c>
      <c r="G66" s="54">
        <f>_xll.qlInterestRateIndexValueDate(M66,F66)</f>
        <v>42495</v>
      </c>
      <c r="H66" s="54">
        <f>_xll.qlInterestRateIndexMaturity(M66,G66)</f>
        <v>53087</v>
      </c>
      <c r="I66" s="61">
        <f>_xll.qlIndexFixing(M66,F66,TRUE,AllTriggers)</f>
        <v>2.062143621464501E-2</v>
      </c>
      <c r="J66" s="61" t="str">
        <f t="shared" si="6"/>
        <v>USD_CURVE_1M_29Y</v>
      </c>
      <c r="K66" s="61" t="s">
        <v>178</v>
      </c>
      <c r="M66" s="52" t="str">
        <f>_xll.qlSwapIndex(,"NoFix",D66,2,Currency,JoinCalendar,FixedLegTenor,FixedLegBDC,FixedLegDayCounter,IborIndex,DiscountingCurve,,Trigger)</f>
        <v>obj_003fd#0000</v>
      </c>
    </row>
    <row r="67" spans="4:13" x14ac:dyDescent="0.2">
      <c r="D67" s="46" t="s">
        <v>86</v>
      </c>
      <c r="E67" s="13" t="s">
        <v>92</v>
      </c>
      <c r="F67" s="54">
        <f t="shared" si="5"/>
        <v>42493</v>
      </c>
      <c r="G67" s="54">
        <f>_xll.qlInterestRateIndexValueDate(M67,F67)</f>
        <v>42495</v>
      </c>
      <c r="H67" s="54">
        <f>_xll.qlInterestRateIndexMaturity(M67,G67)</f>
        <v>53455</v>
      </c>
      <c r="I67" s="61">
        <f>_xll.qlIndexFixing(M67,F67,TRUE,AllTriggers)</f>
        <v>2.0666829194208175E-2</v>
      </c>
      <c r="J67" s="61" t="str">
        <f t="shared" si="6"/>
        <v>USD_CURVE_1M_30Y</v>
      </c>
      <c r="K67" s="61" t="s">
        <v>179</v>
      </c>
      <c r="M67" s="52" t="str">
        <f>_xll.qlSwapIndex(,"NoFix",D67,2,Currency,JoinCalendar,FixedLegTenor,FixedLegBDC,FixedLegDayCounter,IborIndex,DiscountingCurve,,Trigger)</f>
        <v>obj_003ea#0000</v>
      </c>
    </row>
    <row r="68" spans="4:13" x14ac:dyDescent="0.2">
      <c r="D68" s="86" t="s">
        <v>87</v>
      </c>
      <c r="E68" s="77" t="s">
        <v>92</v>
      </c>
      <c r="F68" s="54">
        <f t="shared" si="5"/>
        <v>42493</v>
      </c>
      <c r="G68" s="54">
        <f>_xll.qlInterestRateIndexValueDate(M68,F68)</f>
        <v>42495</v>
      </c>
      <c r="H68" s="54">
        <f>_xll.qlInterestRateIndexMaturity(M68,G68)</f>
        <v>57105</v>
      </c>
      <c r="I68" s="61">
        <f>_xll.qlIndexFixing(M68,F68,TRUE,AllTriggers)</f>
        <v>2.0866712221599061E-2</v>
      </c>
      <c r="J68" s="61" t="str">
        <f t="shared" si="6"/>
        <v>USD_CURVE_1M_40Y</v>
      </c>
      <c r="K68" s="61" t="s">
        <v>180</v>
      </c>
      <c r="M68" s="52" t="str">
        <f>_xll.qlSwapIndex(,"NoFix",D68,2,Currency,JoinCalendar,FixedLegTenor,FixedLegBDC,FixedLegDayCounter,IborIndex,DiscountingCurve,,Trigger)</f>
        <v>obj_00419#0000</v>
      </c>
    </row>
    <row r="69" spans="4:13" x14ac:dyDescent="0.2">
      <c r="D69" s="86" t="s">
        <v>88</v>
      </c>
      <c r="E69" s="77" t="s">
        <v>92</v>
      </c>
      <c r="F69" s="54">
        <f t="shared" si="5"/>
        <v>42493</v>
      </c>
      <c r="G69" s="54">
        <f>_xll.qlInterestRateIndexValueDate(M69,F69)</f>
        <v>42495</v>
      </c>
      <c r="H69" s="54">
        <f>_xll.qlInterestRateIndexMaturity(M69,G69)</f>
        <v>60757</v>
      </c>
      <c r="I69" s="61">
        <f>_xll.qlIndexFixing(M69,F69,TRUE,AllTriggers)</f>
        <v>2.071668765901892E-2</v>
      </c>
      <c r="J69" s="61" t="str">
        <f t="shared" si="6"/>
        <v>USD_CURVE_1M_50Y</v>
      </c>
      <c r="K69" s="61" t="s">
        <v>181</v>
      </c>
      <c r="M69" s="52" t="str">
        <f>_xll.qlSwapIndex(,"NoFix",D69,2,Currency,JoinCalendar,FixedLegTenor,FixedLegBDC,FixedLegDayCounter,IborIndex,DiscountingCurve,,Trigger)</f>
        <v>obj_00414#0000</v>
      </c>
    </row>
    <row r="70" spans="4:13" x14ac:dyDescent="0.2">
      <c r="D70" s="89" t="s">
        <v>89</v>
      </c>
      <c r="E70" s="78" t="s">
        <v>92</v>
      </c>
      <c r="F70" s="56">
        <f t="shared" si="5"/>
        <v>42493</v>
      </c>
      <c r="G70" s="56">
        <f>_xll.qlInterestRateIndexValueDate(M70,F70)</f>
        <v>42495</v>
      </c>
      <c r="H70" s="56">
        <f>_xll.qlInterestRateIndexMaturity(M70,G70)</f>
        <v>64410</v>
      </c>
      <c r="I70" s="57">
        <f>_xll.qlIndexFixing(M70,F70,TRUE,AllTriggers)</f>
        <v>2.0569160184484129E-2</v>
      </c>
      <c r="J70" s="57" t="str">
        <f t="shared" si="6"/>
        <v>USD_CURVE_1M_60Y</v>
      </c>
      <c r="K70" s="57" t="s">
        <v>182</v>
      </c>
      <c r="M70" s="58" t="str">
        <f>_xll.qlSwapIndex(,"NoFix",D70,2,Currency,JoinCalendar,FixedLegTenor,FixedLegBDC,FixedLegDayCounter,IborIndex,DiscountingCurve,,Trigger)</f>
        <v>obj_003fc#0000</v>
      </c>
    </row>
  </sheetData>
  <dataValidations disablePrompts="1"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50</v>
      </c>
      <c r="F1" s="36" t="s">
        <v>16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51</v>
      </c>
      <c r="F2" s="36" t="str">
        <f>Currency&amp;CurveTenor</f>
        <v>USD3M</v>
      </c>
      <c r="G2" s="37"/>
      <c r="H2" s="37"/>
      <c r="I2" s="29"/>
      <c r="J2" s="37"/>
      <c r="K2" s="37"/>
      <c r="L2" s="37"/>
      <c r="M2" s="37"/>
      <c r="N2" s="37"/>
      <c r="O2" s="37"/>
      <c r="P2" s="37"/>
      <c r="Q2" s="37"/>
      <c r="R2" s="37"/>
      <c r="S2" s="23"/>
    </row>
    <row r="3" spans="1:19" x14ac:dyDescent="0.2">
      <c r="E3" s="35" t="s">
        <v>29</v>
      </c>
      <c r="F3" s="16" t="str">
        <f>IborIndexFamily&amp;CurveTenor</f>
        <v>UsdLibor3M</v>
      </c>
      <c r="G3" s="37"/>
      <c r="H3" s="37"/>
      <c r="I3" s="29"/>
      <c r="J3" s="37"/>
      <c r="K3" s="37"/>
      <c r="L3" s="37"/>
      <c r="M3" s="37"/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3" t="s">
        <v>92</v>
      </c>
      <c r="E9" s="95" t="s">
        <v>94</v>
      </c>
      <c r="F9" s="84">
        <f t="shared" ref="F9:F20" si="0">FirstLiborFixingDate</f>
        <v>42493</v>
      </c>
      <c r="G9" s="84">
        <f>_xll.qlInterestRateIndexValueDate(M9,F9)</f>
        <v>42495</v>
      </c>
      <c r="H9" s="84">
        <f>_xll.qlInterestRateIndexMaturity(M9,G9)</f>
        <v>42502</v>
      </c>
      <c r="I9" s="90">
        <f>_xll.qlIndexFixing(M9,F9,TRUE,AllTriggers)</f>
        <v>5.9422418886713657E-3</v>
      </c>
      <c r="J9" s="90" t="str">
        <f>Currency&amp;"_CURVE_DEP"&amp;CurveTenor&amp;"_"&amp;"1W"</f>
        <v>USD_CURVE_DEP3M_1W</v>
      </c>
      <c r="K9" s="90"/>
      <c r="L9" s="23"/>
      <c r="M9" s="192" t="str">
        <f>_xll.qlLibor(,Currency,D9,YieldCurve,,Trigger)</f>
        <v>obj_0039c#0000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13</v>
      </c>
      <c r="E10" s="96" t="s">
        <v>94</v>
      </c>
      <c r="F10" s="87">
        <f t="shared" si="0"/>
        <v>42493</v>
      </c>
      <c r="G10" s="87">
        <f>_xll.qlInterestRateIndexValueDate(M10,F10)</f>
        <v>42495</v>
      </c>
      <c r="H10" s="87">
        <f>_xll.qlInterestRateIndexMaturity(M10,G10)</f>
        <v>42509</v>
      </c>
      <c r="I10" s="79">
        <f>_xll.qlIndexFixing(M10,F10,TRUE,AllTriggers)</f>
        <v>5.9539696566738142E-3</v>
      </c>
      <c r="J10" s="79" t="str">
        <f t="shared" ref="J10:J20" si="1">Currency&amp;"_CURVE_DEP"&amp;CurveTenor&amp;"_"&amp;D10</f>
        <v>USD_CURVE_DEP3M_2W</v>
      </c>
      <c r="K10" s="79"/>
      <c r="L10" s="23"/>
      <c r="M10" s="14" t="str">
        <f>_xll.qlLibor(,Currency,D10,YieldCurve,,Trigger)</f>
        <v>obj_003a6#0000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65</v>
      </c>
      <c r="E11" s="96" t="s">
        <v>94</v>
      </c>
      <c r="F11" s="87">
        <f t="shared" si="0"/>
        <v>42493</v>
      </c>
      <c r="G11" s="87">
        <f>_xll.qlInterestRateIndexValueDate(M11,F11)</f>
        <v>42495</v>
      </c>
      <c r="H11" s="87">
        <f>_xll.qlInterestRateIndexMaturity(M11,G11)</f>
        <v>42516</v>
      </c>
      <c r="I11" s="79">
        <f>_xll.qlIndexFixing(M11,F11,TRUE,AllTriggers)</f>
        <v>5.9732906283573228E-3</v>
      </c>
      <c r="J11" s="79" t="str">
        <f t="shared" si="1"/>
        <v>USD_CURVE_DEP3M_3W</v>
      </c>
      <c r="K11" s="79"/>
      <c r="L11" s="23"/>
      <c r="M11" s="14" t="str">
        <f>_xll.qlLibor(,Currency,D11,YieldCurve,,Trigger)</f>
        <v>obj_00398#0000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14</v>
      </c>
      <c r="E12" s="96" t="s">
        <v>94</v>
      </c>
      <c r="F12" s="87">
        <f t="shared" si="0"/>
        <v>42493</v>
      </c>
      <c r="G12" s="88">
        <f>_xll.qlInterestRateIndexValueDate(M12,F12)</f>
        <v>42495</v>
      </c>
      <c r="H12" s="87">
        <f>_xll.qlInterestRateIndexMaturity(M12,G12)</f>
        <v>42527</v>
      </c>
      <c r="I12" s="79">
        <f>_xll.qlIndexFixing(M12,F12,TRUE,AllTriggers)</f>
        <v>6.0189999999277211E-3</v>
      </c>
      <c r="J12" s="79" t="str">
        <f t="shared" si="1"/>
        <v>USD_CURVE_DEP3M_1M</v>
      </c>
      <c r="K12" s="79"/>
      <c r="L12" s="23"/>
      <c r="M12" s="14" t="str">
        <f>_xll.qlLibor(,Currency,D12,YieldCurve,,Trigger)</f>
        <v>obj_0039a#0000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15</v>
      </c>
      <c r="E13" s="96" t="s">
        <v>94</v>
      </c>
      <c r="F13" s="87">
        <f t="shared" si="0"/>
        <v>42493</v>
      </c>
      <c r="G13" s="88">
        <f>_xll.qlInterestRateIndexValueDate(M13,F13)</f>
        <v>42495</v>
      </c>
      <c r="H13" s="87">
        <f>_xll.qlInterestRateIndexMaturity(M13,G13)</f>
        <v>42556</v>
      </c>
      <c r="I13" s="79">
        <f>_xll.qlIndexFixing(M13,F13,TRUE,AllTriggers)</f>
        <v>6.193999999985789E-3</v>
      </c>
      <c r="J13" s="79" t="str">
        <f t="shared" si="1"/>
        <v>USD_CURVE_DEP3M_2M</v>
      </c>
      <c r="K13" s="79"/>
      <c r="L13" s="23"/>
      <c r="M13" s="81" t="str">
        <f>_xll.qlLibor(,Currency,D13,YieldCurve,,Trigger)</f>
        <v>obj_00399#0000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16</v>
      </c>
      <c r="E14" s="96" t="s">
        <v>94</v>
      </c>
      <c r="F14" s="87">
        <f t="shared" si="0"/>
        <v>42493</v>
      </c>
      <c r="G14" s="88">
        <f>_xll.qlInterestRateIndexValueDate(M14,F14)</f>
        <v>42495</v>
      </c>
      <c r="H14" s="87">
        <f>_xll.qlInterestRateIndexMaturity(M14,G14)</f>
        <v>42587</v>
      </c>
      <c r="I14" s="79">
        <f>_xll.qlIndexFixing(M14,F14,TRUE,AllTriggers)</f>
        <v>6.3659999999995829E-3</v>
      </c>
      <c r="J14" s="79" t="str">
        <f t="shared" si="1"/>
        <v>USD_CURVE_DEP3M_3M</v>
      </c>
      <c r="K14" s="79"/>
      <c r="L14" s="23"/>
      <c r="M14" s="14" t="str">
        <f>_xll.qlLibor(,Currency,D14,YieldCurve,,Trigger)</f>
        <v>obj_003a5#0000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17</v>
      </c>
      <c r="E15" s="96" t="s">
        <v>94</v>
      </c>
      <c r="F15" s="87">
        <f t="shared" si="0"/>
        <v>42493</v>
      </c>
      <c r="G15" s="88">
        <f>_xll.qlInterestRateIndexValueDate(M15,F15)</f>
        <v>42495</v>
      </c>
      <c r="H15" s="87">
        <f>_xll.qlInterestRateIndexMaturity(M15,G15)</f>
        <v>42619</v>
      </c>
      <c r="I15" s="79">
        <f>_xll.qlIndexFixing(M15,F15,TRUE,AllTriggers)</f>
        <v>6.5581699635641035E-3</v>
      </c>
      <c r="J15" s="79" t="str">
        <f t="shared" si="1"/>
        <v>USD_CURVE_DEP3M_4M</v>
      </c>
      <c r="K15" s="79"/>
      <c r="L15" s="23"/>
      <c r="M15" s="14" t="str">
        <f>_xll.qlLibor(,Currency,D15,YieldCurve,,Trigger)</f>
        <v>obj_003a7#0000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18</v>
      </c>
      <c r="E16" s="96" t="s">
        <v>94</v>
      </c>
      <c r="F16" s="87">
        <f t="shared" si="0"/>
        <v>42493</v>
      </c>
      <c r="G16" s="88">
        <f>_xll.qlInterestRateIndexValueDate(M16,F16)</f>
        <v>42495</v>
      </c>
      <c r="H16" s="87">
        <f>_xll.qlInterestRateIndexMaturity(M16,G16)</f>
        <v>42648</v>
      </c>
      <c r="I16" s="79">
        <f>_xll.qlIndexFixing(M16,F16,TRUE,AllTriggers)</f>
        <v>6.7657943951062467E-3</v>
      </c>
      <c r="J16" s="79" t="str">
        <f t="shared" si="1"/>
        <v>USD_CURVE_DEP3M_5M</v>
      </c>
      <c r="K16" s="79"/>
      <c r="L16" s="23"/>
      <c r="M16" s="14" t="str">
        <f>_xll.qlLibor(,Currency,D16,YieldCurve,,Trigger)</f>
        <v>obj_003a9#0000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11</v>
      </c>
      <c r="E17" s="96" t="s">
        <v>94</v>
      </c>
      <c r="F17" s="87">
        <f t="shared" si="0"/>
        <v>42493</v>
      </c>
      <c r="G17" s="88">
        <f>_xll.qlInterestRateIndexValueDate(M17,F17)</f>
        <v>42495</v>
      </c>
      <c r="H17" s="87">
        <f>_xll.qlInterestRateIndexMaturity(M17,G17)</f>
        <v>42681</v>
      </c>
      <c r="I17" s="79">
        <f>_xll.qlIndexFixing(M17,F17,TRUE,AllTriggers)</f>
        <v>6.9561447266343734E-3</v>
      </c>
      <c r="J17" s="79" t="str">
        <f t="shared" si="1"/>
        <v>USD_CURVE_DEP3M_6M</v>
      </c>
      <c r="K17" s="79"/>
      <c r="L17" s="23"/>
      <c r="M17" s="14" t="str">
        <f>_xll.qlLibor(,Currency,D17,YieldCurve,,Trigger)</f>
        <v>obj_0039d#0000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59</v>
      </c>
      <c r="E18" s="96" t="s">
        <v>94</v>
      </c>
      <c r="F18" s="87">
        <f t="shared" si="0"/>
        <v>42493</v>
      </c>
      <c r="G18" s="88">
        <f>_xll.qlInterestRateIndexValueDate(M18,F18)</f>
        <v>42495</v>
      </c>
      <c r="H18" s="87">
        <f>_xll.qlInterestRateIndexMaturity(M18,G18)</f>
        <v>42709</v>
      </c>
      <c r="I18" s="79">
        <f>_xll.qlIndexFixing(M18,F18,TRUE,AllTriggers)</f>
        <v>7.1064203856031766E-3</v>
      </c>
      <c r="J18" s="79" t="str">
        <f t="shared" si="1"/>
        <v>USD_CURVE_DEP3M_7M</v>
      </c>
      <c r="K18" s="79"/>
      <c r="L18" s="23"/>
      <c r="M18" s="14" t="str">
        <f>_xll.qlLibor(,Currency,D18,YieldCurve,,Trigger)</f>
        <v>obj_0039f#0000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60</v>
      </c>
      <c r="E19" s="96" t="s">
        <v>94</v>
      </c>
      <c r="F19" s="87">
        <f t="shared" si="0"/>
        <v>42493</v>
      </c>
      <c r="G19" s="88">
        <f>_xll.qlInterestRateIndexValueDate(M19,F19)</f>
        <v>42495</v>
      </c>
      <c r="H19" s="87">
        <f>_xll.qlInterestRateIndexMaturity(M19,G19)</f>
        <v>42740</v>
      </c>
      <c r="I19" s="79">
        <f>_xll.qlIndexFixing(M19,F19,TRUE,AllTriggers)</f>
        <v>7.2761746683469844E-3</v>
      </c>
      <c r="J19" s="79" t="str">
        <f t="shared" si="1"/>
        <v>USD_CURVE_DEP3M_8M</v>
      </c>
      <c r="K19" s="79"/>
      <c r="L19" s="23"/>
      <c r="M19" s="81" t="str">
        <f>_xll.qlLibor(,Currency,D19,YieldCurve,,Trigger)</f>
        <v>obj_003a2#0000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19</v>
      </c>
      <c r="E20" s="96" t="s">
        <v>94</v>
      </c>
      <c r="F20" s="87">
        <f t="shared" si="0"/>
        <v>42493</v>
      </c>
      <c r="G20" s="88">
        <f>_xll.qlInterestRateIndexValueDate(M20,F20)</f>
        <v>42495</v>
      </c>
      <c r="H20" s="87">
        <f>_xll.qlInterestRateIndexMaturity(M20,G20)</f>
        <v>42772</v>
      </c>
      <c r="I20" s="79">
        <f>_xll.qlIndexFixing(M20,F20,TRUE,AllTriggers)</f>
        <v>7.4551843386045872E-3</v>
      </c>
      <c r="J20" s="79" t="str">
        <f t="shared" si="1"/>
        <v>USD_CURVE_DEP3M_9M</v>
      </c>
      <c r="K20" s="79"/>
      <c r="L20" s="51"/>
      <c r="M20" s="81" t="str">
        <f>_xll.qlLibor(,Currency,D20,YieldCurve,,Trigger)</f>
        <v>obj_0039e#0000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180">
        <f>_xll.qlDayCounterYearFraction("actual/360",$G$20,C24,,,Trigger)</f>
        <v>0.63888888888888884</v>
      </c>
      <c r="C24" s="166">
        <f>_xll.qlIMMNextDate(_xll.qlIMMNextCode(_xll.qlIMMNextCode(EvaluationDate+FuturesRollDays)))</f>
        <v>42725</v>
      </c>
      <c r="D24" s="106" t="str">
        <f>"#"&amp;YEAR(C24)&amp;IF(LEN(MONTH(C24))=1,"0","")&amp;MONTH(C24)&amp;IF(LEN(DAY(C24))=1,"0","")&amp;DAY(C24)</f>
        <v>#20161221</v>
      </c>
      <c r="E24" s="95" t="s">
        <v>109</v>
      </c>
      <c r="F24" s="101"/>
      <c r="G24" s="101"/>
      <c r="H24" s="101"/>
      <c r="I24" s="90">
        <f>(_xll.qlYieldTSDiscount(YieldCurve,$G$20,,AllTriggers)/_xll.qlYieldTSDiscount(YieldCurve,C24,,AllTriggers)-1)/B24</f>
        <v>7.1930828392576234E-3</v>
      </c>
      <c r="J24" s="101" t="str">
        <f>Currency&amp;"_CURVE_DEP"&amp;CurveTenor&amp;"_"&amp;D24</f>
        <v>USD_CURVE_DEP3M_#20161221</v>
      </c>
      <c r="K24" s="101"/>
      <c r="L24" s="51"/>
      <c r="R24" s="23"/>
      <c r="S24" s="23"/>
    </row>
    <row r="25" spans="1:19" x14ac:dyDescent="0.2">
      <c r="A25" s="23"/>
      <c r="B25" s="180">
        <f>_xll.qlDayCounterYearFraction("actual/360",$G$20,C25,,,Trigger)</f>
        <v>0.87222222222222223</v>
      </c>
      <c r="C25" s="166">
        <f>_xll.qlIMMNextDate(C24)</f>
        <v>42809</v>
      </c>
      <c r="D25" s="104" t="str">
        <f>"#"&amp;YEAR(C25)&amp;IF(LEN(MONTH(C25))=1,"0","")&amp;MONTH(C25)&amp;IF(LEN(DAY(C25))=1,"0","")&amp;DAY(C25)</f>
        <v>#20170315</v>
      </c>
      <c r="E25" s="181" t="s">
        <v>109</v>
      </c>
      <c r="F25" s="105"/>
      <c r="G25" s="105"/>
      <c r="H25" s="105"/>
      <c r="I25" s="91">
        <f>(_xll.qlYieldTSDiscount(YieldCurve,$G$20,,AllTriggers)/_xll.qlYieldTSDiscount(YieldCurve,C25,,AllTriggers)-1)/B25</f>
        <v>7.6560401421666502E-3</v>
      </c>
      <c r="J25" s="105" t="str">
        <f>Currency&amp;"_CURVE_DEP"&amp;CurveTenor&amp;"_"&amp;D25</f>
        <v>USD_CURVE_DEP3M_#20170315</v>
      </c>
      <c r="K25" s="105"/>
      <c r="L25" s="51"/>
      <c r="R25" s="23"/>
      <c r="S25" s="23"/>
    </row>
    <row r="26" spans="1:19" x14ac:dyDescent="0.2">
      <c r="A26" s="23"/>
      <c r="B26" s="23"/>
      <c r="C26" s="23" t="b">
        <v>1</v>
      </c>
      <c r="D26" s="83" t="str">
        <f t="array" ref="D26:D34">_xll.qlIMMNextCodes(EvaluationDate+2,C26:C34)</f>
        <v>M6</v>
      </c>
      <c r="E26" s="76" t="s">
        <v>98</v>
      </c>
      <c r="F26" s="84">
        <f>_xll.qlInterestRateIndexFixingDate(IborIndex,G26)</f>
        <v>42534</v>
      </c>
      <c r="G26" s="94">
        <f>_xll.qlIMMdate(D26)</f>
        <v>42536</v>
      </c>
      <c r="H26" s="84">
        <f>_xll.qlInterestRateIndexMaturity(IborIndex,G26)</f>
        <v>42628</v>
      </c>
      <c r="I26" s="159">
        <f>(1-_xll.qlIndexFixing(IborIndex,F26,TRUE,AllTriggers))*100</f>
        <v>99.31266154548635</v>
      </c>
      <c r="J26" s="90" t="str">
        <f t="shared" ref="J26:J34" si="2">Currency&amp;"_CURVE_"&amp;E26&amp;CurveTenor&amp;"_"&amp;D26</f>
        <v>USD_CURVE_FUT3M_M6</v>
      </c>
      <c r="K26" s="90" t="str">
        <f>"ED"&amp;D26</f>
        <v>EDM6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U6</v>
      </c>
      <c r="E27" s="77" t="s">
        <v>98</v>
      </c>
      <c r="F27" s="87">
        <f>_xll.qlInterestRateIndexFixingDate(IborIndex,G27)</f>
        <v>42632</v>
      </c>
      <c r="G27" s="88">
        <f>_xll.qlIMMdate(D27)</f>
        <v>42634</v>
      </c>
      <c r="H27" s="87">
        <f>_xll.qlInterestRateIndexMaturity(IborIndex,G27)</f>
        <v>42725</v>
      </c>
      <c r="I27" s="160">
        <f>(1-_xll.qlIndexFixing(IborIndex,F27,TRUE,AllTriggers))*100</f>
        <v>99.203235783712387</v>
      </c>
      <c r="J27" s="79" t="str">
        <f t="shared" si="2"/>
        <v>USD_CURVE_FUT3M_U6</v>
      </c>
      <c r="K27" s="79" t="str">
        <f t="shared" ref="K27:K34" si="3">"ED"&amp;D27</f>
        <v>EDU6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Z6</v>
      </c>
      <c r="E28" s="77" t="s">
        <v>98</v>
      </c>
      <c r="F28" s="87">
        <f>_xll.qlInterestRateIndexFixingDate(IborIndex,G28)</f>
        <v>42723</v>
      </c>
      <c r="G28" s="88">
        <f>_xll.qlIMMdate(D28)</f>
        <v>42725</v>
      </c>
      <c r="H28" s="87">
        <f>_xll.qlInterestRateIndexMaturity(IborIndex,G28)</f>
        <v>42815</v>
      </c>
      <c r="I28" s="160">
        <f>(1-_xll.qlIndexFixing(IborIndex,F28,TRUE,AllTriggers))*100</f>
        <v>99.109028505318435</v>
      </c>
      <c r="J28" s="79" t="str">
        <f t="shared" si="2"/>
        <v>USD_CURVE_FUT3M_Z6</v>
      </c>
      <c r="K28" s="79" t="str">
        <f t="shared" si="3"/>
        <v>EDZ6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H7</v>
      </c>
      <c r="E29" s="77" t="s">
        <v>98</v>
      </c>
      <c r="F29" s="87">
        <f>_xll.qlInterestRateIndexFixingDate(IborIndex,G29)</f>
        <v>42807</v>
      </c>
      <c r="G29" s="88">
        <f>_xll.qlIMMdate(D29)</f>
        <v>42809</v>
      </c>
      <c r="H29" s="87">
        <f>_xll.qlInterestRateIndexMaturity(IborIndex,G29)</f>
        <v>42901</v>
      </c>
      <c r="I29" s="160">
        <f>(1-_xll.qlIndexFixing(IborIndex,F29,TRUE,AllTriggers))*100</f>
        <v>99.045006039341104</v>
      </c>
      <c r="J29" s="79" t="str">
        <f t="shared" si="2"/>
        <v>USD_CURVE_FUT3M_H7</v>
      </c>
      <c r="K29" s="79" t="str">
        <f t="shared" si="3"/>
        <v>EDH7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M7</v>
      </c>
      <c r="E30" s="77" t="s">
        <v>98</v>
      </c>
      <c r="F30" s="88">
        <f>_xll.qlInterestRateIndexFixingDate(IborIndex,G30)</f>
        <v>42905</v>
      </c>
      <c r="G30" s="88">
        <f>_xll.qlIMMdate(D30)</f>
        <v>42907</v>
      </c>
      <c r="H30" s="88">
        <f>_xll.qlInterestRateIndexMaturity(IborIndex,G30)</f>
        <v>42999</v>
      </c>
      <c r="I30" s="161">
        <f>(1-_xll.qlIndexFixing(IborIndex,F30,TRUE,AllTriggers))*100</f>
        <v>98.981392353035659</v>
      </c>
      <c r="J30" s="80" t="str">
        <f t="shared" si="2"/>
        <v>USD_CURVE_FUT3M_M7</v>
      </c>
      <c r="K30" s="80" t="str">
        <f t="shared" si="3"/>
        <v>EDM7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U7</v>
      </c>
      <c r="E31" s="77" t="s">
        <v>98</v>
      </c>
      <c r="F31" s="88">
        <f>_xll.qlInterestRateIndexFixingDate(IborIndex,G31)</f>
        <v>42996</v>
      </c>
      <c r="G31" s="88">
        <f>_xll.qlIMMdate(D31)</f>
        <v>42998</v>
      </c>
      <c r="H31" s="88">
        <f>_xll.qlInterestRateIndexMaturity(IborIndex,G31)</f>
        <v>43089</v>
      </c>
      <c r="I31" s="161">
        <f>(1-_xll.qlIndexFixing(IborIndex,F31,TRUE,AllTriggers))*100</f>
        <v>98.912912088590858</v>
      </c>
      <c r="J31" s="80" t="str">
        <f t="shared" si="2"/>
        <v>USD_CURVE_FUT3M_U7</v>
      </c>
      <c r="K31" s="80" t="str">
        <f t="shared" si="3"/>
        <v>EDU7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Z7</v>
      </c>
      <c r="E32" s="77" t="s">
        <v>98</v>
      </c>
      <c r="F32" s="87">
        <f>_xll.qlInterestRateIndexFixingDate(IborIndex,G32)</f>
        <v>43087</v>
      </c>
      <c r="G32" s="88">
        <f>_xll.qlIMMdate(D32)</f>
        <v>43089</v>
      </c>
      <c r="H32" s="87">
        <f>_xll.qlInterestRateIndexMaturity(IborIndex,G32)</f>
        <v>43179</v>
      </c>
      <c r="I32" s="160">
        <f>(1-_xll.qlIndexFixing(IborIndex,F32,TRUE,AllTriggers))*100</f>
        <v>98.839659789836361</v>
      </c>
      <c r="J32" s="79" t="str">
        <f t="shared" si="2"/>
        <v>USD_CURVE_FUT3M_Z7</v>
      </c>
      <c r="K32" s="79" t="str">
        <f t="shared" si="3"/>
        <v>EDZ7</v>
      </c>
      <c r="R32" s="23"/>
      <c r="S32" s="23"/>
    </row>
    <row r="33" spans="1:19" x14ac:dyDescent="0.2">
      <c r="A33" s="23"/>
      <c r="B33" s="23"/>
      <c r="C33" s="23" t="b">
        <v>1</v>
      </c>
      <c r="D33" s="86" t="str">
        <v>H8</v>
      </c>
      <c r="E33" s="77" t="s">
        <v>98</v>
      </c>
      <c r="F33" s="87">
        <f>_xll.qlInterestRateIndexFixingDate(IborIndex,G33)</f>
        <v>43178</v>
      </c>
      <c r="G33" s="88">
        <f>_xll.qlIMMdate(D33)</f>
        <v>43180</v>
      </c>
      <c r="H33" s="87">
        <f>_xll.qlInterestRateIndexMaturity(IborIndex,G33)</f>
        <v>43272</v>
      </c>
      <c r="I33" s="160">
        <f>(1-_xll.qlIndexFixing(IborIndex,F33,TRUE,AllTriggers))*100</f>
        <v>98.786692375272395</v>
      </c>
      <c r="J33" s="79" t="str">
        <f t="shared" ref="J33" si="4">Currency&amp;"_CURVE_"&amp;E33&amp;CurveTenor&amp;"_"&amp;D33</f>
        <v>USD_CURVE_FUT3M_H8</v>
      </c>
      <c r="K33" s="79" t="str">
        <f t="shared" ref="K33" si="5">"ED"&amp;D33</f>
        <v>EDH8</v>
      </c>
      <c r="R33" s="23"/>
      <c r="S33" s="23"/>
    </row>
    <row r="34" spans="1:19" x14ac:dyDescent="0.2">
      <c r="A34" s="23"/>
      <c r="B34" s="23"/>
      <c r="C34" s="23" t="b">
        <v>1</v>
      </c>
      <c r="D34" s="86" t="str">
        <v>M8</v>
      </c>
      <c r="E34" s="77" t="s">
        <v>98</v>
      </c>
      <c r="F34" s="87">
        <f>_xll.qlInterestRateIndexFixingDate(IborIndex,G34)</f>
        <v>43269</v>
      </c>
      <c r="G34" s="88">
        <f>_xll.qlIMMdate(D34)</f>
        <v>43271</v>
      </c>
      <c r="H34" s="87">
        <f>_xll.qlInterestRateIndexMaturity(IborIndex,G34)</f>
        <v>43363</v>
      </c>
      <c r="I34" s="160">
        <f>(1-_xll.qlIndexFixing(IborIndex,F34,TRUE,AllTriggers))*100</f>
        <v>98.756623341921681</v>
      </c>
      <c r="J34" s="79" t="str">
        <f t="shared" si="2"/>
        <v>USD_CURVE_FUT3M_M8</v>
      </c>
      <c r="K34" s="79" t="str">
        <f t="shared" si="3"/>
        <v>EDM8</v>
      </c>
      <c r="M34" s="35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</row>
    <row r="35" spans="1:19" x14ac:dyDescent="0.2">
      <c r="D35" s="83" t="s">
        <v>20</v>
      </c>
      <c r="E35" s="76" t="s">
        <v>92</v>
      </c>
      <c r="F35" s="94">
        <f>SwapFixingDate</f>
        <v>42493</v>
      </c>
      <c r="G35" s="94">
        <f>_xll.qlInterestRateIndexValueDate(M35,F35)</f>
        <v>42495</v>
      </c>
      <c r="H35" s="94">
        <f>_xll.qlInterestRateIndexMaturity(M35,G35)</f>
        <v>42860</v>
      </c>
      <c r="I35" s="85">
        <f>_xll.qlIndexFixing(M35,F35,TRUE,AllTriggers)</f>
        <v>7.9030212301756525E-3</v>
      </c>
      <c r="J35" s="85" t="str">
        <f t="shared" ref="J35:J63" si="6">Currency&amp;"_CURVE_"&amp;CurveTenor&amp;"_"&amp;D35</f>
        <v>USD_CURVE_3M_1Y</v>
      </c>
      <c r="K35" s="85" t="s">
        <v>117</v>
      </c>
      <c r="L35" s="51"/>
      <c r="M35" s="52" t="str">
        <f>_xll.qlSwapIndex(,"NoFix",D35,2,Currency,JoinCalendar,FixedLegTenor,FixedLegBDC,FixedLegDayCounter,IborIndex,DiscountingCurve,,Trigger)</f>
        <v>obj_003d7#0000</v>
      </c>
      <c r="N35" s="34"/>
      <c r="O35" s="36" t="s">
        <v>20</v>
      </c>
      <c r="P35" s="36" t="s">
        <v>37</v>
      </c>
      <c r="Q35" s="36" t="s">
        <v>93</v>
      </c>
    </row>
    <row r="36" spans="1:19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1:19" x14ac:dyDescent="0.2">
      <c r="D37" s="86"/>
      <c r="E37" s="77"/>
      <c r="F37" s="88"/>
      <c r="G37" s="88"/>
      <c r="H37" s="88"/>
      <c r="I37" s="80"/>
      <c r="J37" s="80"/>
      <c r="K37" s="80"/>
      <c r="L37" s="51"/>
      <c r="M37" s="52"/>
      <c r="N37" s="34"/>
      <c r="O37" s="37"/>
      <c r="P37" s="34"/>
      <c r="Q37" s="37"/>
    </row>
    <row r="38" spans="1:19" x14ac:dyDescent="0.2">
      <c r="D38" s="86"/>
      <c r="E38" s="77"/>
      <c r="F38" s="88"/>
      <c r="G38" s="88"/>
      <c r="H38" s="88"/>
      <c r="I38" s="80"/>
      <c r="J38" s="80"/>
      <c r="K38" s="80"/>
      <c r="L38" s="51"/>
      <c r="M38" s="52"/>
      <c r="N38" s="34"/>
      <c r="O38" s="37"/>
      <c r="P38" s="34"/>
      <c r="Q38" s="37"/>
    </row>
    <row r="39" spans="1:19" x14ac:dyDescent="0.2">
      <c r="D39" s="86" t="s">
        <v>21</v>
      </c>
      <c r="E39" s="77" t="s">
        <v>92</v>
      </c>
      <c r="F39" s="88">
        <f t="shared" ref="F39:F70" si="7">SwapFixingDate</f>
        <v>42493</v>
      </c>
      <c r="G39" s="88">
        <f>_xll.qlInterestRateIndexValueDate(M39,F39)</f>
        <v>42495</v>
      </c>
      <c r="H39" s="88">
        <f>_xll.qlInterestRateIndexMaturity(M39,G39)</f>
        <v>43228</v>
      </c>
      <c r="I39" s="80">
        <f>_xll.qlIndexFixing(M39,F39,TRUE,AllTriggers)</f>
        <v>9.4129984193883458E-3</v>
      </c>
      <c r="J39" s="80" t="str">
        <f t="shared" si="6"/>
        <v>USD_CURVE_3M_2Y</v>
      </c>
      <c r="K39" s="80" t="s">
        <v>118</v>
      </c>
      <c r="L39" s="51"/>
      <c r="M39" s="52" t="str">
        <f>_xll.qlSwapIndex(,"NoFix",D39,2,Currency,JoinCalendar,FixedLegTenor,FixedLegBDC,FixedLegDayCounter,IborIndex,DiscountingCurve,,Trigger)</f>
        <v>obj_00400#0000</v>
      </c>
      <c r="N39" s="34"/>
      <c r="O39" s="37"/>
      <c r="P39" s="34"/>
      <c r="Q39" s="37"/>
    </row>
    <row r="40" spans="1:19" x14ac:dyDescent="0.2">
      <c r="D40" s="86" t="s">
        <v>22</v>
      </c>
      <c r="E40" s="77" t="s">
        <v>92</v>
      </c>
      <c r="F40" s="88">
        <f t="shared" si="7"/>
        <v>42493</v>
      </c>
      <c r="G40" s="88">
        <f>_xll.qlInterestRateIndexValueDate(M40,F40)</f>
        <v>42495</v>
      </c>
      <c r="H40" s="88">
        <f>_xll.qlInterestRateIndexMaturity(M40,G40)</f>
        <v>43592</v>
      </c>
      <c r="I40" s="80">
        <f>_xll.qlIndexFixing(M40,F40,TRUE,AllTriggers)</f>
        <v>1.0579999999987544E-2</v>
      </c>
      <c r="J40" s="80" t="str">
        <f t="shared" si="6"/>
        <v>USD_CURVE_3M_3Y</v>
      </c>
      <c r="K40" s="80" t="s">
        <v>119</v>
      </c>
      <c r="L40" s="23"/>
      <c r="M40" s="52" t="str">
        <f>_xll.qlSwapIndex(,"NoFix",D40,2,Currency,JoinCalendar,FixedLegTenor,FixedLegBDC,FixedLegDayCounter,IborIndex,DiscountingCurve,,Trigger)</f>
        <v>obj_00415#0000</v>
      </c>
      <c r="N40" s="34"/>
      <c r="O40" s="37"/>
      <c r="P40" s="34"/>
      <c r="Q40" s="37"/>
    </row>
    <row r="41" spans="1:19" x14ac:dyDescent="0.2">
      <c r="D41" s="86" t="s">
        <v>23</v>
      </c>
      <c r="E41" s="77" t="s">
        <v>92</v>
      </c>
      <c r="F41" s="88">
        <f t="shared" si="7"/>
        <v>42493</v>
      </c>
      <c r="G41" s="88">
        <f>_xll.qlInterestRateIndexValueDate(M41,F41)</f>
        <v>42495</v>
      </c>
      <c r="H41" s="88">
        <f>_xll.qlInterestRateIndexMaturity(M41,G41)</f>
        <v>43956</v>
      </c>
      <c r="I41" s="80">
        <f>_xll.qlIndexFixing(M41,F41,TRUE,AllTriggers)</f>
        <v>1.1760000000013652E-2</v>
      </c>
      <c r="J41" s="80" t="str">
        <f t="shared" si="6"/>
        <v>USD_CURVE_3M_4Y</v>
      </c>
      <c r="K41" s="80" t="s">
        <v>120</v>
      </c>
      <c r="L41" s="23"/>
      <c r="M41" s="52" t="str">
        <f>_xll.qlSwapIndex(,"NoFix",D41,2,Currency,JoinCalendar,FixedLegTenor,FixedLegBDC,FixedLegDayCounter,IborIndex,DiscountingCurve,,Trigger)</f>
        <v>obj_003e6#0000</v>
      </c>
      <c r="N41" s="34"/>
      <c r="O41" s="37"/>
      <c r="P41" s="34"/>
      <c r="Q41" s="37"/>
    </row>
    <row r="42" spans="1:19" x14ac:dyDescent="0.2">
      <c r="D42" s="86" t="s">
        <v>24</v>
      </c>
      <c r="E42" s="77" t="s">
        <v>92</v>
      </c>
      <c r="F42" s="88">
        <f t="shared" si="7"/>
        <v>42493</v>
      </c>
      <c r="G42" s="88">
        <f>_xll.qlInterestRateIndexValueDate(M42,F42)</f>
        <v>42495</v>
      </c>
      <c r="H42" s="88">
        <f>_xll.qlInterestRateIndexMaturity(M42,G42)</f>
        <v>44321</v>
      </c>
      <c r="I42" s="80">
        <f>_xll.qlIndexFixing(M42,F42,TRUE,AllTriggers)</f>
        <v>1.2859999999983007E-2</v>
      </c>
      <c r="J42" s="80" t="str">
        <f t="shared" si="6"/>
        <v>USD_CURVE_3M_5Y</v>
      </c>
      <c r="K42" s="80" t="s">
        <v>121</v>
      </c>
      <c r="L42" s="23"/>
      <c r="M42" s="52" t="str">
        <f>_xll.qlSwapIndex(,"NoFix",D42,2,Currency,JoinCalendar,FixedLegTenor,FixedLegBDC,FixedLegDayCounter,IborIndex,DiscountingCurve,,Trigger)</f>
        <v>obj_0043c#0000</v>
      </c>
      <c r="N42" s="34"/>
      <c r="O42" s="37"/>
      <c r="P42" s="34"/>
      <c r="Q42" s="37"/>
    </row>
    <row r="43" spans="1:19" x14ac:dyDescent="0.2">
      <c r="D43" s="86" t="s">
        <v>66</v>
      </c>
      <c r="E43" s="77" t="s">
        <v>92</v>
      </c>
      <c r="F43" s="88">
        <f t="shared" si="7"/>
        <v>42493</v>
      </c>
      <c r="G43" s="88">
        <f>_xll.qlInterestRateIndexValueDate(M43,F43)</f>
        <v>42495</v>
      </c>
      <c r="H43" s="88">
        <f>_xll.qlInterestRateIndexMaturity(M43,G43)</f>
        <v>44686</v>
      </c>
      <c r="I43" s="80">
        <f>_xll.qlIndexFixing(M43,F43,TRUE,AllTriggers)</f>
        <v>1.3920000000000536E-2</v>
      </c>
      <c r="J43" s="80" t="str">
        <f t="shared" si="6"/>
        <v>USD_CURVE_3M_6Y</v>
      </c>
      <c r="K43" s="80" t="s">
        <v>122</v>
      </c>
      <c r="L43" s="23"/>
      <c r="M43" s="52" t="str">
        <f>_xll.qlSwapIndex(,"NoFix",D43,2,Currency,JoinCalendar,FixedLegTenor,FixedLegBDC,FixedLegDayCounter,IborIndex,DiscountingCurve,,Trigger)</f>
        <v>obj_003b6#0000</v>
      </c>
      <c r="N43" s="34"/>
      <c r="O43" s="37"/>
      <c r="P43" s="34"/>
      <c r="Q43" s="37"/>
    </row>
    <row r="44" spans="1:19" x14ac:dyDescent="0.2">
      <c r="D44" s="86" t="s">
        <v>25</v>
      </c>
      <c r="E44" s="77" t="s">
        <v>92</v>
      </c>
      <c r="F44" s="88">
        <f t="shared" si="7"/>
        <v>42493</v>
      </c>
      <c r="G44" s="88">
        <f>_xll.qlInterestRateIndexValueDate(M44,F44)</f>
        <v>42495</v>
      </c>
      <c r="H44" s="88">
        <f>_xll.qlInterestRateIndexMaturity(M44,G44)</f>
        <v>45051</v>
      </c>
      <c r="I44" s="80">
        <f>_xll.qlIndexFixing(M44,F44,TRUE,AllTriggers)</f>
        <v>1.4859999999990261E-2</v>
      </c>
      <c r="J44" s="80" t="str">
        <f t="shared" si="6"/>
        <v>USD_CURVE_3M_7Y</v>
      </c>
      <c r="K44" s="80" t="s">
        <v>123</v>
      </c>
      <c r="L44" s="23"/>
      <c r="M44" s="52" t="str">
        <f>_xll.qlSwapIndex(,"NoFix",D44,2,Currency,JoinCalendar,FixedLegTenor,FixedLegBDC,FixedLegDayCounter,IborIndex,DiscountingCurve,,Trigger)</f>
        <v>obj_003eb#0000</v>
      </c>
      <c r="N44" s="34"/>
      <c r="O44" s="37"/>
      <c r="P44" s="34"/>
      <c r="Q44" s="37"/>
    </row>
    <row r="45" spans="1:19" x14ac:dyDescent="0.2">
      <c r="D45" s="86" t="s">
        <v>67</v>
      </c>
      <c r="E45" s="77" t="s">
        <v>92</v>
      </c>
      <c r="F45" s="88">
        <f t="shared" si="7"/>
        <v>42493</v>
      </c>
      <c r="G45" s="88">
        <f>_xll.qlInterestRateIndexValueDate(M45,F45)</f>
        <v>42495</v>
      </c>
      <c r="H45" s="88">
        <f>_xll.qlInterestRateIndexMaturity(M45,G45)</f>
        <v>45419</v>
      </c>
      <c r="I45" s="80">
        <f>_xll.qlIndexFixing(M45,F45,TRUE,AllTriggers)</f>
        <v>1.5709999999994961E-2</v>
      </c>
      <c r="J45" s="80" t="str">
        <f t="shared" si="6"/>
        <v>USD_CURVE_3M_8Y</v>
      </c>
      <c r="K45" s="80" t="s">
        <v>124</v>
      </c>
      <c r="L45" s="23"/>
      <c r="M45" s="52" t="str">
        <f>_xll.qlSwapIndex(,"NoFix",D45,2,Currency,JoinCalendar,FixedLegTenor,FixedLegBDC,FixedLegDayCounter,IborIndex,DiscountingCurve,,Trigger)</f>
        <v>obj_003ff#0000</v>
      </c>
      <c r="N45" s="34"/>
      <c r="O45" s="34"/>
      <c r="P45" s="34"/>
      <c r="Q45" s="34"/>
    </row>
    <row r="46" spans="1:19" x14ac:dyDescent="0.2">
      <c r="D46" s="86" t="s">
        <v>68</v>
      </c>
      <c r="E46" s="77" t="s">
        <v>92</v>
      </c>
      <c r="F46" s="88">
        <f t="shared" si="7"/>
        <v>42493</v>
      </c>
      <c r="G46" s="88">
        <f>_xll.qlInterestRateIndexValueDate(M46,F46)</f>
        <v>42495</v>
      </c>
      <c r="H46" s="88">
        <f>_xll.qlInterestRateIndexMaturity(M46,G46)</f>
        <v>45783</v>
      </c>
      <c r="I46" s="80">
        <f>_xll.qlIndexFixing(M46,F46,TRUE,AllTriggers)</f>
        <v>1.647999999989716E-2</v>
      </c>
      <c r="J46" s="80" t="str">
        <f t="shared" si="6"/>
        <v>USD_CURVE_3M_9Y</v>
      </c>
      <c r="K46" s="80" t="s">
        <v>125</v>
      </c>
      <c r="L46" s="34"/>
      <c r="M46" s="52" t="str">
        <f>_xll.qlSwapIndex(,"NoFix",D46,2,Currency,JoinCalendar,FixedLegTenor,FixedLegBDC,FixedLegDayCounter,IborIndex,DiscountingCurve,,Trigger)</f>
        <v>obj_00434#0000</v>
      </c>
      <c r="N46" s="34"/>
      <c r="O46" s="34"/>
      <c r="P46" s="34"/>
      <c r="Q46" s="34"/>
    </row>
    <row r="47" spans="1:19" x14ac:dyDescent="0.2">
      <c r="D47" s="86" t="s">
        <v>26</v>
      </c>
      <c r="E47" s="77" t="s">
        <v>92</v>
      </c>
      <c r="F47" s="88">
        <f t="shared" si="7"/>
        <v>42493</v>
      </c>
      <c r="G47" s="88">
        <f>_xll.qlInterestRateIndexValueDate(M47,F47)</f>
        <v>42495</v>
      </c>
      <c r="H47" s="88">
        <f>_xll.qlInterestRateIndexMaturity(M47,G47)</f>
        <v>46147</v>
      </c>
      <c r="I47" s="80">
        <f>_xll.qlIndexFixing(M47,F47,TRUE,AllTriggers)</f>
        <v>1.7190000000270021E-2</v>
      </c>
      <c r="J47" s="80" t="str">
        <f t="shared" si="6"/>
        <v>USD_CURVE_3M_10Y</v>
      </c>
      <c r="K47" s="80" t="s">
        <v>126</v>
      </c>
      <c r="L47" s="34"/>
      <c r="M47" s="52" t="str">
        <f>_xll.qlSwapIndex(,"NoFix",D47,2,Currency,JoinCalendar,FixedLegTenor,FixedLegBDC,FixedLegDayCounter,IborIndex,DiscountingCurve,,Trigger)</f>
        <v>obj_00412#0000</v>
      </c>
      <c r="N47" s="34"/>
      <c r="O47" s="34"/>
      <c r="P47" s="34"/>
      <c r="Q47" s="34"/>
    </row>
    <row r="48" spans="1:19" x14ac:dyDescent="0.2">
      <c r="D48" s="86" t="s">
        <v>69</v>
      </c>
      <c r="E48" s="77" t="s">
        <v>92</v>
      </c>
      <c r="F48" s="88">
        <f t="shared" si="7"/>
        <v>42493</v>
      </c>
      <c r="G48" s="88">
        <f>_xll.qlInterestRateIndexValueDate(M48,F48)</f>
        <v>42495</v>
      </c>
      <c r="H48" s="88">
        <f>_xll.qlInterestRateIndexMaturity(M48,G48)</f>
        <v>46512</v>
      </c>
      <c r="I48" s="80">
        <f>_xll.qlIndexFixing(M48,F48,TRUE,AllTriggers)</f>
        <v>1.7844841619086671E-2</v>
      </c>
      <c r="J48" s="80" t="str">
        <f t="shared" si="6"/>
        <v>USD_CURVE_3M_11Y</v>
      </c>
      <c r="K48" s="80" t="s">
        <v>127</v>
      </c>
      <c r="L48" s="34"/>
      <c r="M48" s="52" t="str">
        <f>_xll.qlSwapIndex(,"NoFix",D48,2,Currency,JoinCalendar,FixedLegTenor,FixedLegBDC,FixedLegDayCounter,IborIndex,DiscountingCurve,,Trigger)</f>
        <v>obj_00429#0000</v>
      </c>
      <c r="N48" s="34"/>
      <c r="O48" s="34"/>
      <c r="P48" s="34"/>
      <c r="Q48" s="34"/>
    </row>
    <row r="49" spans="4:17" x14ac:dyDescent="0.2">
      <c r="D49" s="86" t="s">
        <v>27</v>
      </c>
      <c r="E49" s="77" t="s">
        <v>92</v>
      </c>
      <c r="F49" s="88">
        <f t="shared" si="7"/>
        <v>42493</v>
      </c>
      <c r="G49" s="88">
        <f>_xll.qlInterestRateIndexValueDate(M49,F49)</f>
        <v>42495</v>
      </c>
      <c r="H49" s="88">
        <f>_xll.qlInterestRateIndexMaturity(M49,G49)</f>
        <v>46878</v>
      </c>
      <c r="I49" s="80">
        <f>_xll.qlIndexFixing(M49,F49,TRUE,AllTriggers)</f>
        <v>1.8430000000000672E-2</v>
      </c>
      <c r="J49" s="80" t="str">
        <f t="shared" si="6"/>
        <v>USD_CURVE_3M_12Y</v>
      </c>
      <c r="K49" s="80" t="s">
        <v>128</v>
      </c>
      <c r="L49" s="34"/>
      <c r="M49" s="52" t="str">
        <f>_xll.qlSwapIndex(,"NoFix",D49,2,Currency,JoinCalendar,FixedLegTenor,FixedLegBDC,FixedLegDayCounter,IborIndex,DiscountingCurve,,Trigger)</f>
        <v>obj_00424#0000</v>
      </c>
      <c r="N49" s="34"/>
      <c r="O49" s="34"/>
      <c r="P49" s="34"/>
      <c r="Q49" s="34"/>
    </row>
    <row r="50" spans="4:17" x14ac:dyDescent="0.2">
      <c r="D50" s="86" t="s">
        <v>70</v>
      </c>
      <c r="E50" s="77" t="s">
        <v>92</v>
      </c>
      <c r="F50" s="88">
        <f t="shared" si="7"/>
        <v>42493</v>
      </c>
      <c r="G50" s="88">
        <f>_xll.qlInterestRateIndexValueDate(M50,F50)</f>
        <v>42495</v>
      </c>
      <c r="H50" s="88">
        <f>_xll.qlInterestRateIndexMaturity(M50,G50)</f>
        <v>47246</v>
      </c>
      <c r="I50" s="80">
        <f>_xll.qlIndexFixing(M50,F50,TRUE,AllTriggers)</f>
        <v>1.8938284311689958E-2</v>
      </c>
      <c r="J50" s="80" t="str">
        <f t="shared" si="6"/>
        <v>USD_CURVE_3M_13Y</v>
      </c>
      <c r="K50" s="80" t="s">
        <v>129</v>
      </c>
      <c r="L50" s="34"/>
      <c r="M50" s="52" t="str">
        <f>_xll.qlSwapIndex(,"NoFix",D50,2,Currency,JoinCalendar,FixedLegTenor,FixedLegBDC,FixedLegDayCounter,IborIndex,DiscountingCurve,,Trigger)</f>
        <v>obj_003d6#0000</v>
      </c>
      <c r="N50" s="34"/>
      <c r="O50" s="34"/>
      <c r="P50" s="34"/>
      <c r="Q50" s="34"/>
    </row>
    <row r="51" spans="4:17" x14ac:dyDescent="0.2">
      <c r="D51" s="86" t="s">
        <v>71</v>
      </c>
      <c r="E51" s="77" t="s">
        <v>92</v>
      </c>
      <c r="F51" s="88">
        <f t="shared" si="7"/>
        <v>42493</v>
      </c>
      <c r="G51" s="88">
        <f>_xll.qlInterestRateIndexValueDate(M51,F51)</f>
        <v>42495</v>
      </c>
      <c r="H51" s="88">
        <f>_xll.qlInterestRateIndexMaturity(M51,G51)</f>
        <v>47610</v>
      </c>
      <c r="I51" s="80">
        <f>_xll.qlIndexFixing(M51,F51,TRUE,AllTriggers)</f>
        <v>1.9374997715791532E-2</v>
      </c>
      <c r="J51" s="80" t="str">
        <f t="shared" si="6"/>
        <v>USD_CURVE_3M_14Y</v>
      </c>
      <c r="K51" s="80" t="s">
        <v>130</v>
      </c>
      <c r="L51" s="34"/>
      <c r="M51" s="52" t="str">
        <f>_xll.qlSwapIndex(,"NoFix",D51,2,Currency,JoinCalendar,FixedLegTenor,FixedLegBDC,FixedLegDayCounter,IborIndex,DiscountingCurve,,Trigger)</f>
        <v>obj_00428#0000</v>
      </c>
      <c r="N51" s="34"/>
      <c r="O51" s="34"/>
      <c r="P51" s="34"/>
      <c r="Q51" s="34"/>
    </row>
    <row r="52" spans="4:17" x14ac:dyDescent="0.2">
      <c r="D52" s="86" t="s">
        <v>28</v>
      </c>
      <c r="E52" s="77" t="s">
        <v>92</v>
      </c>
      <c r="F52" s="88">
        <f t="shared" si="7"/>
        <v>42493</v>
      </c>
      <c r="G52" s="88">
        <f>_xll.qlInterestRateIndexValueDate(M52,F52)</f>
        <v>42495</v>
      </c>
      <c r="H52" s="88">
        <f>_xll.qlInterestRateIndexMaturity(M52,G52)</f>
        <v>47974</v>
      </c>
      <c r="I52" s="80">
        <f>_xll.qlIndexFixing(M52,F52,TRUE,AllTriggers)</f>
        <v>1.975999999998649E-2</v>
      </c>
      <c r="J52" s="80" t="str">
        <f t="shared" si="6"/>
        <v>USD_CURVE_3M_15Y</v>
      </c>
      <c r="K52" s="80" t="s">
        <v>131</v>
      </c>
      <c r="L52" s="34"/>
      <c r="M52" s="52" t="str">
        <f>_xll.qlSwapIndex(,"NoFix",D52,2,Currency,JoinCalendar,FixedLegTenor,FixedLegBDC,FixedLegDayCounter,IborIndex,DiscountingCurve,,Trigger)</f>
        <v>obj_00411#0000</v>
      </c>
      <c r="N52" s="34"/>
      <c r="O52" s="34"/>
      <c r="P52" s="34"/>
      <c r="Q52" s="34"/>
    </row>
    <row r="53" spans="4:17" x14ac:dyDescent="0.2">
      <c r="D53" s="86" t="s">
        <v>72</v>
      </c>
      <c r="E53" s="77" t="s">
        <v>92</v>
      </c>
      <c r="F53" s="88">
        <f t="shared" si="7"/>
        <v>42493</v>
      </c>
      <c r="G53" s="88">
        <f>_xll.qlInterestRateIndexValueDate(M53,F53)</f>
        <v>42495</v>
      </c>
      <c r="H53" s="88">
        <f>_xll.qlInterestRateIndexMaturity(M53,G53)</f>
        <v>48339</v>
      </c>
      <c r="I53" s="80">
        <f>_xll.qlIndexFixing(M53,F53,TRUE,AllTriggers)</f>
        <v>2.0103649313946332E-2</v>
      </c>
      <c r="J53" s="80" t="str">
        <f t="shared" si="6"/>
        <v>USD_CURVE_3M_16Y</v>
      </c>
      <c r="K53" s="80" t="s">
        <v>132</v>
      </c>
      <c r="L53" s="34"/>
      <c r="M53" s="52" t="str">
        <f>_xll.qlSwapIndex(,"NoFix",D53,2,Currency,JoinCalendar,FixedLegTenor,FixedLegBDC,FixedLegDayCounter,IborIndex,DiscountingCurve,,Trigger)</f>
        <v>obj_003c4#0000</v>
      </c>
      <c r="N53" s="34"/>
      <c r="O53" s="34"/>
      <c r="P53" s="34"/>
      <c r="Q53" s="34"/>
    </row>
    <row r="54" spans="4:17" x14ac:dyDescent="0.2">
      <c r="D54" s="86" t="s">
        <v>73</v>
      </c>
      <c r="E54" s="77" t="s">
        <v>92</v>
      </c>
      <c r="F54" s="88">
        <f t="shared" si="7"/>
        <v>42493</v>
      </c>
      <c r="G54" s="88">
        <f>_xll.qlInterestRateIndexValueDate(M54,F54)</f>
        <v>42495</v>
      </c>
      <c r="H54" s="88">
        <f>_xll.qlInterestRateIndexMaturity(M54,G54)</f>
        <v>48704</v>
      </c>
      <c r="I54" s="80">
        <f>_xll.qlIndexFixing(M54,F54,TRUE,AllTriggers)</f>
        <v>2.0408959669745336E-2</v>
      </c>
      <c r="J54" s="80" t="str">
        <f t="shared" si="6"/>
        <v>USD_CURVE_3M_17Y</v>
      </c>
      <c r="K54" s="80" t="s">
        <v>133</v>
      </c>
      <c r="L54" s="34"/>
      <c r="M54" s="52" t="str">
        <f>_xll.qlSwapIndex(,"NoFix",D54,2,Currency,JoinCalendar,FixedLegTenor,FixedLegBDC,FixedLegDayCounter,IborIndex,DiscountingCurve,,Trigger)</f>
        <v>obj_003e5#0000</v>
      </c>
      <c r="N54" s="34"/>
      <c r="O54" s="34"/>
      <c r="P54" s="34"/>
      <c r="Q54" s="34"/>
    </row>
    <row r="55" spans="4:17" x14ac:dyDescent="0.2">
      <c r="D55" s="86" t="s">
        <v>74</v>
      </c>
      <c r="E55" s="77" t="s">
        <v>92</v>
      </c>
      <c r="F55" s="88">
        <f t="shared" si="7"/>
        <v>42493</v>
      </c>
      <c r="G55" s="88">
        <f>_xll.qlInterestRateIndexValueDate(M55,F55)</f>
        <v>42495</v>
      </c>
      <c r="H55" s="88">
        <f>_xll.qlInterestRateIndexMaturity(M55,G55)</f>
        <v>49069</v>
      </c>
      <c r="I55" s="80">
        <f>_xll.qlIndexFixing(M55,F55,TRUE,AllTriggers)</f>
        <v>2.0678548243498195E-2</v>
      </c>
      <c r="J55" s="80" t="str">
        <f t="shared" si="6"/>
        <v>USD_CURVE_3M_18Y</v>
      </c>
      <c r="K55" s="80" t="s">
        <v>134</v>
      </c>
      <c r="L55" s="34"/>
      <c r="M55" s="52" t="str">
        <f>_xll.qlSwapIndex(,"NoFix",D55,2,Currency,JoinCalendar,FixedLegTenor,FixedLegBDC,FixedLegDayCounter,IborIndex,DiscountingCurve,,Trigger)</f>
        <v>obj_00417#0000</v>
      </c>
      <c r="N55" s="34"/>
      <c r="O55" s="34"/>
      <c r="P55" s="34"/>
      <c r="Q55" s="34"/>
    </row>
    <row r="56" spans="4:17" x14ac:dyDescent="0.2">
      <c r="D56" s="86" t="s">
        <v>75</v>
      </c>
      <c r="E56" s="77" t="s">
        <v>92</v>
      </c>
      <c r="F56" s="88">
        <f t="shared" si="7"/>
        <v>42493</v>
      </c>
      <c r="G56" s="88">
        <f>_xll.qlInterestRateIndexValueDate(M56,F56)</f>
        <v>42495</v>
      </c>
      <c r="H56" s="88">
        <f>_xll.qlInterestRateIndexMaturity(M56,G56)</f>
        <v>49437</v>
      </c>
      <c r="I56" s="80">
        <f>_xll.qlIndexFixing(M56,F56,TRUE,AllTriggers)</f>
        <v>2.0916481981079996E-2</v>
      </c>
      <c r="J56" s="80" t="str">
        <f t="shared" si="6"/>
        <v>USD_CURVE_3M_19Y</v>
      </c>
      <c r="K56" s="80" t="s">
        <v>135</v>
      </c>
      <c r="L56" s="34"/>
      <c r="M56" s="52" t="str">
        <f>_xll.qlSwapIndex(,"NoFix",D56,2,Currency,JoinCalendar,FixedLegTenor,FixedLegBDC,FixedLegDayCounter,IborIndex,DiscountingCurve,,Trigger)</f>
        <v>obj_003c5#0000</v>
      </c>
      <c r="N56" s="34"/>
      <c r="O56" s="34"/>
      <c r="P56" s="34"/>
      <c r="Q56" s="34"/>
    </row>
    <row r="57" spans="4:17" x14ac:dyDescent="0.2">
      <c r="D57" s="86" t="s">
        <v>76</v>
      </c>
      <c r="E57" s="77" t="s">
        <v>92</v>
      </c>
      <c r="F57" s="88">
        <f t="shared" si="7"/>
        <v>42493</v>
      </c>
      <c r="G57" s="88">
        <f>_xll.qlInterestRateIndexValueDate(M57,F57)</f>
        <v>42495</v>
      </c>
      <c r="H57" s="88">
        <f>_xll.qlInterestRateIndexMaturity(M57,G57)</f>
        <v>49801</v>
      </c>
      <c r="I57" s="80">
        <f>_xll.qlIndexFixing(M57,F57,TRUE,AllTriggers)</f>
        <v>2.1119999999923995E-2</v>
      </c>
      <c r="J57" s="80" t="str">
        <f t="shared" si="6"/>
        <v>USD_CURVE_3M_20Y</v>
      </c>
      <c r="K57" s="80" t="s">
        <v>136</v>
      </c>
      <c r="L57" s="34"/>
      <c r="M57" s="52" t="str">
        <f>_xll.qlSwapIndex(,"NoFix",D57,2,Currency,JoinCalendar,FixedLegTenor,FixedLegBDC,FixedLegDayCounter,IborIndex,DiscountingCurve,,Trigger)</f>
        <v>obj_0040d#0000</v>
      </c>
    </row>
    <row r="58" spans="4:17" x14ac:dyDescent="0.2">
      <c r="D58" s="86" t="s">
        <v>77</v>
      </c>
      <c r="E58" s="77" t="s">
        <v>92</v>
      </c>
      <c r="F58" s="88">
        <f t="shared" si="7"/>
        <v>42493</v>
      </c>
      <c r="G58" s="88">
        <f>_xll.qlInterestRateIndexValueDate(M58,F58)</f>
        <v>42495</v>
      </c>
      <c r="H58" s="88">
        <f>_xll.qlInterestRateIndexMaturity(M58,G58)</f>
        <v>50165</v>
      </c>
      <c r="I58" s="80">
        <f>_xll.qlIndexFixing(M58,F58,TRUE,AllTriggers)</f>
        <v>2.129438290070703E-2</v>
      </c>
      <c r="J58" s="80" t="str">
        <f t="shared" si="6"/>
        <v>USD_CURVE_3M_21Y</v>
      </c>
      <c r="K58" s="80" t="s">
        <v>137</v>
      </c>
      <c r="M58" s="52" t="str">
        <f>_xll.qlSwapIndex(,"NoFix",D58,2,Currency,JoinCalendar,FixedLegTenor,FixedLegBDC,FixedLegDayCounter,IborIndex,DiscountingCurve,,Trigger)</f>
        <v>obj_003ce#0000</v>
      </c>
    </row>
    <row r="59" spans="4:17" x14ac:dyDescent="0.2">
      <c r="D59" s="86" t="s">
        <v>78</v>
      </c>
      <c r="E59" s="77" t="s">
        <v>92</v>
      </c>
      <c r="F59" s="88">
        <f t="shared" si="7"/>
        <v>42493</v>
      </c>
      <c r="G59" s="88">
        <f>_xll.qlInterestRateIndexValueDate(M59,F59)</f>
        <v>42495</v>
      </c>
      <c r="H59" s="88">
        <f>_xll.qlInterestRateIndexMaturity(M59,G59)</f>
        <v>50530</v>
      </c>
      <c r="I59" s="80">
        <f>_xll.qlIndexFixing(M59,F59,TRUE,AllTriggers)</f>
        <v>2.1445218851171871E-2</v>
      </c>
      <c r="J59" s="80" t="str">
        <f t="shared" si="6"/>
        <v>USD_CURVE_3M_22Y</v>
      </c>
      <c r="K59" s="80" t="s">
        <v>138</v>
      </c>
      <c r="M59" s="52" t="str">
        <f>_xll.qlSwapIndex(,"NoFix",D59,2,Currency,JoinCalendar,FixedLegTenor,FixedLegBDC,FixedLegDayCounter,IborIndex,DiscountingCurve,,Trigger)</f>
        <v>obj_003b5#0000</v>
      </c>
    </row>
    <row r="60" spans="4:17" x14ac:dyDescent="0.2">
      <c r="D60" s="86" t="s">
        <v>79</v>
      </c>
      <c r="E60" s="77" t="s">
        <v>92</v>
      </c>
      <c r="F60" s="88">
        <f t="shared" si="7"/>
        <v>42493</v>
      </c>
      <c r="G60" s="88">
        <f>_xll.qlInterestRateIndexValueDate(M60,F60)</f>
        <v>42495</v>
      </c>
      <c r="H60" s="88">
        <f>_xll.qlInterestRateIndexMaturity(M60,G60)</f>
        <v>50895</v>
      </c>
      <c r="I60" s="80">
        <f>_xll.qlIndexFixing(M60,F60,TRUE,AllTriggers)</f>
        <v>2.1576986790294895E-2</v>
      </c>
      <c r="J60" s="80" t="str">
        <f t="shared" si="6"/>
        <v>USD_CURVE_3M_23Y</v>
      </c>
      <c r="K60" s="80" t="s">
        <v>139</v>
      </c>
      <c r="M60" s="52" t="str">
        <f>_xll.qlSwapIndex(,"NoFix",D60,2,Currency,JoinCalendar,FixedLegTenor,FixedLegBDC,FixedLegDayCounter,IborIndex,DiscountingCurve,,Trigger)</f>
        <v>obj_003df#0000</v>
      </c>
    </row>
    <row r="61" spans="4:17" x14ac:dyDescent="0.2">
      <c r="D61" s="86" t="s">
        <v>80</v>
      </c>
      <c r="E61" s="77" t="s">
        <v>92</v>
      </c>
      <c r="F61" s="88">
        <f t="shared" si="7"/>
        <v>42493</v>
      </c>
      <c r="G61" s="88">
        <f>_xll.qlInterestRateIndexValueDate(M61,F61)</f>
        <v>42495</v>
      </c>
      <c r="H61" s="88">
        <f>_xll.qlInterestRateIndexMaturity(M61,G61)</f>
        <v>51264</v>
      </c>
      <c r="I61" s="80">
        <f>_xll.qlIndexFixing(M61,F61,TRUE,AllTriggers)</f>
        <v>2.1695110961545212E-2</v>
      </c>
      <c r="J61" s="80" t="str">
        <f t="shared" si="6"/>
        <v>USD_CURVE_3M_24Y</v>
      </c>
      <c r="K61" s="80" t="s">
        <v>140</v>
      </c>
      <c r="M61" s="52" t="str">
        <f>_xll.qlSwapIndex(,"NoFix",D61,2,Currency,JoinCalendar,FixedLegTenor,FixedLegBDC,FixedLegDayCounter,IborIndex,DiscountingCurve,,Trigger)</f>
        <v>obj_003b4#0000</v>
      </c>
    </row>
    <row r="62" spans="4:17" x14ac:dyDescent="0.2">
      <c r="D62" s="86" t="s">
        <v>81</v>
      </c>
      <c r="E62" s="77" t="s">
        <v>92</v>
      </c>
      <c r="F62" s="88">
        <f t="shared" si="7"/>
        <v>42493</v>
      </c>
      <c r="G62" s="88">
        <f>_xll.qlInterestRateIndexValueDate(M62,F62)</f>
        <v>42495</v>
      </c>
      <c r="H62" s="88">
        <f>_xll.qlInterestRateIndexMaturity(M62,G62)</f>
        <v>51628</v>
      </c>
      <c r="I62" s="80">
        <f>_xll.qlIndexFixing(M62,F62,TRUE,AllTriggers)</f>
        <v>2.180000000008377E-2</v>
      </c>
      <c r="J62" s="80" t="str">
        <f t="shared" si="6"/>
        <v>USD_CURVE_3M_25Y</v>
      </c>
      <c r="K62" s="80" t="s">
        <v>141</v>
      </c>
      <c r="M62" s="52" t="str">
        <f>_xll.qlSwapIndex(,"NoFix",D62,2,Currency,JoinCalendar,FixedLegTenor,FixedLegBDC,FixedLegDayCounter,IborIndex,DiscountingCurve,,Trigger)</f>
        <v>obj_0040c#0000</v>
      </c>
    </row>
    <row r="63" spans="4:17" x14ac:dyDescent="0.2">
      <c r="D63" s="86" t="s">
        <v>82</v>
      </c>
      <c r="E63" s="77" t="s">
        <v>92</v>
      </c>
      <c r="F63" s="88">
        <f t="shared" si="7"/>
        <v>42493</v>
      </c>
      <c r="G63" s="88">
        <f>_xll.qlInterestRateIndexValueDate(M63,F63)</f>
        <v>42495</v>
      </c>
      <c r="H63" s="88">
        <f>_xll.qlInterestRateIndexMaturity(M63,G63)</f>
        <v>51992</v>
      </c>
      <c r="I63" s="80">
        <f>_xll.qlIndexFixing(M63,F63,TRUE,AllTriggers)</f>
        <v>2.1895812381169725E-2</v>
      </c>
      <c r="J63" s="80" t="str">
        <f t="shared" si="6"/>
        <v>USD_CURVE_3M_26Y</v>
      </c>
      <c r="K63" s="80" t="s">
        <v>142</v>
      </c>
      <c r="M63" s="52" t="str">
        <f>_xll.qlSwapIndex(,"NoFix",D63,2,Currency,JoinCalendar,FixedLegTenor,FixedLegBDC,FixedLegDayCounter,IborIndex,DiscountingCurve,,Trigger)</f>
        <v>obj_003cf#0000</v>
      </c>
    </row>
    <row r="64" spans="4:17" x14ac:dyDescent="0.2">
      <c r="D64" s="86" t="s">
        <v>83</v>
      </c>
      <c r="E64" s="77" t="s">
        <v>92</v>
      </c>
      <c r="F64" s="88">
        <f t="shared" si="7"/>
        <v>42493</v>
      </c>
      <c r="G64" s="88">
        <f>_xll.qlInterestRateIndexValueDate(M64,F64)</f>
        <v>42495</v>
      </c>
      <c r="H64" s="88">
        <f>_xll.qlInterestRateIndexMaturity(M64,G64)</f>
        <v>52356</v>
      </c>
      <c r="I64" s="80">
        <f>_xll.qlIndexFixing(M64,F64,TRUE,AllTriggers)</f>
        <v>2.1982773647492428E-2</v>
      </c>
      <c r="J64" s="80" t="str">
        <f t="shared" ref="J64:J70" si="8">Currency&amp;"_CURVE_"&amp;CurveTenor&amp;"_"&amp;D64</f>
        <v>USD_CURVE_3M_27Y</v>
      </c>
      <c r="K64" s="80" t="s">
        <v>143</v>
      </c>
      <c r="M64" s="52" t="str">
        <f>_xll.qlSwapIndex(,"NoFix",D64,2,Currency,JoinCalendar,FixedLegTenor,FixedLegBDC,FixedLegDayCounter,IborIndex,DiscountingCurve,,Trigger)</f>
        <v>obj_003c6#0000</v>
      </c>
    </row>
    <row r="65" spans="4:13" x14ac:dyDescent="0.2">
      <c r="D65" s="86" t="s">
        <v>84</v>
      </c>
      <c r="E65" s="77" t="s">
        <v>92</v>
      </c>
      <c r="F65" s="88">
        <f t="shared" si="7"/>
        <v>42493</v>
      </c>
      <c r="G65" s="88">
        <f>_xll.qlInterestRateIndexValueDate(M65,F65)</f>
        <v>42495</v>
      </c>
      <c r="H65" s="88">
        <f>_xll.qlInterestRateIndexMaturity(M65,G65)</f>
        <v>52722</v>
      </c>
      <c r="I65" s="80">
        <f>_xll.qlIndexFixing(M65,F65,TRUE,AllTriggers)</f>
        <v>2.2061122217556791E-2</v>
      </c>
      <c r="J65" s="80" t="str">
        <f t="shared" si="8"/>
        <v>USD_CURVE_3M_28Y</v>
      </c>
      <c r="K65" s="80" t="s">
        <v>144</v>
      </c>
      <c r="M65" s="52" t="str">
        <f>_xll.qlSwapIndex(,"NoFix",D65,2,Currency,JoinCalendar,FixedLegTenor,FixedLegBDC,FixedLegDayCounter,IborIndex,DiscountingCurve,,Trigger)</f>
        <v>obj_003b7#0000</v>
      </c>
    </row>
    <row r="66" spans="4:13" x14ac:dyDescent="0.2">
      <c r="D66" s="86" t="s">
        <v>85</v>
      </c>
      <c r="E66" s="77" t="s">
        <v>92</v>
      </c>
      <c r="F66" s="88">
        <f t="shared" si="7"/>
        <v>42493</v>
      </c>
      <c r="G66" s="88">
        <f>_xll.qlInterestRateIndexValueDate(M66,F66)</f>
        <v>42495</v>
      </c>
      <c r="H66" s="88">
        <f>_xll.qlInterestRateIndexMaturity(M66,G66)</f>
        <v>53087</v>
      </c>
      <c r="I66" s="80">
        <f>_xll.qlIndexFixing(M66,F66,TRUE,AllTriggers)</f>
        <v>2.2129981196128006E-2</v>
      </c>
      <c r="J66" s="80" t="str">
        <f t="shared" si="8"/>
        <v>USD_CURVE_3M_29Y</v>
      </c>
      <c r="K66" s="80" t="s">
        <v>145</v>
      </c>
      <c r="M66" s="52" t="str">
        <f>_xll.qlSwapIndex(,"NoFix",D66,2,Currency,JoinCalendar,FixedLegTenor,FixedLegBDC,FixedLegDayCounter,IborIndex,DiscountingCurve,,Trigger)</f>
        <v>obj_003f6#0000</v>
      </c>
    </row>
    <row r="67" spans="4:13" x14ac:dyDescent="0.2">
      <c r="D67" s="86" t="s">
        <v>86</v>
      </c>
      <c r="E67" s="77" t="s">
        <v>92</v>
      </c>
      <c r="F67" s="88">
        <f t="shared" si="7"/>
        <v>42493</v>
      </c>
      <c r="G67" s="88">
        <f>_xll.qlInterestRateIndexValueDate(M67,F67)</f>
        <v>42495</v>
      </c>
      <c r="H67" s="88">
        <f>_xll.qlInterestRateIndexMaturity(M67,G67)</f>
        <v>53455</v>
      </c>
      <c r="I67" s="80">
        <f>_xll.qlIndexFixing(M67,F67,TRUE,AllTriggers)</f>
        <v>2.2189999999969456E-2</v>
      </c>
      <c r="J67" s="80" t="str">
        <f t="shared" si="8"/>
        <v>USD_CURVE_3M_30Y</v>
      </c>
      <c r="K67" s="80" t="s">
        <v>146</v>
      </c>
      <c r="M67" s="52" t="str">
        <f>_xll.qlSwapIndex(,"NoFix",D67,2,Currency,JoinCalendar,FixedLegTenor,FixedLegBDC,FixedLegDayCounter,IborIndex,DiscountingCurve,,Trigger)</f>
        <v>obj_003f1#0000</v>
      </c>
    </row>
    <row r="68" spans="4:13" x14ac:dyDescent="0.2">
      <c r="D68" s="86" t="s">
        <v>87</v>
      </c>
      <c r="E68" s="77" t="s">
        <v>92</v>
      </c>
      <c r="F68" s="88">
        <f t="shared" si="7"/>
        <v>42493</v>
      </c>
      <c r="G68" s="88">
        <f>_xll.qlInterestRateIndexValueDate(M68,F68)</f>
        <v>42495</v>
      </c>
      <c r="H68" s="88">
        <f>_xll.qlInterestRateIndexMaturity(M68,G68)</f>
        <v>57105</v>
      </c>
      <c r="I68" s="80">
        <f>_xll.qlIndexFixing(M68,F68,TRUE,AllTriggers)</f>
        <v>2.2390000000003712E-2</v>
      </c>
      <c r="J68" s="80" t="str">
        <f t="shared" si="8"/>
        <v>USD_CURVE_3M_40Y</v>
      </c>
      <c r="K68" s="80" t="s">
        <v>147</v>
      </c>
      <c r="M68" s="52" t="str">
        <f>_xll.qlSwapIndex(,"NoFix",D68,2,Currency,JoinCalendar,FixedLegTenor,FixedLegBDC,FixedLegDayCounter,IborIndex,DiscountingCurve,,Trigger)</f>
        <v>obj_00407#0000</v>
      </c>
    </row>
    <row r="69" spans="4:13" x14ac:dyDescent="0.2">
      <c r="D69" s="86" t="s">
        <v>88</v>
      </c>
      <c r="E69" s="77" t="s">
        <v>92</v>
      </c>
      <c r="F69" s="88">
        <f t="shared" si="7"/>
        <v>42493</v>
      </c>
      <c r="G69" s="88">
        <f>_xll.qlInterestRateIndexValueDate(M69,F69)</f>
        <v>42495</v>
      </c>
      <c r="H69" s="88">
        <f>_xll.qlInterestRateIndexMaturity(M69,G69)</f>
        <v>60757</v>
      </c>
      <c r="I69" s="80">
        <f>_xll.qlIndexFixing(M69,F69,TRUE,AllTriggers)</f>
        <v>2.2240000000000051E-2</v>
      </c>
      <c r="J69" s="80" t="str">
        <f t="shared" si="8"/>
        <v>USD_CURVE_3M_50Y</v>
      </c>
      <c r="K69" s="80" t="s">
        <v>148</v>
      </c>
      <c r="M69" s="52" t="str">
        <f>_xll.qlSwapIndex(,"NoFix",D69,2,Currency,JoinCalendar,FixedLegTenor,FixedLegBDC,FixedLegDayCounter,IborIndex,DiscountingCurve,,Trigger)</f>
        <v>obj_00426#0000</v>
      </c>
    </row>
    <row r="70" spans="4:13" x14ac:dyDescent="0.2">
      <c r="D70" s="89" t="s">
        <v>89</v>
      </c>
      <c r="E70" s="78" t="s">
        <v>92</v>
      </c>
      <c r="F70" s="92">
        <f t="shared" si="7"/>
        <v>42493</v>
      </c>
      <c r="G70" s="92">
        <f>_xll.qlInterestRateIndexValueDate(M70,F70)</f>
        <v>42495</v>
      </c>
      <c r="H70" s="92">
        <f>_xll.qlInterestRateIndexMaturity(M70,G70)</f>
        <v>64410</v>
      </c>
      <c r="I70" s="93">
        <f>_xll.qlIndexFixing(M70,F70,TRUE,AllTriggers)</f>
        <v>2.210025507328597E-2</v>
      </c>
      <c r="J70" s="93" t="str">
        <f t="shared" si="8"/>
        <v>USD_CURVE_3M_60Y</v>
      </c>
      <c r="K70" s="93" t="s">
        <v>149</v>
      </c>
      <c r="M70" s="58" t="str">
        <f>_xll.qlSwapIndex(,"NoFix",D70,2,Currency,JoinCalendar,FixedLegTenor,FixedLegBDC,FixedLegDayCounter,IborIndex,DiscountingCurve,,Trigger)</f>
        <v>obj_003d5#0000</v>
      </c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50</v>
      </c>
      <c r="F1" s="36" t="s">
        <v>11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51</v>
      </c>
      <c r="F2" s="36" t="str">
        <f>Currency&amp;CurveTenor</f>
        <v>USD6M</v>
      </c>
      <c r="G2" s="37"/>
      <c r="H2" s="37"/>
      <c r="I2" s="29"/>
      <c r="J2" s="37"/>
      <c r="K2" s="37"/>
      <c r="L2" s="37"/>
      <c r="M2" s="37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29</v>
      </c>
      <c r="F3" s="16" t="str">
        <f>IborIndexFamily&amp;CurveTenor</f>
        <v>UsdLibor6M</v>
      </c>
      <c r="G3" s="37"/>
      <c r="H3" s="37"/>
      <c r="I3" s="29"/>
      <c r="J3" s="37"/>
      <c r="K3" s="37"/>
      <c r="L3" s="37"/>
      <c r="M3" s="37"/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92</v>
      </c>
      <c r="E9" s="53" t="s">
        <v>94</v>
      </c>
      <c r="F9" s="27">
        <f t="shared" ref="F9:F20" si="0">FirstLiborFixingDate</f>
        <v>42493</v>
      </c>
      <c r="G9" s="27">
        <f>_xll.qlInterestRateIndexValueDate(M9,F9)</f>
        <v>42495</v>
      </c>
      <c r="H9" s="27">
        <f>_xll.qlInterestRateIndexMaturity(M9,G9)</f>
        <v>42502</v>
      </c>
      <c r="I9" s="21">
        <f>_xll.qlIndexFixing(M9,F9,TRUE,AllTriggers)</f>
        <v>8.0491346608495863E-3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obj_003aa#0000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13</v>
      </c>
      <c r="E10" s="53" t="s">
        <v>94</v>
      </c>
      <c r="F10" s="27">
        <f t="shared" si="0"/>
        <v>42493</v>
      </c>
      <c r="G10" s="27">
        <f>_xll.qlInterestRateIndexValueDate(M10,F10)</f>
        <v>42495</v>
      </c>
      <c r="H10" s="27">
        <f>_xll.qlInterestRateIndexMaturity(M10,G10)</f>
        <v>42509</v>
      </c>
      <c r="I10" s="21">
        <f>_xll.qlIndexFixing(M10,F10,TRUE,AllTriggers)</f>
        <v>8.060557576046179E-3</v>
      </c>
      <c r="J10" s="21" t="str">
        <f t="shared" ref="J10:J20" si="1">Currency&amp;"_CURVE_DEP"&amp;CurveTenor&amp;"_"&amp;D10</f>
        <v>USD_CURVE_DEP6M_2W</v>
      </c>
      <c r="K10" s="21"/>
      <c r="L10" s="23"/>
      <c r="M10" s="14" t="str">
        <f>_xll.qlLibor(,Currency,D10,YieldCurve,,Trigger)</f>
        <v>obj_003ad#0000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65</v>
      </c>
      <c r="E11" s="53" t="s">
        <v>94</v>
      </c>
      <c r="F11" s="27">
        <f t="shared" si="0"/>
        <v>42493</v>
      </c>
      <c r="G11" s="27">
        <f>_xll.qlInterestRateIndexValueDate(M11,F11)</f>
        <v>42495</v>
      </c>
      <c r="H11" s="27">
        <f>_xll.qlInterestRateIndexMaturity(M11,G11)</f>
        <v>42516</v>
      </c>
      <c r="I11" s="21">
        <f>_xll.qlIndexFixing(M11,F11,TRUE,AllTriggers)</f>
        <v>8.079180430569417E-3</v>
      </c>
      <c r="J11" s="21" t="str">
        <f t="shared" si="1"/>
        <v>USD_CURVE_DEP6M_3W</v>
      </c>
      <c r="K11" s="21"/>
      <c r="L11" s="23"/>
      <c r="M11" s="14" t="str">
        <f>_xll.qlLibor(,Currency,D11,YieldCurve,,Trigger)</f>
        <v>obj_003ac#0000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14</v>
      </c>
      <c r="E12" s="53" t="s">
        <v>94</v>
      </c>
      <c r="F12" s="27">
        <f t="shared" si="0"/>
        <v>42493</v>
      </c>
      <c r="G12" s="27">
        <f>_xll.qlInterestRateIndexValueDate(M12,F12)</f>
        <v>42495</v>
      </c>
      <c r="H12" s="27">
        <f>_xll.qlInterestRateIndexMaturity(M12,G12)</f>
        <v>42527</v>
      </c>
      <c r="I12" s="21">
        <f>_xll.qlIndexFixing(M12,F12,TRUE,AllTriggers)</f>
        <v>8.1229999915943818E-3</v>
      </c>
      <c r="J12" s="21" t="str">
        <f t="shared" si="1"/>
        <v>USD_CURVE_DEP6M_1M</v>
      </c>
      <c r="K12" s="21"/>
      <c r="L12" s="23"/>
      <c r="M12" s="14" t="str">
        <f>_xll.qlLibor(,Currency,D12,YieldCurve,,Trigger)</f>
        <v>obj_003a1#0000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15</v>
      </c>
      <c r="E13" s="13" t="s">
        <v>94</v>
      </c>
      <c r="F13" s="27">
        <f t="shared" si="0"/>
        <v>42493</v>
      </c>
      <c r="G13" s="27">
        <f>_xll.qlInterestRateIndexValueDate(M13,F13)</f>
        <v>42495</v>
      </c>
      <c r="H13" s="27">
        <f>_xll.qlInterestRateIndexMaturity(M13,G13)</f>
        <v>42556</v>
      </c>
      <c r="I13" s="21">
        <f>_xll.qlIndexFixing(M13,F13,TRUE,AllTriggers)</f>
        <v>8.2799999999871501E-3</v>
      </c>
      <c r="J13" s="21" t="str">
        <f t="shared" si="1"/>
        <v>USD_CURVE_DEP6M_2M</v>
      </c>
      <c r="K13" s="21"/>
      <c r="L13" s="23"/>
      <c r="M13" s="14" t="str">
        <f>_xll.qlLibor(,Currency,D13,YieldCurve,,Trigger)</f>
        <v>obj_003a0#0000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16</v>
      </c>
      <c r="E14" s="13" t="s">
        <v>94</v>
      </c>
      <c r="F14" s="27">
        <f t="shared" si="0"/>
        <v>42493</v>
      </c>
      <c r="G14" s="27">
        <f>_xll.qlInterestRateIndexValueDate(M14,F14)</f>
        <v>42495</v>
      </c>
      <c r="H14" s="27">
        <f>_xll.qlInterestRateIndexMaturity(M14,G14)</f>
        <v>42587</v>
      </c>
      <c r="I14" s="21">
        <f>_xll.qlIndexFixing(M14,F14,TRUE,AllTriggers)</f>
        <v>8.4419999999773166E-3</v>
      </c>
      <c r="J14" s="21" t="str">
        <f t="shared" si="1"/>
        <v>USD_CURVE_DEP6M_3M</v>
      </c>
      <c r="K14" s="21"/>
      <c r="L14" s="23"/>
      <c r="M14" s="14" t="str">
        <f>_xll.qlLibor(,Currency,D14,YieldCurve,,Trigger)</f>
        <v>obj_0039b#0000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17</v>
      </c>
      <c r="E15" s="13" t="s">
        <v>94</v>
      </c>
      <c r="F15" s="27">
        <f t="shared" si="0"/>
        <v>42493</v>
      </c>
      <c r="G15" s="27">
        <f>_xll.qlInterestRateIndexValueDate(M15,F15)</f>
        <v>42495</v>
      </c>
      <c r="H15" s="27">
        <f>_xll.qlInterestRateIndexMaturity(M15,G15)</f>
        <v>42619</v>
      </c>
      <c r="I15" s="21">
        <f>_xll.qlIndexFixing(M15,F15,TRUE,AllTriggers)</f>
        <v>8.6399999999686727E-3</v>
      </c>
      <c r="J15" s="21" t="str">
        <f t="shared" si="1"/>
        <v>USD_CURVE_DEP6M_4M</v>
      </c>
      <c r="K15" s="21"/>
      <c r="L15" s="23"/>
      <c r="M15" s="14" t="str">
        <f>_xll.qlLibor(,Currency,D15,YieldCurve,,Trigger)</f>
        <v>obj_003a8#0000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18</v>
      </c>
      <c r="E16" s="13" t="s">
        <v>94</v>
      </c>
      <c r="F16" s="27">
        <f t="shared" si="0"/>
        <v>42493</v>
      </c>
      <c r="G16" s="27">
        <f>_xll.qlInterestRateIndexValueDate(M16,F16)</f>
        <v>42495</v>
      </c>
      <c r="H16" s="27">
        <f>_xll.qlInterestRateIndexMaturity(M16,G16)</f>
        <v>42648</v>
      </c>
      <c r="I16" s="21">
        <f>_xll.qlIndexFixing(M16,F16,TRUE,AllTriggers)</f>
        <v>8.8369999998589074E-3</v>
      </c>
      <c r="J16" s="21" t="str">
        <f t="shared" si="1"/>
        <v>USD_CURVE_DEP6M_5M</v>
      </c>
      <c r="K16" s="21"/>
      <c r="L16" s="23"/>
      <c r="M16" s="14" t="str">
        <f>_xll.qlLibor(,Currency,D16,YieldCurve,,Trigger)</f>
        <v>obj_003af#0000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11</v>
      </c>
      <c r="E17" s="13" t="s">
        <v>94</v>
      </c>
      <c r="F17" s="27">
        <f t="shared" si="0"/>
        <v>42493</v>
      </c>
      <c r="G17" s="27">
        <f>_xll.qlInterestRateIndexValueDate(M17,F17)</f>
        <v>42495</v>
      </c>
      <c r="H17" s="27">
        <f>_xll.qlInterestRateIndexMaturity(M17,G17)</f>
        <v>42681</v>
      </c>
      <c r="I17" s="21">
        <f>_xll.qlIndexFixing(M17,F17,TRUE,AllTriggers)</f>
        <v>9.045999999998432E-3</v>
      </c>
      <c r="J17" s="21" t="str">
        <f t="shared" si="1"/>
        <v>USD_CURVE_DEP6M_6M</v>
      </c>
      <c r="K17" s="21"/>
      <c r="L17" s="23"/>
      <c r="M17" s="14" t="str">
        <f>_xll.qlLibor(,Currency,D17,YieldCurve,,Trigger)</f>
        <v>obj_003ae#0000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59</v>
      </c>
      <c r="E18" s="13" t="s">
        <v>94</v>
      </c>
      <c r="F18" s="27">
        <f t="shared" si="0"/>
        <v>42493</v>
      </c>
      <c r="G18" s="27">
        <f>_xll.qlInterestRateIndexValueDate(M18,F18)</f>
        <v>42495</v>
      </c>
      <c r="H18" s="27">
        <f>_xll.qlInterestRateIndexMaturity(M18,G18)</f>
        <v>42709</v>
      </c>
      <c r="I18" s="21">
        <f>_xll.qlIndexFixing(M18,F18,TRUE,AllTriggers)</f>
        <v>9.2173739837815068E-3</v>
      </c>
      <c r="J18" s="21" t="str">
        <f t="shared" si="1"/>
        <v>USD_CURVE_DEP6M_7M</v>
      </c>
      <c r="K18" s="21"/>
      <c r="L18" s="23"/>
      <c r="M18" s="14" t="str">
        <f>_xll.qlLibor(,Currency,D18,YieldCurve,,Trigger)</f>
        <v>obj_003a3#0000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60</v>
      </c>
      <c r="E19" s="13" t="s">
        <v>94</v>
      </c>
      <c r="F19" s="27">
        <f t="shared" si="0"/>
        <v>42493</v>
      </c>
      <c r="G19" s="27">
        <f>_xll.qlInterestRateIndexValueDate(M19,F19)</f>
        <v>42495</v>
      </c>
      <c r="H19" s="27">
        <f>_xll.qlInterestRateIndexMaturity(M19,G19)</f>
        <v>42740</v>
      </c>
      <c r="I19" s="21">
        <f>_xll.qlIndexFixing(M19,F19,TRUE,AllTriggers)</f>
        <v>9.4318771004008612E-3</v>
      </c>
      <c r="J19" s="21" t="str">
        <f t="shared" si="1"/>
        <v>USD_CURVE_DEP6M_8M</v>
      </c>
      <c r="K19" s="21"/>
      <c r="L19" s="23"/>
      <c r="M19" s="14" t="str">
        <f>_xll.qlLibor(,Currency,D19,YieldCurve,,Trigger)</f>
        <v>obj_003ab#0000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19</v>
      </c>
      <c r="E20" s="13" t="s">
        <v>94</v>
      </c>
      <c r="F20" s="27">
        <f t="shared" si="0"/>
        <v>42493</v>
      </c>
      <c r="G20" s="27">
        <f>_xll.qlInterestRateIndexValueDate(M20,F20)</f>
        <v>42495</v>
      </c>
      <c r="H20" s="27">
        <f>_xll.qlInterestRateIndexMaturity(M20,G20)</f>
        <v>42772</v>
      </c>
      <c r="I20" s="21">
        <f>_xll.qlIndexFixing(M20,F20,TRUE,AllTriggers)</f>
        <v>9.5906536702372903E-3</v>
      </c>
      <c r="J20" s="21" t="str">
        <f t="shared" si="1"/>
        <v>USD_CURVE_DEP6M_9M</v>
      </c>
      <c r="K20" s="21"/>
      <c r="L20" s="51"/>
      <c r="M20" s="14" t="str">
        <f>_xll.qlLibor(,Currency,D20,YieldCurve,,Trigger)</f>
        <v>obj_00397#0000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4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0">
        <f>_xll.qlDayCounterYearFraction("actual/360",$G$20,C24,,,AllTriggers)</f>
        <v>0.63888888888888884</v>
      </c>
      <c r="C24" s="166">
        <f>_xll.qlIMMNextDate(_xll.qlIMMNextCode(_xll.qlIMMNextCode(EvaluationDate+FuturesRollDays)))</f>
        <v>42725</v>
      </c>
      <c r="D24" s="102" t="str">
        <f>"#"&amp;YEAR(C24)&amp;IF(LEN(MONTH(C24))=1,"0","")&amp;MONTH(C24)&amp;IF(LEN(DAY(C24))=1,"0","")&amp;DAY(C24)</f>
        <v>#20161221</v>
      </c>
      <c r="E24" s="13" t="s">
        <v>109</v>
      </c>
      <c r="F24" s="103"/>
      <c r="G24" s="103"/>
      <c r="H24" s="103"/>
      <c r="I24" s="21">
        <f>(_xll.qlYieldTSDiscount(YieldCurve,$G$20,,AllTriggers)/_xll.qlYieldTSDiscount(YieldCurve,C24,,AllTriggers)-1)/B24</f>
        <v>9.3315656874215797E-3</v>
      </c>
      <c r="J24" s="103" t="str">
        <f>Currency&amp;"_CURVE_DEP"&amp;CurveTenor&amp;"_"&amp;D24</f>
        <v>USD_CURVE_DEP6M_#20161221</v>
      </c>
      <c r="K24" s="103"/>
      <c r="L24" s="51"/>
      <c r="M24" s="16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0">
        <f>_xll.qlDayCounterYearFraction("actual/360",$G$20,C25,,,AllTriggers)</f>
        <v>0.87222222222222223</v>
      </c>
      <c r="C25" s="166">
        <f>_xll.qlIMMNextDate(C24)</f>
        <v>42809</v>
      </c>
      <c r="D25" s="102" t="str">
        <f>"#"&amp;YEAR(C25)&amp;IF(LEN(MONTH(C25))=1,"0","")&amp;MONTH(C25)&amp;IF(LEN(DAY(C25))=1,"0","")&amp;DAY(C25)</f>
        <v>#20170315</v>
      </c>
      <c r="E25" s="13" t="s">
        <v>109</v>
      </c>
      <c r="F25" s="103"/>
      <c r="G25" s="103"/>
      <c r="H25" s="103"/>
      <c r="I25" s="21">
        <f>(_xll.qlYieldTSDiscount(YieldCurve,$G$20,,AllTriggers)/_xll.qlYieldTSDiscount(YieldCurve,C25,,AllTriggers)-1)/B25</f>
        <v>9.7607094217301675E-3</v>
      </c>
      <c r="J25" s="103" t="str">
        <f>Currency&amp;"_CURVE_DEP"&amp;CurveTenor&amp;"_"&amp;D25</f>
        <v>USD_CURVE_DEP6M_#20170315</v>
      </c>
      <c r="K25" s="103"/>
      <c r="L25" s="51"/>
      <c r="M25" s="35" t="s">
        <v>116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5" t="str">
        <f t="array" ref="D26:D34">_xll.qlIMMNextCodes(EvaluationDate+2,C26:C34)</f>
        <v>M6</v>
      </c>
      <c r="E26" s="12" t="s">
        <v>98</v>
      </c>
      <c r="F26" s="26">
        <f>_xll.qlInterestRateIndexFixingDate(IborIndex,G26)</f>
        <v>42534</v>
      </c>
      <c r="G26" s="63">
        <f>_xll.qlIMMdate(D26)</f>
        <v>42536</v>
      </c>
      <c r="H26" s="26">
        <f>_xll.qlInterestRateIndexMaturity(IborIndex,G26)</f>
        <v>42719</v>
      </c>
      <c r="I26" s="159">
        <f>(1-_xll.qlIndexFixing($M$26,F26,TRUE,AllTriggers))*100</f>
        <v>99.107090979335112</v>
      </c>
      <c r="J26" s="22" t="str">
        <f t="shared" ref="J26:J34" si="2">Currency&amp;"_CURVE_"&amp;E26&amp;CurveTenor&amp;"_"&amp;D26</f>
        <v>USD_CURVE_FUT6M_M6</v>
      </c>
      <c r="K26" s="22"/>
      <c r="L26" s="51"/>
      <c r="M26" s="36" t="str">
        <f>_xll.qlLibor(,Currency,"3M",YieldCurve,,Trigger)</f>
        <v>obj_003a4#0000</v>
      </c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U6</v>
      </c>
      <c r="E27" s="13" t="s">
        <v>98</v>
      </c>
      <c r="F27" s="27">
        <f>_xll.qlInterestRateIndexFixingDate(IborIndex,G27)</f>
        <v>42632</v>
      </c>
      <c r="G27" s="54">
        <f>_xll.qlIMMdate(D27)</f>
        <v>42634</v>
      </c>
      <c r="H27" s="27">
        <f>_xll.qlInterestRateIndexMaturity(IborIndex,G27)</f>
        <v>42815</v>
      </c>
      <c r="I27" s="160">
        <f>(1-_xll.qlIndexFixing($M$26,F27,TRUE,AllTriggers))*100</f>
        <v>98.98021907102769</v>
      </c>
      <c r="J27" s="21" t="str">
        <f t="shared" si="2"/>
        <v>USD_CURVE_FUT6M_U6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Z6</v>
      </c>
      <c r="E28" s="13" t="s">
        <v>98</v>
      </c>
      <c r="F28" s="54">
        <f>_xll.qlInterestRateIndexFixingDate(IborIndex,G28)</f>
        <v>42723</v>
      </c>
      <c r="G28" s="54">
        <f>_xll.qlIMMdate(D28)</f>
        <v>42725</v>
      </c>
      <c r="H28" s="54">
        <f>_xll.qlInterestRateIndexMaturity(IborIndex,G28)</f>
        <v>42907</v>
      </c>
      <c r="I28" s="160">
        <f>(1-_xll.qlIndexFixing($M$26,F28,TRUE,AllTriggers))*100</f>
        <v>98.91152869859701</v>
      </c>
      <c r="J28" s="21" t="str">
        <f t="shared" si="2"/>
        <v>USD_CURVE_FUT6M_Z6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H7</v>
      </c>
      <c r="E29" s="13" t="s">
        <v>98</v>
      </c>
      <c r="F29" s="54">
        <f>_xll.qlInterestRateIndexFixingDate(IborIndex,G29)</f>
        <v>42807</v>
      </c>
      <c r="G29" s="54">
        <f>_xll.qlIMMdate(D29)</f>
        <v>42809</v>
      </c>
      <c r="H29" s="54">
        <f>_xll.qlInterestRateIndexMaturity(IborIndex,G29)</f>
        <v>42993</v>
      </c>
      <c r="I29" s="160">
        <f>(1-_xll.qlIndexFixing($M$26,F29,TRUE,AllTriggers))*100</f>
        <v>98.85235213406321</v>
      </c>
      <c r="J29" s="21" t="str">
        <f t="shared" si="2"/>
        <v>USD_CURVE_FUT6M_H7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M7</v>
      </c>
      <c r="E30" s="13" t="s">
        <v>98</v>
      </c>
      <c r="F30" s="54">
        <f>_xll.qlInterestRateIndexFixingDate(IborIndex,G30)</f>
        <v>42905</v>
      </c>
      <c r="G30" s="54">
        <f>_xll.qlIMMdate(D30)</f>
        <v>42907</v>
      </c>
      <c r="H30" s="54">
        <f>_xll.qlInterestRateIndexMaturity(IborIndex,G30)</f>
        <v>43090</v>
      </c>
      <c r="I30" s="161">
        <f>(1-_xll.qlIndexFixing($M$26,F30,TRUE,AllTriggers))*100</f>
        <v>98.81838034402675</v>
      </c>
      <c r="J30" s="21" t="str">
        <f t="shared" si="2"/>
        <v>USD_CURVE_FUT6M_M7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U7</v>
      </c>
      <c r="E31" s="13" t="s">
        <v>98</v>
      </c>
      <c r="F31" s="54">
        <f>_xll.qlInterestRateIndexFixingDate(IborIndex,G31)</f>
        <v>42996</v>
      </c>
      <c r="G31" s="54">
        <f>_xll.qlIMMdate(D31)</f>
        <v>42998</v>
      </c>
      <c r="H31" s="54">
        <f>_xll.qlInterestRateIndexMaturity(IborIndex,G31)</f>
        <v>43179</v>
      </c>
      <c r="I31" s="161">
        <f>(1-_xll.qlIndexFixing($M$26,F31,TRUE,AllTriggers))*100</f>
        <v>98.737991684460994</v>
      </c>
      <c r="J31" s="21" t="str">
        <f t="shared" si="2"/>
        <v>USD_CURVE_FUT6M_U7</v>
      </c>
      <c r="K31" s="21"/>
      <c r="L31" s="51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Z7</v>
      </c>
      <c r="E32" s="13" t="s">
        <v>98</v>
      </c>
      <c r="F32" s="54">
        <f>_xll.qlInterestRateIndexFixingDate(IborIndex,G32)</f>
        <v>43087</v>
      </c>
      <c r="G32" s="54">
        <f>_xll.qlIMMdate(D32)</f>
        <v>43089</v>
      </c>
      <c r="H32" s="54">
        <f>_xll.qlInterestRateIndexMaturity(IborIndex,G32)</f>
        <v>43271</v>
      </c>
      <c r="I32" s="160">
        <f>(1-_xll.qlIndexFixing($M$26,F32,TRUE,AllTriggers))*100</f>
        <v>98.658914635716059</v>
      </c>
      <c r="J32" s="21" t="str">
        <f t="shared" si="2"/>
        <v>USD_CURVE_FUT6M_Z7</v>
      </c>
      <c r="K32" s="21"/>
      <c r="L32" s="23"/>
      <c r="M32" s="34"/>
      <c r="N32" s="34"/>
      <c r="O32" s="34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46" t="str">
        <v>H8</v>
      </c>
      <c r="E33" s="13" t="s">
        <v>98</v>
      </c>
      <c r="F33" s="54">
        <f>_xll.qlInterestRateIndexFixingDate(IborIndex,G33)</f>
        <v>43178</v>
      </c>
      <c r="G33" s="54">
        <f>_xll.qlIMMdate(D33)</f>
        <v>43180</v>
      </c>
      <c r="H33" s="54">
        <f>_xll.qlInterestRateIndexMaturity(IborIndex,G33)</f>
        <v>43364</v>
      </c>
      <c r="I33" s="160">
        <f>(1-_xll.qlIndexFixing($M$26,F33,TRUE,AllTriggers))*100</f>
        <v>98.63385361034932</v>
      </c>
      <c r="J33" s="21" t="str">
        <f t="shared" ref="J33" si="3">Currency&amp;"_CURVE_"&amp;E33&amp;CurveTenor&amp;"_"&amp;D33</f>
        <v>USD_CURVE_FUT6M_H8</v>
      </c>
      <c r="K33" s="21"/>
      <c r="L33" s="23"/>
      <c r="M33" s="34"/>
      <c r="N33" s="34"/>
      <c r="O33" s="34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46" t="str">
        <v>M8</v>
      </c>
      <c r="E34" s="13" t="s">
        <v>98</v>
      </c>
      <c r="F34" s="54">
        <f>_xll.qlInterestRateIndexFixingDate(IborIndex,G34)</f>
        <v>43269</v>
      </c>
      <c r="G34" s="54">
        <f>_xll.qlIMMdate(D34)</f>
        <v>43271</v>
      </c>
      <c r="H34" s="54">
        <f>_xll.qlInterestRateIndexMaturity(IborIndex,G34)</f>
        <v>43454</v>
      </c>
      <c r="I34" s="160">
        <f>(1-_xll.qlIndexFixing($M$26,F34,TRUE,AllTriggers))*100</f>
        <v>98.612677443843438</v>
      </c>
      <c r="J34" s="21" t="str">
        <f t="shared" si="2"/>
        <v>USD_CURVE_FUT6M_M8</v>
      </c>
      <c r="K34" s="21"/>
      <c r="L34" s="23"/>
      <c r="M34" s="35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5" t="s">
        <v>20</v>
      </c>
      <c r="E35" s="12" t="s">
        <v>92</v>
      </c>
      <c r="F35" s="63">
        <f>SwapFixingDate</f>
        <v>42493</v>
      </c>
      <c r="G35" s="26">
        <f>_xll.qlInterestRateIndexValueDate(M35,F35)</f>
        <v>42495</v>
      </c>
      <c r="H35" s="26">
        <f>_xll.qlInterestRateIndexMaturity(M35,G35)</f>
        <v>42860</v>
      </c>
      <c r="I35" s="22">
        <f>_xll.qlIndexFixing(M35,F35,TRUE,AllTriggers)</f>
        <v>9.9631568850278851E-3</v>
      </c>
      <c r="J35" s="85" t="str">
        <f t="shared" ref="J35:J63" si="4">Currency&amp;"_CURVE_"&amp;CurveTenor&amp;"_"&amp;D35</f>
        <v>USD_CURVE_6M_1Y</v>
      </c>
      <c r="K35" s="85" t="s">
        <v>183</v>
      </c>
      <c r="L35" s="23"/>
      <c r="M35" s="52" t="str">
        <f>_xll.qlSwapIndex(,"NoFix",D35,2,Currency,JoinCalendar,FixedLegTenor,FixedLegBDC,FixedLegDayCounter,IborIndex,DiscountingCurve,,Trigger)</f>
        <v>obj_003e2#0000</v>
      </c>
      <c r="N35" s="34"/>
      <c r="O35" s="36" t="s">
        <v>20</v>
      </c>
      <c r="P35" s="36" t="s">
        <v>37</v>
      </c>
      <c r="Q35" s="36" t="s">
        <v>93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/>
      <c r="E37" s="13"/>
      <c r="F37" s="54"/>
      <c r="G37" s="27"/>
      <c r="H37" s="27"/>
      <c r="I37" s="21"/>
      <c r="J37" s="21"/>
      <c r="K37" s="21"/>
      <c r="L37" s="23"/>
      <c r="M37" s="52"/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/>
      <c r="E38" s="13"/>
      <c r="F38" s="54"/>
      <c r="G38" s="27"/>
      <c r="H38" s="27"/>
      <c r="I38" s="21"/>
      <c r="J38" s="21"/>
      <c r="K38" s="21"/>
      <c r="L38" s="23"/>
      <c r="M38" s="52"/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21</v>
      </c>
      <c r="E39" s="13" t="s">
        <v>92</v>
      </c>
      <c r="F39" s="54">
        <f t="shared" ref="F39:F70" si="5">SwapFixingDate</f>
        <v>42493</v>
      </c>
      <c r="G39" s="27">
        <f>_xll.qlInterestRateIndexValueDate(M39,F39)</f>
        <v>42495</v>
      </c>
      <c r="H39" s="27">
        <f>_xll.qlInterestRateIndexMaturity(M39,G39)</f>
        <v>43228</v>
      </c>
      <c r="I39" s="21">
        <f>_xll.qlIndexFixing(M39,F39,TRUE,AllTriggers)</f>
        <v>1.1328152663885449E-2</v>
      </c>
      <c r="J39" s="21" t="str">
        <f t="shared" si="4"/>
        <v>USD_CURVE_6M_2Y</v>
      </c>
      <c r="K39" s="21" t="s">
        <v>184</v>
      </c>
      <c r="L39" s="4"/>
      <c r="M39" s="103" t="str">
        <f>_xll.qlSwapIndex(,"NoFix",D39,2,Currency,JoinCalendar,FixedLegTenor,FixedLegBDC,FixedLegDayCounter,IborIndex,DiscountingCurve,,Trigger)</f>
        <v>obj_003c8#0000</v>
      </c>
      <c r="N39" s="34"/>
      <c r="O39" s="37"/>
      <c r="P39" s="34"/>
      <c r="Q39" s="37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22</v>
      </c>
      <c r="E40" s="13" t="s">
        <v>92</v>
      </c>
      <c r="F40" s="54">
        <f t="shared" si="5"/>
        <v>42493</v>
      </c>
      <c r="G40" s="27">
        <f>_xll.qlInterestRateIndexValueDate(M40,F40)</f>
        <v>42495</v>
      </c>
      <c r="H40" s="27">
        <f>_xll.qlInterestRateIndexMaturity(M40,G40)</f>
        <v>43592</v>
      </c>
      <c r="I40" s="21">
        <f>_xll.qlIndexFixing(M40,F40,TRUE,AllTriggers)</f>
        <v>1.2325399060263227E-2</v>
      </c>
      <c r="J40" s="21" t="str">
        <f t="shared" si="4"/>
        <v>USD_CURVE_6M_3Y</v>
      </c>
      <c r="K40" s="21" t="s">
        <v>185</v>
      </c>
      <c r="L40" s="4"/>
      <c r="M40" s="103" t="str">
        <f>_xll.qlSwapIndex(,"NoFix",D40,2,Currency,JoinCalendar,FixedLegTenor,FixedLegBDC,FixedLegDayCounter,IborIndex,DiscountingCurve,,Trigger)</f>
        <v>obj_003d1#0000</v>
      </c>
      <c r="N40" s="34"/>
      <c r="O40" s="37"/>
      <c r="P40" s="34"/>
      <c r="Q40" s="37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23</v>
      </c>
      <c r="E41" s="13" t="s">
        <v>92</v>
      </c>
      <c r="F41" s="54">
        <f t="shared" si="5"/>
        <v>42493</v>
      </c>
      <c r="G41" s="27">
        <f>_xll.qlInterestRateIndexValueDate(M41,F41)</f>
        <v>42495</v>
      </c>
      <c r="H41" s="27">
        <f>_xll.qlInterestRateIndexMaturity(M41,G41)</f>
        <v>43956</v>
      </c>
      <c r="I41" s="21">
        <f>_xll.qlIndexFixing(M41,F41,TRUE,AllTriggers)</f>
        <v>1.3355567069252528E-2</v>
      </c>
      <c r="J41" s="21" t="str">
        <f t="shared" si="4"/>
        <v>USD_CURVE_6M_4Y</v>
      </c>
      <c r="K41" s="21" t="s">
        <v>186</v>
      </c>
      <c r="L41" s="4"/>
      <c r="M41" s="103" t="str">
        <f>_xll.qlSwapIndex(,"NoFix",D41,2,Currency,JoinCalendar,FixedLegTenor,FixedLegBDC,FixedLegDayCounter,IborIndex,DiscountingCurve,,Trigger)</f>
        <v>obj_003d8#0000</v>
      </c>
      <c r="N41" s="34"/>
      <c r="O41" s="34"/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24</v>
      </c>
      <c r="E42" s="13" t="s">
        <v>92</v>
      </c>
      <c r="F42" s="54">
        <f t="shared" si="5"/>
        <v>42493</v>
      </c>
      <c r="G42" s="27">
        <f>_xll.qlInterestRateIndexValueDate(M42,F42)</f>
        <v>42495</v>
      </c>
      <c r="H42" s="27">
        <f>_xll.qlInterestRateIndexMaturity(M42,G42)</f>
        <v>44321</v>
      </c>
      <c r="I42" s="21">
        <f>_xll.qlIndexFixing(M42,F42,TRUE,AllTriggers)</f>
        <v>1.43557799191563E-2</v>
      </c>
      <c r="J42" s="21" t="str">
        <f t="shared" si="4"/>
        <v>USD_CURVE_6M_5Y</v>
      </c>
      <c r="K42" s="21" t="s">
        <v>187</v>
      </c>
      <c r="L42" s="4"/>
      <c r="M42" s="103" t="str">
        <f>_xll.qlSwapIndex(,"NoFix",D42,2,Currency,JoinCalendar,FixedLegTenor,FixedLegBDC,FixedLegDayCounter,IborIndex,DiscountingCurve,,Trigger)</f>
        <v>obj_0043d#0000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66</v>
      </c>
      <c r="E43" s="13" t="s">
        <v>92</v>
      </c>
      <c r="F43" s="54">
        <f t="shared" si="5"/>
        <v>42493</v>
      </c>
      <c r="G43" s="27">
        <f>_xll.qlInterestRateIndexValueDate(M43,F43)</f>
        <v>42495</v>
      </c>
      <c r="H43" s="27">
        <f>_xll.qlInterestRateIndexMaturity(M43,G43)</f>
        <v>44686</v>
      </c>
      <c r="I43" s="21">
        <f>_xll.qlIndexFixing(M43,F43,TRUE,AllTriggers)</f>
        <v>1.5356073943408337E-2</v>
      </c>
      <c r="J43" s="21" t="str">
        <f t="shared" si="4"/>
        <v>USD_CURVE_6M_6Y</v>
      </c>
      <c r="K43" s="21" t="s">
        <v>188</v>
      </c>
      <c r="L43" s="4"/>
      <c r="M43" s="103" t="str">
        <f>_xll.qlSwapIndex(,"NoFix",D43,2,Currency,JoinCalendar,FixedLegTenor,FixedLegBDC,FixedLegDayCounter,IborIndex,DiscountingCurve,,Trigger)</f>
        <v>obj_00408#0000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25</v>
      </c>
      <c r="E44" s="13" t="s">
        <v>92</v>
      </c>
      <c r="F44" s="54">
        <f t="shared" si="5"/>
        <v>42493</v>
      </c>
      <c r="G44" s="27">
        <f>_xll.qlInterestRateIndexValueDate(M44,F44)</f>
        <v>42495</v>
      </c>
      <c r="H44" s="27">
        <f>_xll.qlInterestRateIndexMaturity(M44,G44)</f>
        <v>45051</v>
      </c>
      <c r="I44" s="21">
        <f>_xll.qlIndexFixing(M44,F44,TRUE,AllTriggers)</f>
        <v>1.6256348608089808E-2</v>
      </c>
      <c r="J44" s="21" t="str">
        <f t="shared" si="4"/>
        <v>USD_CURVE_6M_7Y</v>
      </c>
      <c r="K44" s="21" t="s">
        <v>189</v>
      </c>
      <c r="L44" s="4"/>
      <c r="M44" s="103" t="str">
        <f>_xll.qlSwapIndex(,"NoFix",D44,2,Currency,JoinCalendar,FixedLegTenor,FixedLegBDC,FixedLegDayCounter,IborIndex,DiscountingCurve,,Trigger)</f>
        <v>obj_00431#0000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67</v>
      </c>
      <c r="E45" s="13" t="s">
        <v>92</v>
      </c>
      <c r="F45" s="54">
        <f t="shared" si="5"/>
        <v>42493</v>
      </c>
      <c r="G45" s="27">
        <f>_xll.qlInterestRateIndexValueDate(M45,F45)</f>
        <v>42495</v>
      </c>
      <c r="H45" s="27">
        <f>_xll.qlInterestRateIndexMaturity(M45,G45)</f>
        <v>45419</v>
      </c>
      <c r="I45" s="21">
        <f>_xll.qlIndexFixing(M45,F45,TRUE,AllTriggers)</f>
        <v>1.7086667318442057E-2</v>
      </c>
      <c r="J45" s="21" t="str">
        <f t="shared" si="4"/>
        <v>USD_CURVE_6M_8Y</v>
      </c>
      <c r="K45" s="21" t="s">
        <v>190</v>
      </c>
      <c r="L45" s="4"/>
      <c r="M45" s="103" t="str">
        <f>_xll.qlSwapIndex(,"NoFix",D45,2,Currency,JoinCalendar,FixedLegTenor,FixedLegBDC,FixedLegDayCounter,IborIndex,DiscountingCurve,,Trigger)</f>
        <v>obj_0041b#0000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68</v>
      </c>
      <c r="E46" s="13" t="s">
        <v>92</v>
      </c>
      <c r="F46" s="54">
        <f t="shared" si="5"/>
        <v>42493</v>
      </c>
      <c r="G46" s="27">
        <f>_xll.qlInterestRateIndexValueDate(M46,F46)</f>
        <v>42495</v>
      </c>
      <c r="H46" s="27">
        <f>_xll.qlInterestRateIndexMaturity(M46,G46)</f>
        <v>45783</v>
      </c>
      <c r="I46" s="21">
        <f>_xll.qlIndexFixing(M46,F46,TRUE,AllTriggers)</f>
        <v>1.7846975516571401E-2</v>
      </c>
      <c r="J46" s="21" t="str">
        <f t="shared" si="4"/>
        <v>USD_CURVE_6M_9Y</v>
      </c>
      <c r="K46" s="21" t="s">
        <v>191</v>
      </c>
      <c r="L46" s="4"/>
      <c r="M46" s="103" t="str">
        <f>_xll.qlSwapIndex(,"NoFix",D46,2,Currency,JoinCalendar,FixedLegTenor,FixedLegBDC,FixedLegDayCounter,IborIndex,DiscountingCurve,,Trigger)</f>
        <v>obj_003f2#0000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26</v>
      </c>
      <c r="E47" s="13" t="s">
        <v>92</v>
      </c>
      <c r="F47" s="54">
        <f t="shared" si="5"/>
        <v>42493</v>
      </c>
      <c r="G47" s="27">
        <f>_xll.qlInterestRateIndexValueDate(M47,F47)</f>
        <v>42495</v>
      </c>
      <c r="H47" s="27">
        <f>_xll.qlInterestRateIndexMaturity(M47,G47)</f>
        <v>46147</v>
      </c>
      <c r="I47" s="21">
        <f>_xll.qlIndexFixing(M47,F47,TRUE,AllTriggers)</f>
        <v>1.8567372799111227E-2</v>
      </c>
      <c r="J47" s="21" t="str">
        <f t="shared" si="4"/>
        <v>USD_CURVE_6M_10Y</v>
      </c>
      <c r="K47" s="21" t="s">
        <v>192</v>
      </c>
      <c r="L47" s="4"/>
      <c r="M47" s="103" t="str">
        <f>_xll.qlSwapIndex(,"NoFix",D47,2,Currency,JoinCalendar,FixedLegTenor,FixedLegBDC,FixedLegDayCounter,IborIndex,DiscountingCurve,,Trigger)</f>
        <v>obj_003bb#0000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69</v>
      </c>
      <c r="E48" s="13" t="s">
        <v>92</v>
      </c>
      <c r="F48" s="54">
        <f t="shared" si="5"/>
        <v>42493</v>
      </c>
      <c r="G48" s="27">
        <f>_xll.qlInterestRateIndexValueDate(M48,F48)</f>
        <v>42495</v>
      </c>
      <c r="H48" s="27">
        <f>_xll.qlInterestRateIndexMaturity(M48,G48)</f>
        <v>46512</v>
      </c>
      <c r="I48" s="21">
        <f>_xll.qlIndexFixing(M48,F48,TRUE,AllTriggers)</f>
        <v>1.9241703002286541E-2</v>
      </c>
      <c r="J48" s="21" t="str">
        <f t="shared" si="4"/>
        <v>USD_CURVE_6M_11Y</v>
      </c>
      <c r="K48" s="21" t="s">
        <v>193</v>
      </c>
      <c r="L48" s="37"/>
      <c r="M48" s="52" t="str">
        <f>_xll.qlSwapIndex(,"NoFix",D48,2,Currency,JoinCalendar,FixedLegTenor,FixedLegBDC,FixedLegDayCounter,IborIndex,DiscountingCurve,,Trigger)</f>
        <v>obj_00413#0000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27</v>
      </c>
      <c r="E49" s="13" t="s">
        <v>92</v>
      </c>
      <c r="F49" s="54">
        <f t="shared" si="5"/>
        <v>42493</v>
      </c>
      <c r="G49" s="27">
        <f>_xll.qlInterestRateIndexValueDate(M49,F49)</f>
        <v>42495</v>
      </c>
      <c r="H49" s="27">
        <f>_xll.qlInterestRateIndexMaturity(M49,G49)</f>
        <v>46878</v>
      </c>
      <c r="I49" s="21">
        <f>_xll.qlIndexFixing(M49,F49,TRUE,AllTriggers)</f>
        <v>1.9848205766897338E-2</v>
      </c>
      <c r="J49" s="21" t="str">
        <f t="shared" si="4"/>
        <v>USD_CURVE_6M_12Y</v>
      </c>
      <c r="K49" s="21" t="s">
        <v>194</v>
      </c>
      <c r="L49" s="37"/>
      <c r="M49" s="52" t="str">
        <f>_xll.qlSwapIndex(,"NoFix",D49,2,Currency,JoinCalendar,FixedLegTenor,FixedLegBDC,FixedLegDayCounter,IborIndex,DiscountingCurve,,Trigger)</f>
        <v>obj_00402#0000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70</v>
      </c>
      <c r="E50" s="13" t="s">
        <v>92</v>
      </c>
      <c r="F50" s="54">
        <f t="shared" si="5"/>
        <v>42493</v>
      </c>
      <c r="G50" s="27">
        <f>_xll.qlInterestRateIndexValueDate(M50,F50)</f>
        <v>42495</v>
      </c>
      <c r="H50" s="27">
        <f>_xll.qlInterestRateIndexMaturity(M50,G50)</f>
        <v>47246</v>
      </c>
      <c r="I50" s="21">
        <f>_xll.qlIndexFixing(M50,F50,TRUE,AllTriggers)</f>
        <v>2.0376454621613166E-2</v>
      </c>
      <c r="J50" s="21" t="str">
        <f t="shared" si="4"/>
        <v>USD_CURVE_6M_13Y</v>
      </c>
      <c r="K50" s="21" t="s">
        <v>195</v>
      </c>
      <c r="L50" s="4"/>
      <c r="M50" s="52" t="str">
        <f>_xll.qlSwapIndex(,"NoFix",D50,2,Currency,JoinCalendar,FixedLegTenor,FixedLegBDC,FixedLegDayCounter,IborIndex,DiscountingCurve,,Trigger)</f>
        <v>obj_003ed#0000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71</v>
      </c>
      <c r="E51" s="13" t="s">
        <v>92</v>
      </c>
      <c r="F51" s="54">
        <f t="shared" si="5"/>
        <v>42493</v>
      </c>
      <c r="G51" s="27">
        <f>_xll.qlInterestRateIndexValueDate(M51,F51)</f>
        <v>42495</v>
      </c>
      <c r="H51" s="27">
        <f>_xll.qlInterestRateIndexMaturity(M51,G51)</f>
        <v>47610</v>
      </c>
      <c r="I51" s="21">
        <f>_xll.qlIndexFixing(M51,F51,TRUE,AllTriggers)</f>
        <v>2.0830252157716181E-2</v>
      </c>
      <c r="J51" s="21" t="str">
        <f t="shared" si="4"/>
        <v>USD_CURVE_6M_14Y</v>
      </c>
      <c r="K51" s="21" t="s">
        <v>196</v>
      </c>
      <c r="L51" s="4"/>
      <c r="M51" s="52" t="str">
        <f>_xll.qlSwapIndex(,"NoFix",D51,2,Currency,JoinCalendar,FixedLegTenor,FixedLegBDC,FixedLegDayCounter,IborIndex,DiscountingCurve,,Trigger)</f>
        <v>obj_003d0#0000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28</v>
      </c>
      <c r="E52" s="13" t="s">
        <v>92</v>
      </c>
      <c r="F52" s="54">
        <f t="shared" si="5"/>
        <v>42493</v>
      </c>
      <c r="G52" s="27">
        <f>_xll.qlInterestRateIndexValueDate(M52,F52)</f>
        <v>42495</v>
      </c>
      <c r="H52" s="27">
        <f>_xll.qlInterestRateIndexMaturity(M52,G52)</f>
        <v>47974</v>
      </c>
      <c r="I52" s="21">
        <f>_xll.qlIndexFixing(M52,F52,TRUE,AllTriggers)</f>
        <v>2.1229184428878844E-2</v>
      </c>
      <c r="J52" s="21" t="str">
        <f t="shared" si="4"/>
        <v>USD_CURVE_6M_15Y</v>
      </c>
      <c r="K52" s="21" t="s">
        <v>197</v>
      </c>
      <c r="L52" s="4"/>
      <c r="M52" s="52" t="str">
        <f>_xll.qlSwapIndex(,"NoFix",D52,2,Currency,JoinCalendar,FixedLegTenor,FixedLegBDC,FixedLegDayCounter,IborIndex,DiscountingCurve,,Trigger)</f>
        <v>obj_00439#0000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72</v>
      </c>
      <c r="E53" s="13" t="s">
        <v>92</v>
      </c>
      <c r="F53" s="54">
        <f t="shared" si="5"/>
        <v>42493</v>
      </c>
      <c r="G53" s="27">
        <f>_xll.qlInterestRateIndexValueDate(M53,F53)</f>
        <v>42495</v>
      </c>
      <c r="H53" s="27">
        <f>_xll.qlInterestRateIndexMaturity(M53,G53)</f>
        <v>48339</v>
      </c>
      <c r="I53" s="21">
        <f>_xll.qlIndexFixing(M53,F53,TRUE,AllTriggers)</f>
        <v>2.1583453990637592E-2</v>
      </c>
      <c r="J53" s="21" t="str">
        <f t="shared" si="4"/>
        <v>USD_CURVE_6M_16Y</v>
      </c>
      <c r="K53" s="21" t="s">
        <v>198</v>
      </c>
      <c r="L53" s="4"/>
      <c r="M53" s="52" t="str">
        <f>_xll.qlSwapIndex(,"NoFix",D53,2,Currency,JoinCalendar,FixedLegTenor,FixedLegBDC,FixedLegDayCounter,IborIndex,DiscountingCurve,,Trigger)</f>
        <v>obj_00401#0000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73</v>
      </c>
      <c r="E54" s="13" t="s">
        <v>92</v>
      </c>
      <c r="F54" s="54">
        <f t="shared" si="5"/>
        <v>42493</v>
      </c>
      <c r="G54" s="27">
        <f>_xll.qlInterestRateIndexValueDate(M54,F54)</f>
        <v>42495</v>
      </c>
      <c r="H54" s="27">
        <f>_xll.qlInterestRateIndexMaturity(M54,G54)</f>
        <v>48704</v>
      </c>
      <c r="I54" s="21">
        <f>_xll.qlIndexFixing(M54,F54,TRUE,AllTriggers)</f>
        <v>2.1896607795045122E-2</v>
      </c>
      <c r="J54" s="21" t="str">
        <f t="shared" si="4"/>
        <v>USD_CURVE_6M_17Y</v>
      </c>
      <c r="K54" s="21" t="s">
        <v>199</v>
      </c>
      <c r="L54" s="4"/>
      <c r="M54" s="52" t="str">
        <f>_xll.qlSwapIndex(,"NoFix",D54,2,Currency,JoinCalendar,FixedLegTenor,FixedLegBDC,FixedLegDayCounter,IborIndex,DiscountingCurve,,Trigger)</f>
        <v>obj_003ec#0000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74</v>
      </c>
      <c r="E55" s="13" t="s">
        <v>92</v>
      </c>
      <c r="F55" s="54">
        <f t="shared" si="5"/>
        <v>42493</v>
      </c>
      <c r="G55" s="27">
        <f>_xll.qlInterestRateIndexValueDate(M55,F55)</f>
        <v>42495</v>
      </c>
      <c r="H55" s="27">
        <f>_xll.qlInterestRateIndexMaturity(M55,G55)</f>
        <v>49069</v>
      </c>
      <c r="I55" s="21">
        <f>_xll.qlIndexFixing(M55,F55,TRUE,AllTriggers)</f>
        <v>2.2171883102995196E-2</v>
      </c>
      <c r="J55" s="21" t="str">
        <f t="shared" si="4"/>
        <v>USD_CURVE_6M_18Y</v>
      </c>
      <c r="K55" s="21" t="s">
        <v>200</v>
      </c>
      <c r="L55" s="4"/>
      <c r="M55" s="52" t="str">
        <f>_xll.qlSwapIndex(,"NoFix",D55,2,Currency,JoinCalendar,FixedLegTenor,FixedLegBDC,FixedLegDayCounter,IborIndex,DiscountingCurve,,Trigger)</f>
        <v>obj_00435#0000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75</v>
      </c>
      <c r="E56" s="13" t="s">
        <v>92</v>
      </c>
      <c r="F56" s="54">
        <f t="shared" si="5"/>
        <v>42493</v>
      </c>
      <c r="G56" s="27">
        <f>_xll.qlInterestRateIndexValueDate(M56,F56)</f>
        <v>42495</v>
      </c>
      <c r="H56" s="27">
        <f>_xll.qlInterestRateIndexMaturity(M56,G56)</f>
        <v>49437</v>
      </c>
      <c r="I56" s="21">
        <f>_xll.qlIndexFixing(M56,F56,TRUE,AllTriggers)</f>
        <v>2.2413871613460257E-2</v>
      </c>
      <c r="J56" s="21" t="str">
        <f t="shared" si="4"/>
        <v>USD_CURVE_6M_19Y</v>
      </c>
      <c r="K56" s="21" t="s">
        <v>201</v>
      </c>
      <c r="L56" s="4"/>
      <c r="M56" s="52" t="str">
        <f>_xll.qlSwapIndex(,"NoFix",D56,2,Currency,JoinCalendar,FixedLegTenor,FixedLegBDC,FixedLegDayCounter,IborIndex,DiscountingCurve,,Trigger)</f>
        <v>obj_0041c#0000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76</v>
      </c>
      <c r="E57" s="13" t="s">
        <v>92</v>
      </c>
      <c r="F57" s="54">
        <f t="shared" si="5"/>
        <v>42493</v>
      </c>
      <c r="G57" s="27">
        <f>_xll.qlInterestRateIndexValueDate(M57,F57)</f>
        <v>42495</v>
      </c>
      <c r="H57" s="27">
        <f>_xll.qlInterestRateIndexMaturity(M57,G57)</f>
        <v>49801</v>
      </c>
      <c r="I57" s="21">
        <f>_xll.qlIndexFixing(M57,F57,TRUE,AllTriggers)</f>
        <v>2.2620092036315206E-2</v>
      </c>
      <c r="J57" s="21" t="str">
        <f t="shared" si="4"/>
        <v>USD_CURVE_6M_20Y</v>
      </c>
      <c r="K57" s="21" t="s">
        <v>202</v>
      </c>
      <c r="L57" s="4"/>
      <c r="M57" s="52" t="str">
        <f>_xll.qlSwapIndex(,"NoFix",D57,2,Currency,JoinCalendar,FixedLegTenor,FixedLegBDC,FixedLegDayCounter,IborIndex,DiscountingCurve,,Trigger)</f>
        <v>obj_003f8#0000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77</v>
      </c>
      <c r="E58" s="13" t="s">
        <v>92</v>
      </c>
      <c r="F58" s="54">
        <f t="shared" si="5"/>
        <v>42493</v>
      </c>
      <c r="G58" s="27">
        <f>_xll.qlInterestRateIndexValueDate(M58,F58)</f>
        <v>42495</v>
      </c>
      <c r="H58" s="27">
        <f>_xll.qlInterestRateIndexMaturity(M58,G58)</f>
        <v>50165</v>
      </c>
      <c r="I58" s="21">
        <f>_xll.qlIndexFixing(M58,F58,TRUE,AllTriggers)</f>
        <v>2.2796271096155108E-2</v>
      </c>
      <c r="J58" s="21" t="str">
        <f t="shared" si="4"/>
        <v>USD_CURVE_6M_21Y</v>
      </c>
      <c r="K58" s="21" t="s">
        <v>203</v>
      </c>
      <c r="L58" s="4"/>
      <c r="M58" s="52" t="str">
        <f>_xll.qlSwapIndex(,"NoFix",D58,2,Currency,JoinCalendar,FixedLegTenor,FixedLegBDC,FixedLegDayCounter,IborIndex,DiscountingCurve,,Trigger)</f>
        <v>obj_00422#0000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78</v>
      </c>
      <c r="E59" s="13" t="s">
        <v>92</v>
      </c>
      <c r="F59" s="54">
        <f t="shared" si="5"/>
        <v>42493</v>
      </c>
      <c r="G59" s="27">
        <f>_xll.qlInterestRateIndexValueDate(M59,F59)</f>
        <v>42495</v>
      </c>
      <c r="H59" s="27">
        <f>_xll.qlInterestRateIndexMaturity(M59,G59)</f>
        <v>50530</v>
      </c>
      <c r="I59" s="21">
        <f>_xll.qlIndexFixing(M59,F59,TRUE,AllTriggers)</f>
        <v>2.2948572016655934E-2</v>
      </c>
      <c r="J59" s="21" t="str">
        <f t="shared" si="4"/>
        <v>USD_CURVE_6M_22Y</v>
      </c>
      <c r="K59" s="21" t="s">
        <v>204</v>
      </c>
      <c r="L59" s="4"/>
      <c r="M59" s="52" t="str">
        <f>_xll.qlSwapIndex(,"NoFix",D59,2,Currency,JoinCalendar,FixedLegTenor,FixedLegBDC,FixedLegDayCounter,IborIndex,DiscountingCurve,,Trigger)</f>
        <v>obj_003c7#0000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79</v>
      </c>
      <c r="E60" s="13" t="s">
        <v>92</v>
      </c>
      <c r="F60" s="54">
        <f t="shared" si="5"/>
        <v>42493</v>
      </c>
      <c r="G60" s="27">
        <f>_xll.qlInterestRateIndexValueDate(M60,F60)</f>
        <v>42495</v>
      </c>
      <c r="H60" s="27">
        <f>_xll.qlInterestRateIndexMaturity(M60,G60)</f>
        <v>50895</v>
      </c>
      <c r="I60" s="21">
        <f>_xll.qlIndexFixing(M60,F60,TRUE,AllTriggers)</f>
        <v>2.3081987934609006E-2</v>
      </c>
      <c r="J60" s="21" t="str">
        <f t="shared" si="4"/>
        <v>USD_CURVE_6M_23Y</v>
      </c>
      <c r="K60" s="21" t="s">
        <v>205</v>
      </c>
      <c r="L60" s="4"/>
      <c r="M60" s="52" t="str">
        <f>_xll.qlSwapIndex(,"NoFix",D60,2,Currency,JoinCalendar,FixedLegTenor,FixedLegBDC,FixedLegDayCounter,IborIndex,DiscountingCurve,,Trigger)</f>
        <v>obj_003e7#0000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80</v>
      </c>
      <c r="E61" s="13" t="s">
        <v>92</v>
      </c>
      <c r="F61" s="54">
        <f t="shared" si="5"/>
        <v>42493</v>
      </c>
      <c r="G61" s="27">
        <f>_xll.qlInterestRateIndexValueDate(M61,F61)</f>
        <v>42495</v>
      </c>
      <c r="H61" s="27">
        <f>_xll.qlInterestRateIndexMaturity(M61,G61)</f>
        <v>51264</v>
      </c>
      <c r="I61" s="21">
        <f>_xll.qlIndexFixing(M61,F61,TRUE,AllTriggers)</f>
        <v>2.3202412629950025E-2</v>
      </c>
      <c r="J61" s="21" t="str">
        <f t="shared" si="4"/>
        <v>USD_CURVE_6M_24Y</v>
      </c>
      <c r="K61" s="21" t="s">
        <v>206</v>
      </c>
      <c r="L61" s="4"/>
      <c r="M61" s="52" t="str">
        <f>_xll.qlSwapIndex(,"NoFix",D61,2,Currency,JoinCalendar,FixedLegTenor,FixedLegBDC,FixedLegDayCounter,IborIndex,DiscountingCurve,,Trigger)</f>
        <v>obj_003f7#0000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81</v>
      </c>
      <c r="E62" s="13" t="s">
        <v>92</v>
      </c>
      <c r="F62" s="54">
        <f t="shared" si="5"/>
        <v>42493</v>
      </c>
      <c r="G62" s="27">
        <f>_xll.qlInterestRateIndexValueDate(M62,F62)</f>
        <v>42495</v>
      </c>
      <c r="H62" s="27">
        <f>_xll.qlInterestRateIndexMaturity(M62,G62)</f>
        <v>51628</v>
      </c>
      <c r="I62" s="21">
        <f>_xll.qlIndexFixing(M62,F62,TRUE,AllTriggers)</f>
        <v>2.3310511342363574E-2</v>
      </c>
      <c r="J62" s="21" t="str">
        <f t="shared" si="4"/>
        <v>USD_CURVE_6M_25Y</v>
      </c>
      <c r="K62" s="21" t="s">
        <v>207</v>
      </c>
      <c r="L62" s="4"/>
      <c r="M62" s="52" t="str">
        <f>_xll.qlSwapIndex(,"NoFix",D62,2,Currency,JoinCalendar,FixedLegTenor,FixedLegBDC,FixedLegDayCounter,IborIndex,DiscountingCurve,,Trigger)</f>
        <v>obj_0042b#0000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82</v>
      </c>
      <c r="E63" s="13" t="s">
        <v>92</v>
      </c>
      <c r="F63" s="54">
        <f t="shared" si="5"/>
        <v>42493</v>
      </c>
      <c r="G63" s="27">
        <f>_xll.qlInterestRateIndexValueDate(M63,F63)</f>
        <v>42495</v>
      </c>
      <c r="H63" s="27">
        <f>_xll.qlInterestRateIndexMaturity(M63,G63)</f>
        <v>51992</v>
      </c>
      <c r="I63" s="21">
        <f>_xll.qlIndexFixing(M63,F63,TRUE,AllTriggers)</f>
        <v>2.3410593422277488E-2</v>
      </c>
      <c r="J63" s="21" t="str">
        <f t="shared" si="4"/>
        <v>USD_CURVE_6M_26Y</v>
      </c>
      <c r="K63" s="21" t="s">
        <v>208</v>
      </c>
      <c r="L63" s="4"/>
      <c r="M63" s="52" t="str">
        <f>_xll.qlSwapIndex(,"NoFix",D63,2,Currency,JoinCalendar,FixedLegTenor,FixedLegBDC,FixedLegDayCounter,IborIndex,DiscountingCurve,,Trigger)</f>
        <v>obj_00416#0000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83</v>
      </c>
      <c r="E64" s="13" t="s">
        <v>92</v>
      </c>
      <c r="F64" s="54">
        <f t="shared" si="5"/>
        <v>42493</v>
      </c>
      <c r="G64" s="27">
        <f>_xll.qlInterestRateIndexValueDate(M64,F64)</f>
        <v>42495</v>
      </c>
      <c r="H64" s="27">
        <f>_xll.qlInterestRateIndexMaturity(M64,G64)</f>
        <v>52356</v>
      </c>
      <c r="I64" s="21">
        <f>_xll.qlIndexFixing(M64,F64,TRUE,AllTriggers)</f>
        <v>2.3502308915065977E-2</v>
      </c>
      <c r="J64" s="21" t="str">
        <f t="shared" ref="J64:J70" si="6">Currency&amp;"_CURVE_"&amp;CurveTenor&amp;"_"&amp;D64</f>
        <v>USD_CURVE_6M_27Y</v>
      </c>
      <c r="K64" s="21" t="s">
        <v>209</v>
      </c>
      <c r="L64" s="4"/>
      <c r="M64" s="52" t="str">
        <f>_xll.qlSwapIndex(,"NoFix",D64,2,Currency,JoinCalendar,FixedLegTenor,FixedLegBDC,FixedLegDayCounter,IborIndex,DiscountingCurve,,Trigger)</f>
        <v>obj_003e1#0000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84</v>
      </c>
      <c r="E65" s="13" t="s">
        <v>92</v>
      </c>
      <c r="F65" s="54">
        <f t="shared" si="5"/>
        <v>42493</v>
      </c>
      <c r="G65" s="27">
        <f>_xll.qlInterestRateIndexValueDate(M65,F65)</f>
        <v>42495</v>
      </c>
      <c r="H65" s="27">
        <f>_xll.qlInterestRateIndexMaturity(M65,G65)</f>
        <v>52722</v>
      </c>
      <c r="I65" s="21">
        <f>_xll.qlIndexFixing(M65,F65,TRUE,AllTriggers)</f>
        <v>2.3585285435840053E-2</v>
      </c>
      <c r="J65" s="21" t="str">
        <f t="shared" si="6"/>
        <v>USD_CURVE_6M_28Y</v>
      </c>
      <c r="K65" s="21" t="s">
        <v>210</v>
      </c>
      <c r="L65" s="4"/>
      <c r="M65" s="52" t="str">
        <f>_xll.qlSwapIndex(,"NoFix",D65,2,Currency,JoinCalendar,FixedLegTenor,FixedLegBDC,FixedLegDayCounter,IborIndex,DiscountingCurve,,Trigger)</f>
        <v>obj_003ba#0000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85</v>
      </c>
      <c r="E66" s="13" t="s">
        <v>92</v>
      </c>
      <c r="F66" s="54">
        <f t="shared" si="5"/>
        <v>42493</v>
      </c>
      <c r="G66" s="27">
        <f>_xll.qlInterestRateIndexValueDate(M66,F66)</f>
        <v>42495</v>
      </c>
      <c r="H66" s="27">
        <f>_xll.qlInterestRateIndexMaturity(M66,G66)</f>
        <v>53087</v>
      </c>
      <c r="I66" s="21">
        <f>_xll.qlIndexFixing(M66,F66,TRUE,AllTriggers)</f>
        <v>2.3658056142726706E-2</v>
      </c>
      <c r="J66" s="21" t="str">
        <f t="shared" si="6"/>
        <v>USD_CURVE_6M_29Y</v>
      </c>
      <c r="K66" s="21" t="s">
        <v>211</v>
      </c>
      <c r="L66" s="4"/>
      <c r="M66" s="52" t="str">
        <f>_xll.qlSwapIndex(,"NoFix",D66,2,Currency,JoinCalendar,FixedLegTenor,FixedLegBDC,FixedLegDayCounter,IborIndex,DiscountingCurve,,Trigger)</f>
        <v>obj_0040e#0000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46" t="s">
        <v>86</v>
      </c>
      <c r="E67" s="13" t="s">
        <v>92</v>
      </c>
      <c r="F67" s="54">
        <f t="shared" si="5"/>
        <v>42493</v>
      </c>
      <c r="G67" s="27">
        <f>_xll.qlInterestRateIndexValueDate(M67,F67)</f>
        <v>42495</v>
      </c>
      <c r="H67" s="27">
        <f>_xll.qlInterestRateIndexMaturity(M67,G67)</f>
        <v>53455</v>
      </c>
      <c r="I67" s="21">
        <f>_xll.qlIndexFixing(M67,F67,TRUE,AllTriggers)</f>
        <v>2.372085485831648E-2</v>
      </c>
      <c r="J67" s="21" t="str">
        <f t="shared" si="6"/>
        <v>USD_CURVE_6M_30Y</v>
      </c>
      <c r="K67" s="21" t="s">
        <v>212</v>
      </c>
      <c r="L67" s="4"/>
      <c r="M67" s="52" t="str">
        <f>_xll.qlSwapIndex(,"NoFix",D67,2,Currency,JoinCalendar,FixedLegTenor,FixedLegBDC,FixedLegDayCounter,IborIndex,DiscountingCurve,,Trigger)</f>
        <v>obj_003b9#0000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46" t="s">
        <v>87</v>
      </c>
      <c r="E68" s="13" t="s">
        <v>92</v>
      </c>
      <c r="F68" s="54">
        <f t="shared" si="5"/>
        <v>42493</v>
      </c>
      <c r="G68" s="27">
        <f>_xll.qlInterestRateIndexValueDate(M68,F68)</f>
        <v>42495</v>
      </c>
      <c r="H68" s="27">
        <f>_xll.qlInterestRateIndexMaturity(M68,G68)</f>
        <v>57105</v>
      </c>
      <c r="I68" s="21">
        <f>_xll.qlIndexFixing(M68,F68,TRUE,AllTriggers)</f>
        <v>2.3920948495452555E-2</v>
      </c>
      <c r="J68" s="21" t="str">
        <f t="shared" si="6"/>
        <v>USD_CURVE_6M_40Y</v>
      </c>
      <c r="K68" s="21" t="s">
        <v>213</v>
      </c>
      <c r="L68" s="4"/>
      <c r="M68" s="52" t="str">
        <f>_xll.qlSwapIndex(,"NoFix",D68,2,Currency,JoinCalendar,FixedLegTenor,FixedLegBDC,FixedLegDayCounter,IborIndex,DiscountingCurve,,Trigger)</f>
        <v>obj_0041f#0000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46" t="s">
        <v>88</v>
      </c>
      <c r="E69" s="13" t="s">
        <v>92</v>
      </c>
      <c r="F69" s="54">
        <f t="shared" si="5"/>
        <v>42493</v>
      </c>
      <c r="G69" s="27">
        <f>_xll.qlInterestRateIndexValueDate(M69,F69)</f>
        <v>42495</v>
      </c>
      <c r="H69" s="27">
        <f>_xll.qlInterestRateIndexMaturity(M69,G69)</f>
        <v>60757</v>
      </c>
      <c r="I69" s="21">
        <f>_xll.qlIndexFixing(M69,F69,TRUE,AllTriggers)</f>
        <v>2.3770967552770268E-2</v>
      </c>
      <c r="J69" s="21" t="str">
        <f t="shared" si="6"/>
        <v>USD_CURVE_6M_50Y</v>
      </c>
      <c r="K69" s="21" t="s">
        <v>214</v>
      </c>
      <c r="L69" s="4"/>
      <c r="M69" s="52" t="str">
        <f>_xll.qlSwapIndex(,"NoFix",D69,2,Currency,JoinCalendar,FixedLegTenor,FixedLegBDC,FixedLegDayCounter,IborIndex,DiscountingCurve,,Trigger)</f>
        <v>obj_003b8#0000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47" t="s">
        <v>89</v>
      </c>
      <c r="E70" s="15" t="s">
        <v>92</v>
      </c>
      <c r="F70" s="56">
        <f t="shared" si="5"/>
        <v>42493</v>
      </c>
      <c r="G70" s="168">
        <f>_xll.qlInterestRateIndexValueDate(M70,F70)</f>
        <v>42495</v>
      </c>
      <c r="H70" s="168">
        <f>_xll.qlInterestRateIndexMaturity(M70,G70)</f>
        <v>64410</v>
      </c>
      <c r="I70" s="169">
        <f>_xll.qlIndexFixing(M70,F70,TRUE,AllTriggers)</f>
        <v>2.3631235334031987E-2</v>
      </c>
      <c r="J70" s="169" t="str">
        <f t="shared" si="6"/>
        <v>USD_CURVE_6M_60Y</v>
      </c>
      <c r="K70" s="169" t="s">
        <v>215</v>
      </c>
      <c r="L70" s="4"/>
      <c r="M70" s="58" t="str">
        <f>_xll.qlSwapIndex(,"NoFix",D70,2,Currency,JoinCalendar,FixedLegTenor,FixedLegBDC,FixedLegDayCounter,IborIndex,DiscountingCurve,,Trigger)</f>
        <v>obj_003e0#0000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50</v>
      </c>
      <c r="F1" s="36" t="s">
        <v>20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51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40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29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78" t="e">
        <f>_xll.qlInterestRateIndexFixingDate($M$35,EffectiveDate,)</f>
        <v>#NUM!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35</v>
      </c>
      <c r="F5" s="10" t="s">
        <v>40</v>
      </c>
      <c r="G5" s="10" t="s">
        <v>47</v>
      </c>
      <c r="H5" s="10" t="s">
        <v>33</v>
      </c>
      <c r="I5" s="11" t="s">
        <v>32</v>
      </c>
      <c r="J5" s="11" t="s">
        <v>48</v>
      </c>
      <c r="K5" s="11" t="s">
        <v>49</v>
      </c>
      <c r="L5" s="23"/>
      <c r="M5" s="35" t="s">
        <v>58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92</v>
      </c>
      <c r="E9" s="77" t="s">
        <v>94</v>
      </c>
      <c r="F9" s="87">
        <f t="shared" ref="F9:F20" si="0">FirstLiborFixingDate</f>
        <v>42493</v>
      </c>
      <c r="G9" s="87">
        <f>_xll.qlInterestRateIndexValueDate(M9,F9)</f>
        <v>42495</v>
      </c>
      <c r="H9" s="87">
        <f>_xll.qlInterestRateIndexMaturity(M9,G9)</f>
        <v>42502</v>
      </c>
      <c r="I9" s="79">
        <f>_xll.qlIndexFixing(M9,F9,TRUE,AllTriggers)</f>
        <v>1.1667627882136091E-2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obj_00390#0000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13</v>
      </c>
      <c r="E10" s="77" t="s">
        <v>94</v>
      </c>
      <c r="F10" s="87">
        <f t="shared" si="0"/>
        <v>42493</v>
      </c>
      <c r="G10" s="87">
        <f>_xll.qlInterestRateIndexValueDate(M10,F10)</f>
        <v>42495</v>
      </c>
      <c r="H10" s="87">
        <f>_xll.qlInterestRateIndexMaturity(M10,G10)</f>
        <v>42509</v>
      </c>
      <c r="I10" s="79">
        <f>_xll.qlIndexFixing(M10,F10,TRUE,AllTriggers)</f>
        <v>1.1671308710178454E-2</v>
      </c>
      <c r="J10" s="79" t="str">
        <f t="shared" ref="J10:J20" si="1">Currency&amp;"_CURVE_DEP"&amp;"12M"&amp;"_"&amp;D10</f>
        <v>USD_CURVE_DEP12M_2W</v>
      </c>
      <c r="K10" s="79"/>
      <c r="L10" s="23"/>
      <c r="M10" s="81" t="str">
        <f>_xll.qlLibor(,Currency,D10,YieldCurve,,Trigger)</f>
        <v>obj_0038f#0000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65</v>
      </c>
      <c r="E11" s="77" t="s">
        <v>94</v>
      </c>
      <c r="F11" s="87">
        <f t="shared" si="0"/>
        <v>42493</v>
      </c>
      <c r="G11" s="87">
        <f>_xll.qlInterestRateIndexValueDate(M11,F11)</f>
        <v>42495</v>
      </c>
      <c r="H11" s="87">
        <f>_xll.qlInterestRateIndexMaturity(M11,G11)</f>
        <v>42516</v>
      </c>
      <c r="I11" s="79">
        <f>_xll.qlIndexFixing(M11,F11,TRUE,AllTriggers)</f>
        <v>1.1676562703738671E-2</v>
      </c>
      <c r="J11" s="79" t="str">
        <f t="shared" si="1"/>
        <v>USD_CURVE_DEP12M_3W</v>
      </c>
      <c r="K11" s="79"/>
      <c r="L11" s="23"/>
      <c r="M11" s="81" t="str">
        <f>_xll.qlLibor(,Currency,D11,YieldCurve,,Trigger)</f>
        <v>obj_0038b#0000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14</v>
      </c>
      <c r="E12" s="77" t="s">
        <v>94</v>
      </c>
      <c r="F12" s="87">
        <f t="shared" si="0"/>
        <v>42493</v>
      </c>
      <c r="G12" s="88">
        <f>_xll.qlInterestRateIndexValueDate(M12,F12)</f>
        <v>42495</v>
      </c>
      <c r="H12" s="87">
        <f>_xll.qlInterestRateIndexMaturity(M12,G12)</f>
        <v>42527</v>
      </c>
      <c r="I12" s="79">
        <f>_xll.qlIndexFixing(M12,F12,TRUE,AllTriggers)</f>
        <v>1.1687999996368437E-2</v>
      </c>
      <c r="J12" s="79" t="str">
        <f t="shared" si="1"/>
        <v>USD_CURVE_DEP12M_1M</v>
      </c>
      <c r="K12" s="79"/>
      <c r="L12" s="23"/>
      <c r="M12" s="81" t="str">
        <f>_xll.qlLibor(,Currency,D12,YieldCurve,,Trigger)</f>
        <v>obj_0038d#0000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15</v>
      </c>
      <c r="E13" s="77" t="s">
        <v>94</v>
      </c>
      <c r="F13" s="87">
        <f t="shared" si="0"/>
        <v>42493</v>
      </c>
      <c r="G13" s="88">
        <f>_xll.qlInterestRateIndexValueDate(M13,F13)</f>
        <v>42495</v>
      </c>
      <c r="H13" s="87">
        <f>_xll.qlInterestRateIndexMaturity(M13,G13)</f>
        <v>42556</v>
      </c>
      <c r="I13" s="79">
        <f>_xll.qlIndexFixing(M13,F13,TRUE,AllTriggers)</f>
        <v>1.1722000000000093E-2</v>
      </c>
      <c r="J13" s="79" t="str">
        <f t="shared" si="1"/>
        <v>USD_CURVE_DEP12M_2M</v>
      </c>
      <c r="K13" s="79"/>
      <c r="L13" s="23"/>
      <c r="M13" s="81" t="str">
        <f>_xll.qlLibor(,Currency,D13,YieldCurve,,Trigger)</f>
        <v>obj_00392#0000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16</v>
      </c>
      <c r="E14" s="77" t="s">
        <v>94</v>
      </c>
      <c r="F14" s="87">
        <f t="shared" si="0"/>
        <v>42493</v>
      </c>
      <c r="G14" s="88">
        <f>_xll.qlInterestRateIndexValueDate(M14,F14)</f>
        <v>42495</v>
      </c>
      <c r="H14" s="87">
        <f>_xll.qlInterestRateIndexMaturity(M14,G14)</f>
        <v>42587</v>
      </c>
      <c r="I14" s="79">
        <f>_xll.qlIndexFixing(M14,F14,TRUE,AllTriggers)</f>
        <v>1.1753000000000241E-2</v>
      </c>
      <c r="J14" s="79" t="str">
        <f t="shared" si="1"/>
        <v>USD_CURVE_DEP12M_3M</v>
      </c>
      <c r="K14" s="79"/>
      <c r="L14" s="23"/>
      <c r="M14" s="81" t="str">
        <f>_xll.qlLibor(,Currency,D14,YieldCurve,,Trigger)</f>
        <v>obj_00391#0000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17</v>
      </c>
      <c r="E15" s="77" t="s">
        <v>94</v>
      </c>
      <c r="F15" s="87">
        <f t="shared" si="0"/>
        <v>42493</v>
      </c>
      <c r="G15" s="88">
        <f>_xll.qlInterestRateIndexValueDate(M15,F15)</f>
        <v>42495</v>
      </c>
      <c r="H15" s="87">
        <f>_xll.qlInterestRateIndexMaturity(M15,G15)</f>
        <v>42619</v>
      </c>
      <c r="I15" s="79">
        <f>_xll.qlIndexFixing(M15,F15,TRUE,AllTriggers)</f>
        <v>1.1819999999999949E-2</v>
      </c>
      <c r="J15" s="79" t="str">
        <f t="shared" si="1"/>
        <v>USD_CURVE_DEP12M_4M</v>
      </c>
      <c r="K15" s="79"/>
      <c r="L15" s="23"/>
      <c r="M15" s="81" t="str">
        <f>_xll.qlLibor(,Currency,D15,YieldCurve,,Trigger)</f>
        <v>obj_00394#0000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18</v>
      </c>
      <c r="E16" s="77" t="s">
        <v>94</v>
      </c>
      <c r="F16" s="87">
        <f t="shared" si="0"/>
        <v>42493</v>
      </c>
      <c r="G16" s="88">
        <f>_xll.qlInterestRateIndexValueDate(M16,F16)</f>
        <v>42495</v>
      </c>
      <c r="H16" s="87">
        <f>_xll.qlInterestRateIndexMaturity(M16,G16)</f>
        <v>42648</v>
      </c>
      <c r="I16" s="79">
        <f>_xll.qlIndexFixing(M16,F16,TRUE,AllTriggers)</f>
        <v>1.1889000000000352E-2</v>
      </c>
      <c r="J16" s="79" t="str">
        <f t="shared" si="1"/>
        <v>USD_CURVE_DEP12M_5M</v>
      </c>
      <c r="K16" s="79"/>
      <c r="L16" s="23"/>
      <c r="M16" s="81" t="str">
        <f>_xll.qlLibor(,Currency,D16,YieldCurve,,Trigger)</f>
        <v>obj_0038e#0000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11</v>
      </c>
      <c r="E17" s="77" t="s">
        <v>94</v>
      </c>
      <c r="F17" s="87">
        <f t="shared" si="0"/>
        <v>42493</v>
      </c>
      <c r="G17" s="88">
        <f>_xll.qlInterestRateIndexValueDate(M17,F17)</f>
        <v>42495</v>
      </c>
      <c r="H17" s="87">
        <f>_xll.qlInterestRateIndexMaturity(M17,G17)</f>
        <v>42681</v>
      </c>
      <c r="I17" s="79">
        <f>_xll.qlIndexFixing(M17,F17,TRUE,AllTriggers)</f>
        <v>1.1957999999999511E-2</v>
      </c>
      <c r="J17" s="79" t="str">
        <f t="shared" si="1"/>
        <v>USD_CURVE_DEP12M_6M</v>
      </c>
      <c r="K17" s="79"/>
      <c r="L17" s="23"/>
      <c r="M17" s="81" t="str">
        <f>_xll.qlLibor(,Currency,D17,YieldCurve,,Trigger)</f>
        <v>obj_00395#0000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59</v>
      </c>
      <c r="E18" s="77" t="s">
        <v>94</v>
      </c>
      <c r="F18" s="87">
        <f t="shared" si="0"/>
        <v>42493</v>
      </c>
      <c r="G18" s="88">
        <f>_xll.qlInterestRateIndexValueDate(M18,F18)</f>
        <v>42495</v>
      </c>
      <c r="H18" s="87">
        <f>_xll.qlInterestRateIndexMaturity(M18,G18)</f>
        <v>42709</v>
      </c>
      <c r="I18" s="79">
        <f>_xll.qlIndexFixing(M18,F18,TRUE,AllTriggers)</f>
        <v>1.2013758685825961E-2</v>
      </c>
      <c r="J18" s="79" t="str">
        <f t="shared" si="1"/>
        <v>USD_CURVE_DEP12M_7M</v>
      </c>
      <c r="K18" s="79"/>
      <c r="L18" s="23"/>
      <c r="M18" s="81" t="str">
        <f>_xll.qlLibor(,Currency,D18,YieldCurve,,Trigger)</f>
        <v>obj_0038a#0000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60</v>
      </c>
      <c r="E19" s="77" t="s">
        <v>94</v>
      </c>
      <c r="F19" s="87">
        <f t="shared" si="0"/>
        <v>42493</v>
      </c>
      <c r="G19" s="88">
        <f>_xll.qlInterestRateIndexValueDate(M19,F19)</f>
        <v>42495</v>
      </c>
      <c r="H19" s="87">
        <f>_xll.qlInterestRateIndexMaturity(M19,G19)</f>
        <v>42740</v>
      </c>
      <c r="I19" s="79">
        <f>_xll.qlIndexFixing(M19,F19,TRUE,AllTriggers)</f>
        <v>1.2074446691895549E-2</v>
      </c>
      <c r="J19" s="79" t="str">
        <f t="shared" si="1"/>
        <v>USD_CURVE_DEP12M_8M</v>
      </c>
      <c r="K19" s="79"/>
      <c r="L19" s="23"/>
      <c r="M19" s="81" t="str">
        <f>_xll.qlLibor(,Currency,D19,YieldCurve,,Trigger)</f>
        <v>obj_00396#0000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19</v>
      </c>
      <c r="E20" s="77" t="s">
        <v>94</v>
      </c>
      <c r="F20" s="88">
        <f t="shared" si="0"/>
        <v>42493</v>
      </c>
      <c r="G20" s="88">
        <f>_xll.qlInterestRateIndexValueDate(M20,F20)</f>
        <v>42495</v>
      </c>
      <c r="H20" s="88">
        <f>_xll.qlInterestRateIndexMaturity(M20,G20)</f>
        <v>42772</v>
      </c>
      <c r="I20" s="79">
        <f>_xll.qlIndexFixing(M20,F20,TRUE,AllTriggers)</f>
        <v>1.2136000000000008E-2</v>
      </c>
      <c r="J20" s="79" t="str">
        <f t="shared" si="1"/>
        <v>USD_CURVE_DEP12M_9M</v>
      </c>
      <c r="K20" s="79"/>
      <c r="L20" s="51"/>
      <c r="M20" s="81" t="str">
        <f>_xll.qlLibor(,Currency,D20,YieldCurve,,Trigger)</f>
        <v>obj_00393#0000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1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0">
        <f>_xll.qlDayCounterYearFraction("actual/360",$G$20,C24,,,AllTriggers)</f>
        <v>0.63888888888888884</v>
      </c>
      <c r="C24" s="166">
        <f>_xll.qlIMMNextDate(_xll.qlIMMNextCode(_xll.qlIMMNextCode(EvaluationDate+FuturesRollDays)))</f>
        <v>42725</v>
      </c>
      <c r="D24" s="83" t="str">
        <f>"#"&amp;YEAR(C24)&amp;IF(LEN(MONTH(C24))=1,"0","")&amp;MONTH(C24)&amp;IF(LEN(DAY(C24))=1,"0","")&amp;DAY(C24)</f>
        <v>#20161221</v>
      </c>
      <c r="E24" s="76" t="s">
        <v>109</v>
      </c>
      <c r="F24" s="94"/>
      <c r="G24" s="94"/>
      <c r="H24" s="94"/>
      <c r="I24" s="90">
        <f>(_xll.qlYieldTSDiscount(YieldCurve,$G$20,,AllTriggers)/_xll.qlYieldTSDiscount(YieldCurve,C24,,AllTriggers)-1)/B24</f>
        <v>1.2045214489413812E-2</v>
      </c>
      <c r="J24" s="90" t="str">
        <f>Currency&amp;"_CURVE_DEP"&amp;"12M"&amp;"_"&amp;D24</f>
        <v>USD_CURVE_DEP12M_#20161221</v>
      </c>
      <c r="K24" s="90"/>
      <c r="L24" s="51"/>
      <c r="M24" s="82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0">
        <f>_xll.qlDayCounterYearFraction("actual/360",$G$20,C25,,,AllTriggers)</f>
        <v>0.87222222222222223</v>
      </c>
      <c r="C25" s="166">
        <f>_xll.qlIMMNextDate(C24)</f>
        <v>42809</v>
      </c>
      <c r="D25" s="89" t="str">
        <f>"#"&amp;YEAR(C25)&amp;IF(LEN(MONTH(C25))=1,"0","")&amp;MONTH(C25)&amp;IF(LEN(DAY(C25))=1,"0","")&amp;DAY(C25)</f>
        <v>#20170315</v>
      </c>
      <c r="E25" s="78" t="s">
        <v>109</v>
      </c>
      <c r="F25" s="92"/>
      <c r="G25" s="92"/>
      <c r="H25" s="92"/>
      <c r="I25" s="91">
        <f>(_xll.qlYieldTSDiscount(YieldCurve,$G$20,,AllTriggers)/_xll.qlYieldTSDiscount(YieldCurve,C25,,AllTriggers)-1)/B25</f>
        <v>1.2205852209876179E-2</v>
      </c>
      <c r="J25" s="91" t="str">
        <f>Currency&amp;"_CURVE_DEP"&amp;"12M"&amp;"_"&amp;D25</f>
        <v>USD_CURVE_DEP12M_#20170315</v>
      </c>
      <c r="K25" s="91"/>
      <c r="L25" s="51"/>
      <c r="M25" s="35" t="s">
        <v>116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3" t="str">
        <f t="array" ref="D26:D34">_xll.qlIMMNextCodes(EvaluationDate+2,C26:C34)</f>
        <v>M6</v>
      </c>
      <c r="E26" s="74" t="s">
        <v>98</v>
      </c>
      <c r="F26" s="26">
        <f>_xll.qlInterestRateIndexFixingDate(IborIndex,G26)</f>
        <v>42534</v>
      </c>
      <c r="G26" s="63">
        <f>_xll.qlIMMdate(D26)</f>
        <v>42536</v>
      </c>
      <c r="H26" s="26">
        <f>_xll.qlInterestRateIndexMaturity(IborIndex,G26)</f>
        <v>42901</v>
      </c>
      <c r="I26" s="159">
        <f>(1-_xll.qlIndexFixing($M$26,F26,TRUE,AllTriggers))*100</f>
        <v>98.81107001512504</v>
      </c>
      <c r="J26" s="22" t="str">
        <f t="shared" ref="J26:J34" si="2">Currency&amp;"_CURVE_"&amp;E26&amp;"12M"&amp;"_"&amp;D26</f>
        <v>USD_CURVE_FUT12M_M6</v>
      </c>
      <c r="K26" s="22"/>
      <c r="L26" s="51"/>
      <c r="M26" s="177" t="str">
        <f>_xll.qlLibor(,Currency,"3m",YieldCurve,,Trigger)</f>
        <v>obj_0038c#0000</v>
      </c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U6</v>
      </c>
      <c r="E27" s="75" t="s">
        <v>98</v>
      </c>
      <c r="F27" s="88">
        <f>_xll.qlInterestRateIndexFixingDate(IborIndex,G27)</f>
        <v>42632</v>
      </c>
      <c r="G27" s="88">
        <f>_xll.qlIMMdate(D27)</f>
        <v>42634</v>
      </c>
      <c r="H27" s="88">
        <f>_xll.qlInterestRateIndexMaturity(IborIndex,G27)</f>
        <v>42999</v>
      </c>
      <c r="I27" s="160">
        <f>(1-_xll.qlIndexFixing($M$26,F27,TRUE,AllTriggers))*100</f>
        <v>98.772240492178227</v>
      </c>
      <c r="J27" s="79" t="str">
        <f t="shared" si="2"/>
        <v>USD_CURVE_FUT12M_U6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Z6</v>
      </c>
      <c r="E28" s="75" t="s">
        <v>98</v>
      </c>
      <c r="F28" s="88">
        <f>_xll.qlInterestRateIndexFixingDate(IborIndex,G28)</f>
        <v>42723</v>
      </c>
      <c r="G28" s="88">
        <f>_xll.qlIMMdate(D28)</f>
        <v>42725</v>
      </c>
      <c r="H28" s="88">
        <f>_xll.qlInterestRateIndexMaturity(IborIndex,G28)</f>
        <v>43090</v>
      </c>
      <c r="I28" s="160">
        <f>(1-_xll.qlIndexFixing($M$26,F28,TRUE,AllTriggers))*100</f>
        <v>98.744045540468932</v>
      </c>
      <c r="J28" s="79" t="str">
        <f t="shared" si="2"/>
        <v>USD_CURVE_FUT12M_Z6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H7</v>
      </c>
      <c r="E29" s="75" t="s">
        <v>98</v>
      </c>
      <c r="F29" s="88">
        <f>_xll.qlInterestRateIndexFixingDate(IborIndex,G29)</f>
        <v>42807</v>
      </c>
      <c r="G29" s="88">
        <f>_xll.qlIMMdate(D29)</f>
        <v>42809</v>
      </c>
      <c r="H29" s="88">
        <f>_xll.qlInterestRateIndexMaturity(IborIndex,G29)</f>
        <v>43174</v>
      </c>
      <c r="I29" s="160">
        <f>(1-_xll.qlIndexFixing($M$26,F29,TRUE,AllTriggers))*100</f>
        <v>98.738106610375084</v>
      </c>
      <c r="J29" s="79" t="str">
        <f t="shared" si="2"/>
        <v>USD_CURVE_FUT12M_H7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M7</v>
      </c>
      <c r="E30" s="75" t="s">
        <v>98</v>
      </c>
      <c r="F30" s="88">
        <f>_xll.qlInterestRateIndexFixingDate(IborIndex,G30)</f>
        <v>42905</v>
      </c>
      <c r="G30" s="88">
        <f>_xll.qlIMMdate(D30)</f>
        <v>42907</v>
      </c>
      <c r="H30" s="88">
        <f>_xll.qlInterestRateIndexMaturity(IborIndex,G30)</f>
        <v>43272</v>
      </c>
      <c r="I30" s="161">
        <f>(1-_xll.qlIndexFixing($M$26,F30,TRUE,AllTriggers))*100</f>
        <v>98.691100229528544</v>
      </c>
      <c r="J30" s="79" t="str">
        <f t="shared" si="2"/>
        <v>USD_CURVE_FUT12M_M7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U7</v>
      </c>
      <c r="E31" s="75" t="s">
        <v>98</v>
      </c>
      <c r="F31" s="88">
        <f>_xll.qlInterestRateIndexFixingDate(IborIndex,G31)</f>
        <v>42996</v>
      </c>
      <c r="G31" s="88">
        <f>_xll.qlIMMdate(D31)</f>
        <v>42998</v>
      </c>
      <c r="H31" s="88">
        <f>_xll.qlInterestRateIndexMaturity(IborIndex,G31)</f>
        <v>43363</v>
      </c>
      <c r="I31" s="161">
        <f>(1-_xll.qlIndexFixing($M$26,F31,TRUE,AllTriggers))*100</f>
        <v>98.554603154776771</v>
      </c>
      <c r="J31" s="79" t="str">
        <f t="shared" si="2"/>
        <v>USD_CURVE_FUT12M_U7</v>
      </c>
      <c r="K31" s="79"/>
      <c r="L31" s="51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Z7</v>
      </c>
      <c r="E32" s="75" t="s">
        <v>98</v>
      </c>
      <c r="F32" s="88">
        <f>_xll.qlInterestRateIndexFixingDate(IborIndex,G32)</f>
        <v>43087</v>
      </c>
      <c r="G32" s="88">
        <f>_xll.qlIMMdate(D32)</f>
        <v>43089</v>
      </c>
      <c r="H32" s="88">
        <f>_xll.qlInterestRateIndexMaturity(IborIndex,G32)</f>
        <v>43454</v>
      </c>
      <c r="I32" s="160">
        <f>(1-_xll.qlIndexFixing($M$26,F32,TRUE,AllTriggers))*100</f>
        <v>98.355910389748757</v>
      </c>
      <c r="J32" s="79" t="str">
        <f t="shared" si="2"/>
        <v>USD_CURVE_FUT12M_Z7</v>
      </c>
      <c r="K32" s="79"/>
      <c r="L32" s="23"/>
      <c r="M32" s="34"/>
      <c r="N32" s="34"/>
      <c r="O32" s="37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86" t="str">
        <v>H8</v>
      </c>
      <c r="E33" s="75" t="s">
        <v>98</v>
      </c>
      <c r="F33" s="88">
        <f>_xll.qlInterestRateIndexFixingDate(IborIndex,G33)</f>
        <v>43178</v>
      </c>
      <c r="G33" s="88">
        <f>_xll.qlIMMdate(D33)</f>
        <v>43180</v>
      </c>
      <c r="H33" s="88">
        <f>_xll.qlInterestRateIndexMaturity(IborIndex,G33)</f>
        <v>43545</v>
      </c>
      <c r="I33" s="160">
        <f>(1-_xll.qlIndexFixing($M$26,F33,TRUE,AllTriggers))*100</f>
        <v>98.177065036619737</v>
      </c>
      <c r="J33" s="79" t="str">
        <f t="shared" ref="J33" si="3">Currency&amp;"_CURVE_"&amp;E33&amp;"12M"&amp;"_"&amp;D33</f>
        <v>USD_CURVE_FUT12M_H8</v>
      </c>
      <c r="K33" s="79"/>
      <c r="L33" s="23"/>
      <c r="M33" s="34"/>
      <c r="N33" s="34"/>
      <c r="O33" s="37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86" t="str">
        <v>M8</v>
      </c>
      <c r="E34" s="75" t="s">
        <v>98</v>
      </c>
      <c r="F34" s="88">
        <f>_xll.qlInterestRateIndexFixingDate(IborIndex,G34)</f>
        <v>43269</v>
      </c>
      <c r="G34" s="88">
        <f>_xll.qlIMMdate(D34)</f>
        <v>43271</v>
      </c>
      <c r="H34" s="88">
        <f>_xll.qlInterestRateIndexMaturity(IborIndex,G34)</f>
        <v>43636</v>
      </c>
      <c r="I34" s="160">
        <f>(1-_xll.qlIndexFixing($M$26,F34,TRUE,AllTriggers))*100</f>
        <v>98.293929205241099</v>
      </c>
      <c r="J34" s="79" t="str">
        <f t="shared" si="2"/>
        <v>USD_CURVE_FUT12M_M8</v>
      </c>
      <c r="K34" s="79"/>
      <c r="L34" s="23"/>
      <c r="M34" s="35" t="s">
        <v>34</v>
      </c>
      <c r="N34" s="34"/>
      <c r="O34" s="35" t="s">
        <v>30</v>
      </c>
      <c r="P34" s="35" t="s">
        <v>52</v>
      </c>
      <c r="Q34" s="35" t="s">
        <v>31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3" t="s">
        <v>20</v>
      </c>
      <c r="E35" s="76" t="s">
        <v>92</v>
      </c>
      <c r="F35" s="94">
        <f>SwapFixingDate</f>
        <v>42493</v>
      </c>
      <c r="G35" s="94">
        <f>_xll.qlInterestRateIndexValueDate(M35,F35)</f>
        <v>42495</v>
      </c>
      <c r="H35" s="94">
        <f>_xll.qlInterestRateIndexMaturity(M35,G35)</f>
        <v>42860</v>
      </c>
      <c r="I35" s="85">
        <f>_xll.qlIndexFixing(M35,F35,TRUE,AllTriggers)</f>
        <v>1.229999999998389E-2</v>
      </c>
      <c r="J35" s="85" t="str">
        <f>Currency&amp;"_CURVE_"&amp;"12M"&amp;"_"&amp;D35</f>
        <v>USD_CURVE_12M_1Y</v>
      </c>
      <c r="K35" s="85" t="s">
        <v>216</v>
      </c>
      <c r="L35" s="4"/>
      <c r="M35" s="110" t="str">
        <f>_xll.qlSwapIndex(,"NoFix",D35,2,Currency,JoinCalendar,FixedLegTenor,FixedLegBDC,FixedLegDayCounter,IborIndex,DiscountingCurve,,Trigger)</f>
        <v>obj_003e9#0000</v>
      </c>
      <c r="N35" s="34"/>
      <c r="O35" s="36" t="s">
        <v>20</v>
      </c>
      <c r="P35" s="36" t="s">
        <v>37</v>
      </c>
      <c r="Q35" s="36" t="s">
        <v>93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52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/>
      <c r="E37" s="77"/>
      <c r="F37" s="88"/>
      <c r="G37" s="88"/>
      <c r="H37" s="88"/>
      <c r="I37" s="80"/>
      <c r="J37" s="79"/>
      <c r="K37" s="79"/>
      <c r="L37" s="4"/>
      <c r="M37" s="103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/>
      <c r="E38" s="77"/>
      <c r="F38" s="88"/>
      <c r="G38" s="88"/>
      <c r="H38" s="88"/>
      <c r="I38" s="80"/>
      <c r="J38" s="79"/>
      <c r="K38" s="79"/>
      <c r="L38" s="4"/>
      <c r="M38" s="103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21</v>
      </c>
      <c r="E39" s="77" t="s">
        <v>92</v>
      </c>
      <c r="F39" s="88">
        <f t="shared" ref="F39:F70" si="4">SwapFixingDate</f>
        <v>42493</v>
      </c>
      <c r="G39" s="88">
        <f>_xll.qlInterestRateIndexValueDate(M39,F39)</f>
        <v>42495</v>
      </c>
      <c r="H39" s="88">
        <f>_xll.qlInterestRateIndexMaturity(M39,G39)</f>
        <v>43228</v>
      </c>
      <c r="I39" s="80">
        <f>_xll.qlIndexFixing(M39,F39,TRUE,AllTriggers)</f>
        <v>1.3624332360167322E-2</v>
      </c>
      <c r="J39" s="79" t="str">
        <f>Currency&amp;"_CURVE_"&amp;"12M"&amp;"_"&amp;D39</f>
        <v>USD_CURVE_12M_2Y</v>
      </c>
      <c r="K39" s="79" t="s">
        <v>217</v>
      </c>
      <c r="L39" s="4"/>
      <c r="M39" s="103" t="str">
        <f>_xll.qlSwapIndex(,"NoFix",D39,2,Currency,JoinCalendar,FixedLegTenor,FixedLegBDC,FixedLegDayCounter,IborIndex,DiscountingCurve,,Trigger)</f>
        <v>obj_00404#0000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22</v>
      </c>
      <c r="E40" s="77" t="s">
        <v>92</v>
      </c>
      <c r="F40" s="88">
        <f t="shared" si="4"/>
        <v>42493</v>
      </c>
      <c r="G40" s="88">
        <f>_xll.qlInterestRateIndexValueDate(M40,F40)</f>
        <v>42495</v>
      </c>
      <c r="H40" s="88">
        <f>_xll.qlInterestRateIndexMaturity(M40,G40)</f>
        <v>43592</v>
      </c>
      <c r="I40" s="80">
        <f>_xll.qlIndexFixing(M40,F40,TRUE,AllTriggers)</f>
        <v>1.4705260709997755E-2</v>
      </c>
      <c r="J40" s="79" t="str">
        <f t="shared" ref="J40:J70" si="5">Currency&amp;"_CURVE_"&amp;"12M"&amp;"_"&amp;D40</f>
        <v>USD_CURVE_12M_3Y</v>
      </c>
      <c r="K40" s="79" t="s">
        <v>218</v>
      </c>
      <c r="L40" s="4"/>
      <c r="M40" s="103" t="str">
        <f>_xll.qlSwapIndex(,"NoFix",D40,2,Currency,JoinCalendar,FixedLegTenor,FixedLegBDC,FixedLegDayCounter,IborIndex,DiscountingCurve,,Trigger)</f>
        <v>obj_003da#0000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23</v>
      </c>
      <c r="E41" s="77" t="s">
        <v>92</v>
      </c>
      <c r="F41" s="88">
        <f t="shared" si="4"/>
        <v>42493</v>
      </c>
      <c r="G41" s="88">
        <f>_xll.qlInterestRateIndexValueDate(M41,F41)</f>
        <v>42495</v>
      </c>
      <c r="H41" s="88">
        <f>_xll.qlInterestRateIndexMaturity(M41,G41)</f>
        <v>43956</v>
      </c>
      <c r="I41" s="80">
        <f>_xll.qlIndexFixing(M41,F41,TRUE,AllTriggers)</f>
        <v>1.5723830140559714E-2</v>
      </c>
      <c r="J41" s="79" t="str">
        <f t="shared" si="5"/>
        <v>USD_CURVE_12M_4Y</v>
      </c>
      <c r="K41" s="79" t="s">
        <v>219</v>
      </c>
      <c r="L41" s="4"/>
      <c r="M41" s="103" t="str">
        <f>_xll.qlSwapIndex(,"NoFix",D41,2,Currency,JoinCalendar,FixedLegTenor,FixedLegBDC,FixedLegDayCounter,IborIndex,DiscountingCurve,,Trigger)</f>
        <v>obj_00420#0000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24</v>
      </c>
      <c r="E42" s="77" t="s">
        <v>92</v>
      </c>
      <c r="F42" s="88">
        <f t="shared" si="4"/>
        <v>42493</v>
      </c>
      <c r="G42" s="88">
        <f>_xll.qlInterestRateIndexValueDate(M42,F42)</f>
        <v>42495</v>
      </c>
      <c r="H42" s="88">
        <f>_xll.qlInterestRateIndexMaturity(M42,G42)</f>
        <v>44321</v>
      </c>
      <c r="I42" s="80">
        <f>_xll.qlIndexFixing(M42,F42,TRUE,AllTriggers)</f>
        <v>1.6724934690486769E-2</v>
      </c>
      <c r="J42" s="79" t="str">
        <f t="shared" si="5"/>
        <v>USD_CURVE_12M_5Y</v>
      </c>
      <c r="K42" s="79" t="s">
        <v>220</v>
      </c>
      <c r="L42" s="4"/>
      <c r="M42" s="103" t="str">
        <f>_xll.qlSwapIndex(,"NoFix",D42,2,Currency,JoinCalendar,FixedLegTenor,FixedLegBDC,FixedLegDayCounter,IborIndex,DiscountingCurve,,Trigger)</f>
        <v>obj_003be#0000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66</v>
      </c>
      <c r="E43" s="77" t="s">
        <v>92</v>
      </c>
      <c r="F43" s="88">
        <f t="shared" si="4"/>
        <v>42493</v>
      </c>
      <c r="G43" s="88">
        <f>_xll.qlInterestRateIndexValueDate(M43,F43)</f>
        <v>42495</v>
      </c>
      <c r="H43" s="88">
        <f>_xll.qlInterestRateIndexMaturity(M43,G43)</f>
        <v>44686</v>
      </c>
      <c r="I43" s="80">
        <f>_xll.qlIndexFixing(M43,F43,TRUE,AllTriggers)</f>
        <v>1.7598056515969678E-2</v>
      </c>
      <c r="J43" s="79" t="str">
        <f t="shared" si="5"/>
        <v>USD_CURVE_12M_6Y</v>
      </c>
      <c r="K43" s="79" t="s">
        <v>221</v>
      </c>
      <c r="L43" s="4"/>
      <c r="M43" s="103" t="str">
        <f>_xll.qlSwapIndex(,"NoFix",D43,2,Currency,JoinCalendar,FixedLegTenor,FixedLegBDC,FixedLegDayCounter,IborIndex,DiscountingCurve,,Trigger)</f>
        <v>obj_0042a#0000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25</v>
      </c>
      <c r="E44" s="77" t="s">
        <v>92</v>
      </c>
      <c r="F44" s="88">
        <f t="shared" si="4"/>
        <v>42493</v>
      </c>
      <c r="G44" s="88">
        <f>_xll.qlInterestRateIndexValueDate(M44,F44)</f>
        <v>42495</v>
      </c>
      <c r="H44" s="88">
        <f>_xll.qlInterestRateIndexMaturity(M44,G44)</f>
        <v>45051</v>
      </c>
      <c r="I44" s="80">
        <f>_xll.qlIndexFixing(M44,F44,TRUE,AllTriggers)</f>
        <v>1.8350871519194435E-2</v>
      </c>
      <c r="J44" s="79" t="str">
        <f t="shared" si="5"/>
        <v>USD_CURVE_12M_7Y</v>
      </c>
      <c r="K44" s="79" t="s">
        <v>222</v>
      </c>
      <c r="L44" s="4"/>
      <c r="M44" s="103" t="str">
        <f>_xll.qlSwapIndex(,"NoFix",D44,2,Currency,JoinCalendar,FixedLegTenor,FixedLegBDC,FixedLegDayCounter,IborIndex,DiscountingCurve,,Trigger)</f>
        <v>obj_003bd#0000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67</v>
      </c>
      <c r="E45" s="77" t="s">
        <v>92</v>
      </c>
      <c r="F45" s="88">
        <f t="shared" si="4"/>
        <v>42493</v>
      </c>
      <c r="G45" s="88">
        <f>_xll.qlInterestRateIndexValueDate(M45,F45)</f>
        <v>42495</v>
      </c>
      <c r="H45" s="88">
        <f>_xll.qlInterestRateIndexMaturity(M45,G45)</f>
        <v>45419</v>
      </c>
      <c r="I45" s="80">
        <f>_xll.qlIndexFixing(M45,F45,TRUE,AllTriggers)</f>
        <v>1.9051181629613445E-2</v>
      </c>
      <c r="J45" s="79" t="str">
        <f t="shared" si="5"/>
        <v>USD_CURVE_12M_8Y</v>
      </c>
      <c r="K45" s="79" t="s">
        <v>223</v>
      </c>
      <c r="L45" s="23"/>
      <c r="M45" s="103" t="str">
        <f>_xll.qlSwapIndex(,"NoFix",D45,2,Currency,JoinCalendar,FixedLegTenor,FixedLegBDC,FixedLegDayCounter,IborIndex,DiscountingCurve,,Trigger)</f>
        <v>obj_0040f#0000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68</v>
      </c>
      <c r="E46" s="77" t="s">
        <v>92</v>
      </c>
      <c r="F46" s="88">
        <f t="shared" si="4"/>
        <v>42493</v>
      </c>
      <c r="G46" s="88">
        <f>_xll.qlInterestRateIndexValueDate(M46,F46)</f>
        <v>42495</v>
      </c>
      <c r="H46" s="88">
        <f>_xll.qlInterestRateIndexMaturity(M46,G46)</f>
        <v>45783</v>
      </c>
      <c r="I46" s="80">
        <f>_xll.qlIndexFixing(M46,F46,TRUE,AllTriggers)</f>
        <v>1.9683848866546082E-2</v>
      </c>
      <c r="J46" s="79" t="str">
        <f t="shared" si="5"/>
        <v>USD_CURVE_12M_9Y</v>
      </c>
      <c r="K46" s="79" t="s">
        <v>224</v>
      </c>
      <c r="L46" s="23"/>
      <c r="M46" s="52" t="str">
        <f>_xll.qlSwapIndex(,"NoFix",D46,2,Currency,JoinCalendar,FixedLegTenor,FixedLegBDC,FixedLegDayCounter,IborIndex,DiscountingCurve,,Trigger)</f>
        <v>obj_003bc#0000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26</v>
      </c>
      <c r="E47" s="77" t="s">
        <v>92</v>
      </c>
      <c r="F47" s="88">
        <f t="shared" si="4"/>
        <v>42493</v>
      </c>
      <c r="G47" s="88">
        <f>_xll.qlInterestRateIndexValueDate(M47,F47)</f>
        <v>42495</v>
      </c>
      <c r="H47" s="88">
        <f>_xll.qlInterestRateIndexMaturity(M47,G47)</f>
        <v>46147</v>
      </c>
      <c r="I47" s="80">
        <f>_xll.qlIndexFixing(M47,F47,TRUE,AllTriggers)</f>
        <v>2.0268981165131081E-2</v>
      </c>
      <c r="J47" s="79" t="str">
        <f t="shared" si="5"/>
        <v>USD_CURVE_12M_10Y</v>
      </c>
      <c r="K47" s="79" t="s">
        <v>225</v>
      </c>
      <c r="L47" s="23"/>
      <c r="M47" s="52" t="str">
        <f>_xll.qlSwapIndex(,"NoFix",D47,2,Currency,JoinCalendar,FixedLegTenor,FixedLegBDC,FixedLegDayCounter,IborIndex,DiscountingCurve,,Trigger)</f>
        <v>obj_003fa#0000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69</v>
      </c>
      <c r="E48" s="77" t="s">
        <v>92</v>
      </c>
      <c r="F48" s="88">
        <f t="shared" si="4"/>
        <v>42493</v>
      </c>
      <c r="G48" s="88">
        <f>_xll.qlInterestRateIndexValueDate(M48,F48)</f>
        <v>42495</v>
      </c>
      <c r="H48" s="88">
        <f>_xll.qlInterestRateIndexMaturity(M48,G48)</f>
        <v>46512</v>
      </c>
      <c r="I48" s="80">
        <f>_xll.qlIndexFixing(M48,F48,TRUE,AllTriggers)</f>
        <v>2.0937102655724984E-2</v>
      </c>
      <c r="J48" s="79" t="str">
        <f t="shared" si="5"/>
        <v>USD_CURVE_12M_11Y</v>
      </c>
      <c r="K48" s="79" t="s">
        <v>226</v>
      </c>
      <c r="L48" s="37"/>
      <c r="M48" s="52" t="str">
        <f>_xll.qlSwapIndex(,"NoFix",D48,2,Currency,JoinCalendar,FixedLegTenor,FixedLegBDC,FixedLegDayCounter,IborIndex,DiscountingCurve,,Trigger)</f>
        <v>obj_003ee#0000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27</v>
      </c>
      <c r="E49" s="77" t="s">
        <v>92</v>
      </c>
      <c r="F49" s="88">
        <f t="shared" si="4"/>
        <v>42493</v>
      </c>
      <c r="G49" s="88">
        <f>_xll.qlInterestRateIndexValueDate(M49,F49)</f>
        <v>42495</v>
      </c>
      <c r="H49" s="88">
        <f>_xll.qlInterestRateIndexMaturity(M49,G49)</f>
        <v>46878</v>
      </c>
      <c r="I49" s="80">
        <f>_xll.qlIndexFixing(M49,F49,TRUE,AllTriggers)</f>
        <v>2.1535468301622399E-2</v>
      </c>
      <c r="J49" s="79" t="str">
        <f t="shared" si="5"/>
        <v>USD_CURVE_12M_12Y</v>
      </c>
      <c r="K49" s="79" t="s">
        <v>227</v>
      </c>
      <c r="L49" s="37"/>
      <c r="M49" s="52" t="str">
        <f>_xll.qlSwapIndex(,"NoFix",D49,2,Currency,JoinCalendar,FixedLegTenor,FixedLegBDC,FixedLegDayCounter,IborIndex,DiscountingCurve,,Trigger)</f>
        <v>obj_0041d#0000</v>
      </c>
      <c r="N49" s="34"/>
      <c r="O49" s="37"/>
      <c r="P49" s="34"/>
      <c r="Q49" s="37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70</v>
      </c>
      <c r="E50" s="77" t="s">
        <v>92</v>
      </c>
      <c r="F50" s="88">
        <f t="shared" si="4"/>
        <v>42493</v>
      </c>
      <c r="G50" s="88">
        <f>_xll.qlInterestRateIndexValueDate(M50,F50)</f>
        <v>42495</v>
      </c>
      <c r="H50" s="88">
        <f>_xll.qlInterestRateIndexMaturity(M50,G50)</f>
        <v>47246</v>
      </c>
      <c r="I50" s="80">
        <f>_xll.qlIndexFixing(M50,F50,TRUE,AllTriggers)</f>
        <v>2.2066691237691283E-2</v>
      </c>
      <c r="J50" s="79" t="str">
        <f t="shared" si="5"/>
        <v>USD_CURVE_12M_13Y</v>
      </c>
      <c r="K50" s="79" t="s">
        <v>228</v>
      </c>
      <c r="L50" s="4"/>
      <c r="M50" s="52" t="str">
        <f>_xll.qlSwapIndex(,"NoFix",D50,2,Currency,JoinCalendar,FixedLegTenor,FixedLegBDC,FixedLegDayCounter,IborIndex,DiscountingCurve,,Trigger)</f>
        <v>obj_00418#0000</v>
      </c>
      <c r="N50" s="34"/>
      <c r="O50" s="37"/>
      <c r="P50" s="34"/>
      <c r="Q50" s="37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71</v>
      </c>
      <c r="E51" s="77" t="s">
        <v>92</v>
      </c>
      <c r="F51" s="88">
        <f t="shared" si="4"/>
        <v>42493</v>
      </c>
      <c r="G51" s="88">
        <f>_xll.qlInterestRateIndexValueDate(M51,F51)</f>
        <v>42495</v>
      </c>
      <c r="H51" s="88">
        <f>_xll.qlInterestRateIndexMaturity(M51,G51)</f>
        <v>47610</v>
      </c>
      <c r="I51" s="80">
        <f>_xll.qlIndexFixing(M51,F51,TRUE,AllTriggers)</f>
        <v>2.254145309558039E-2</v>
      </c>
      <c r="J51" s="79" t="str">
        <f t="shared" si="5"/>
        <v>USD_CURVE_12M_14Y</v>
      </c>
      <c r="K51" s="79" t="s">
        <v>229</v>
      </c>
      <c r="L51" s="4"/>
      <c r="M51" s="52" t="str">
        <f>_xll.qlSwapIndex(,"NoFix",D51,2,Currency,JoinCalendar,FixedLegTenor,FixedLegBDC,FixedLegDayCounter,IborIndex,DiscountingCurve,,Trigger)</f>
        <v>obj_00409#0000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28</v>
      </c>
      <c r="E52" s="77" t="s">
        <v>92</v>
      </c>
      <c r="F52" s="88">
        <f t="shared" si="4"/>
        <v>42493</v>
      </c>
      <c r="G52" s="88">
        <f>_xll.qlInterestRateIndexValueDate(M52,F52)</f>
        <v>42495</v>
      </c>
      <c r="H52" s="88">
        <f>_xll.qlInterestRateIndexMaturity(M52,G52)</f>
        <v>47974</v>
      </c>
      <c r="I52" s="80">
        <f>_xll.qlIndexFixing(M52,F52,TRUE,AllTriggers)</f>
        <v>2.2967551621255022E-2</v>
      </c>
      <c r="J52" s="79" t="str">
        <f t="shared" si="5"/>
        <v>USD_CURVE_12M_15Y</v>
      </c>
      <c r="K52" s="79" t="s">
        <v>230</v>
      </c>
      <c r="L52" s="4"/>
      <c r="M52" s="52" t="str">
        <f>_xll.qlSwapIndex(,"NoFix",D52,2,Currency,JoinCalendar,FixedLegTenor,FixedLegBDC,FixedLegDayCounter,IborIndex,DiscountingCurve,,Trigger)</f>
        <v>obj_003f3#0000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72</v>
      </c>
      <c r="E53" s="77" t="s">
        <v>92</v>
      </c>
      <c r="F53" s="88">
        <f t="shared" si="4"/>
        <v>42493</v>
      </c>
      <c r="G53" s="88">
        <f>_xll.qlInterestRateIndexValueDate(M53,F53)</f>
        <v>42495</v>
      </c>
      <c r="H53" s="88">
        <f>_xll.qlInterestRateIndexMaturity(M53,G53)</f>
        <v>48339</v>
      </c>
      <c r="I53" s="80">
        <f>_xll.qlIndexFixing(M53,F53,TRUE,AllTriggers)</f>
        <v>2.3345090727169372E-2</v>
      </c>
      <c r="J53" s="79" t="str">
        <f t="shared" si="5"/>
        <v>USD_CURVE_12M_16Y</v>
      </c>
      <c r="K53" s="79" t="s">
        <v>231</v>
      </c>
      <c r="L53" s="4"/>
      <c r="M53" s="52" t="str">
        <f>_xll.qlSwapIndex(,"NoFix",D53,2,Currency,JoinCalendar,FixedLegTenor,FixedLegBDC,FixedLegDayCounter,IborIndex,DiscountingCurve,,Trigger)</f>
        <v>obj_003d9#0000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73</v>
      </c>
      <c r="E54" s="77" t="s">
        <v>92</v>
      </c>
      <c r="F54" s="88">
        <f t="shared" si="4"/>
        <v>42493</v>
      </c>
      <c r="G54" s="88">
        <f>_xll.qlInterestRateIndexValueDate(M54,F54)</f>
        <v>42495</v>
      </c>
      <c r="H54" s="88">
        <f>_xll.qlInterestRateIndexMaturity(M54,G54)</f>
        <v>48704</v>
      </c>
      <c r="I54" s="80">
        <f>_xll.qlIndexFixing(M54,F54,TRUE,AllTriggers)</f>
        <v>2.367701195623808E-2</v>
      </c>
      <c r="J54" s="79" t="str">
        <f t="shared" si="5"/>
        <v>USD_CURVE_12M_17Y</v>
      </c>
      <c r="K54" s="79" t="s">
        <v>232</v>
      </c>
      <c r="L54" s="4"/>
      <c r="M54" s="52" t="str">
        <f>_xll.qlSwapIndex(,"NoFix",D54,2,Currency,JoinCalendar,FixedLegTenor,FixedLegBDC,FixedLegDayCounter,IborIndex,DiscountingCurve,,Trigger)</f>
        <v>obj_00427#0000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74</v>
      </c>
      <c r="E55" s="77" t="s">
        <v>92</v>
      </c>
      <c r="F55" s="88">
        <f t="shared" si="4"/>
        <v>42493</v>
      </c>
      <c r="G55" s="88">
        <f>_xll.qlInterestRateIndexValueDate(M55,F55)</f>
        <v>42495</v>
      </c>
      <c r="H55" s="88">
        <f>_xll.qlInterestRateIndexMaturity(M55,G55)</f>
        <v>49069</v>
      </c>
      <c r="I55" s="80">
        <f>_xll.qlIndexFixing(M55,F55,TRUE,AllTriggers)</f>
        <v>2.3967947686500207E-2</v>
      </c>
      <c r="J55" s="79" t="str">
        <f t="shared" si="5"/>
        <v>USD_CURVE_12M_18Y</v>
      </c>
      <c r="K55" s="79" t="s">
        <v>233</v>
      </c>
      <c r="L55" s="4"/>
      <c r="M55" s="52" t="str">
        <f>_xll.qlSwapIndex(,"NoFix",D55,2,Currency,JoinCalendar,FixedLegTenor,FixedLegBDC,FixedLegDayCounter,IborIndex,DiscountingCurve,,Trigger)</f>
        <v>obj_003bf#0000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75</v>
      </c>
      <c r="E56" s="77" t="s">
        <v>92</v>
      </c>
      <c r="F56" s="88">
        <f t="shared" si="4"/>
        <v>42493</v>
      </c>
      <c r="G56" s="88">
        <f>_xll.qlInterestRateIndexValueDate(M56,F56)</f>
        <v>42495</v>
      </c>
      <c r="H56" s="88">
        <f>_xll.qlInterestRateIndexMaturity(M56,G56)</f>
        <v>49437</v>
      </c>
      <c r="I56" s="80">
        <f>_xll.qlIndexFixing(M56,F56,TRUE,AllTriggers)</f>
        <v>2.4223714529113489E-2</v>
      </c>
      <c r="J56" s="79" t="str">
        <f t="shared" si="5"/>
        <v>USD_CURVE_12M_19Y</v>
      </c>
      <c r="K56" s="79" t="s">
        <v>234</v>
      </c>
      <c r="L56" s="4"/>
      <c r="M56" s="52" t="str">
        <f>_xll.qlSwapIndex(,"NoFix",D56,2,Currency,JoinCalendar,FixedLegTenor,FixedLegBDC,FixedLegDayCounter,IborIndex,DiscountingCurve,,Trigger)</f>
        <v>obj_003e3#0000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76</v>
      </c>
      <c r="E57" s="77" t="s">
        <v>92</v>
      </c>
      <c r="F57" s="88">
        <f t="shared" si="4"/>
        <v>42493</v>
      </c>
      <c r="G57" s="88">
        <f>_xll.qlInterestRateIndexValueDate(M57,F57)</f>
        <v>42495</v>
      </c>
      <c r="H57" s="88">
        <f>_xll.qlInterestRateIndexMaturity(M57,G57)</f>
        <v>49801</v>
      </c>
      <c r="I57" s="80">
        <f>_xll.qlIndexFixing(M57,F57,TRUE,AllTriggers)</f>
        <v>2.4442351489923114E-2</v>
      </c>
      <c r="J57" s="79" t="str">
        <f t="shared" si="5"/>
        <v>USD_CURVE_12M_20Y</v>
      </c>
      <c r="K57" s="79" t="s">
        <v>235</v>
      </c>
      <c r="L57" s="4"/>
      <c r="M57" s="52" t="str">
        <f>_xll.qlSwapIndex(,"NoFix",D57,2,Currency,JoinCalendar,FixedLegTenor,FixedLegBDC,FixedLegDayCounter,IborIndex,DiscountingCurve,,Trigger)</f>
        <v>obj_003d3#0000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77</v>
      </c>
      <c r="E58" s="77" t="s">
        <v>92</v>
      </c>
      <c r="F58" s="88">
        <f t="shared" si="4"/>
        <v>42493</v>
      </c>
      <c r="G58" s="88">
        <f>_xll.qlInterestRateIndexValueDate(M58,F58)</f>
        <v>42495</v>
      </c>
      <c r="H58" s="88">
        <f>_xll.qlInterestRateIndexMaturity(M58,G58)</f>
        <v>50165</v>
      </c>
      <c r="I58" s="80">
        <f>_xll.qlIndexFixing(M58,F58,TRUE,AllTriggers)</f>
        <v>2.4630349547210474E-2</v>
      </c>
      <c r="J58" s="79" t="str">
        <f t="shared" si="5"/>
        <v>USD_CURVE_12M_21Y</v>
      </c>
      <c r="K58" s="79" t="s">
        <v>236</v>
      </c>
      <c r="L58" s="4"/>
      <c r="M58" s="52" t="str">
        <f>_xll.qlSwapIndex(,"NoFix",D58,2,Currency,JoinCalendar,FixedLegTenor,FixedLegBDC,FixedLegDayCounter,IborIndex,DiscountingCurve,,Trigger)</f>
        <v>obj_00425#0000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78</v>
      </c>
      <c r="E59" s="77" t="s">
        <v>92</v>
      </c>
      <c r="F59" s="88">
        <f t="shared" si="4"/>
        <v>42493</v>
      </c>
      <c r="G59" s="88">
        <f>_xll.qlInterestRateIndexValueDate(M59,F59)</f>
        <v>42495</v>
      </c>
      <c r="H59" s="88">
        <f>_xll.qlInterestRateIndexMaturity(M59,G59)</f>
        <v>50530</v>
      </c>
      <c r="I59" s="80">
        <f>_xll.qlIndexFixing(M59,F59,TRUE,AllTriggers)</f>
        <v>2.4793956303299797E-2</v>
      </c>
      <c r="J59" s="79" t="str">
        <f t="shared" si="5"/>
        <v>USD_CURVE_12M_22Y</v>
      </c>
      <c r="K59" s="79" t="s">
        <v>237</v>
      </c>
      <c r="L59" s="4"/>
      <c r="M59" s="52" t="str">
        <f>_xll.qlSwapIndex(,"NoFix",D59,2,Currency,JoinCalendar,FixedLegTenor,FixedLegBDC,FixedLegDayCounter,IborIndex,DiscountingCurve,,Trigger)</f>
        <v>obj_003d2#0000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79</v>
      </c>
      <c r="E60" s="77" t="s">
        <v>92</v>
      </c>
      <c r="F60" s="88">
        <f t="shared" si="4"/>
        <v>42493</v>
      </c>
      <c r="G60" s="88">
        <f>_xll.qlInterestRateIndexValueDate(M60,F60)</f>
        <v>42495</v>
      </c>
      <c r="H60" s="88">
        <f>_xll.qlInterestRateIndexMaturity(M60,G60)</f>
        <v>50895</v>
      </c>
      <c r="I60" s="80">
        <f>_xll.qlIndexFixing(M60,F60,TRUE,AllTriggers)</f>
        <v>2.4938064996561638E-2</v>
      </c>
      <c r="J60" s="79" t="str">
        <f t="shared" si="5"/>
        <v>USD_CURVE_12M_23Y</v>
      </c>
      <c r="K60" s="79" t="s">
        <v>238</v>
      </c>
      <c r="L60" s="4"/>
      <c r="M60" s="52" t="str">
        <f>_xll.qlSwapIndex(,"NoFix",D60,2,Currency,JoinCalendar,FixedLegTenor,FixedLegBDC,FixedLegDayCounter,IborIndex,DiscountingCurve,,Trigger)</f>
        <v>obj_0043a#0000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80</v>
      </c>
      <c r="E61" s="77" t="s">
        <v>92</v>
      </c>
      <c r="F61" s="88">
        <f t="shared" si="4"/>
        <v>42493</v>
      </c>
      <c r="G61" s="88">
        <f>_xll.qlInterestRateIndexValueDate(M61,F61)</f>
        <v>42495</v>
      </c>
      <c r="H61" s="88">
        <f>_xll.qlInterestRateIndexMaturity(M61,G61)</f>
        <v>51264</v>
      </c>
      <c r="I61" s="80">
        <f>_xll.qlIndexFixing(M61,F61,TRUE,AllTriggers)</f>
        <v>2.5068663464410907E-2</v>
      </c>
      <c r="J61" s="79" t="str">
        <f t="shared" si="5"/>
        <v>USD_CURVE_12M_24Y</v>
      </c>
      <c r="K61" s="79" t="s">
        <v>239</v>
      </c>
      <c r="L61" s="4"/>
      <c r="M61" s="52" t="str">
        <f>_xll.qlSwapIndex(,"NoFix",D61,2,Currency,JoinCalendar,FixedLegTenor,FixedLegBDC,FixedLegDayCounter,IborIndex,DiscountingCurve,,Trigger)</f>
        <v>obj_00403#0000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81</v>
      </c>
      <c r="E62" s="77" t="s">
        <v>92</v>
      </c>
      <c r="F62" s="88">
        <f t="shared" si="4"/>
        <v>42493</v>
      </c>
      <c r="G62" s="88">
        <f>_xll.qlInterestRateIndexValueDate(M62,F62)</f>
        <v>42495</v>
      </c>
      <c r="H62" s="88">
        <f>_xll.qlInterestRateIndexMaturity(M62,G62)</f>
        <v>51628</v>
      </c>
      <c r="I62" s="80">
        <f>_xll.qlIndexFixing(M62,F62,TRUE,AllTriggers)</f>
        <v>2.5186062925621543E-2</v>
      </c>
      <c r="J62" s="79" t="str">
        <f t="shared" si="5"/>
        <v>USD_CURVE_12M_25Y</v>
      </c>
      <c r="K62" s="79" t="s">
        <v>240</v>
      </c>
      <c r="L62" s="4"/>
      <c r="M62" s="52" t="str">
        <f>_xll.qlSwapIndex(,"NoFix",D62,2,Currency,JoinCalendar,FixedLegTenor,FixedLegBDC,FixedLegDayCounter,IborIndex,DiscountingCurve,,Trigger)</f>
        <v>obj_0042e#0000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82</v>
      </c>
      <c r="E63" s="77" t="s">
        <v>92</v>
      </c>
      <c r="F63" s="88">
        <f t="shared" si="4"/>
        <v>42493</v>
      </c>
      <c r="G63" s="88">
        <f>_xll.qlInterestRateIndexValueDate(M63,F63)</f>
        <v>42495</v>
      </c>
      <c r="H63" s="88">
        <f>_xll.qlInterestRateIndexMaturity(M63,G63)</f>
        <v>51992</v>
      </c>
      <c r="I63" s="80">
        <f>_xll.qlIndexFixing(M63,F63,TRUE,AllTriggers)</f>
        <v>2.5294681829933809E-2</v>
      </c>
      <c r="J63" s="79" t="str">
        <f t="shared" si="5"/>
        <v>USD_CURVE_12M_26Y</v>
      </c>
      <c r="K63" s="79" t="s">
        <v>241</v>
      </c>
      <c r="L63" s="4"/>
      <c r="M63" s="52" t="str">
        <f>_xll.qlSwapIndex(,"NoFix",D63,2,Currency,JoinCalendar,FixedLegTenor,FixedLegBDC,FixedLegDayCounter,IborIndex,DiscountingCurve,,Trigger)</f>
        <v>obj_0043e#0000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83</v>
      </c>
      <c r="E64" s="77" t="s">
        <v>92</v>
      </c>
      <c r="F64" s="88">
        <f t="shared" si="4"/>
        <v>42493</v>
      </c>
      <c r="G64" s="88">
        <f>_xll.qlInterestRateIndexValueDate(M64,F64)</f>
        <v>42495</v>
      </c>
      <c r="H64" s="88">
        <f>_xll.qlInterestRateIndexMaturity(M64,G64)</f>
        <v>52356</v>
      </c>
      <c r="I64" s="80">
        <f>_xll.qlIndexFixing(M64,F64,TRUE,AllTriggers)</f>
        <v>2.539392702718039E-2</v>
      </c>
      <c r="J64" s="79" t="str">
        <f t="shared" si="5"/>
        <v>USD_CURVE_12M_27Y</v>
      </c>
      <c r="K64" s="79" t="s">
        <v>242</v>
      </c>
      <c r="L64" s="4"/>
      <c r="M64" s="52" t="str">
        <f>_xll.qlSwapIndex(,"NoFix",D64,2,Currency,JoinCalendar,FixedLegTenor,FixedLegBDC,FixedLegDayCounter,IborIndex,DiscountingCurve,,Trigger)</f>
        <v>obj_00423#0000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84</v>
      </c>
      <c r="E65" s="77" t="s">
        <v>92</v>
      </c>
      <c r="F65" s="88">
        <f t="shared" si="4"/>
        <v>42493</v>
      </c>
      <c r="G65" s="88">
        <f>_xll.qlInterestRateIndexValueDate(M65,F65)</f>
        <v>42495</v>
      </c>
      <c r="H65" s="88">
        <f>_xll.qlInterestRateIndexMaturity(M65,G65)</f>
        <v>52722</v>
      </c>
      <c r="I65" s="80">
        <f>_xll.qlIndexFixing(M65,F65,TRUE,AllTriggers)</f>
        <v>2.548322585550027E-2</v>
      </c>
      <c r="J65" s="79" t="str">
        <f t="shared" si="5"/>
        <v>USD_CURVE_12M_28Y</v>
      </c>
      <c r="K65" s="79" t="s">
        <v>243</v>
      </c>
      <c r="L65" s="4"/>
      <c r="M65" s="52" t="str">
        <f>_xll.qlSwapIndex(,"NoFix",D65,2,Currency,JoinCalendar,FixedLegTenor,FixedLegBDC,FixedLegDayCounter,IborIndex,DiscountingCurve,,Trigger)</f>
        <v>obj_003ca#0000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85</v>
      </c>
      <c r="E66" s="77" t="s">
        <v>92</v>
      </c>
      <c r="F66" s="88">
        <f t="shared" si="4"/>
        <v>42493</v>
      </c>
      <c r="G66" s="88">
        <f>_xll.qlInterestRateIndexValueDate(M66,F66)</f>
        <v>42495</v>
      </c>
      <c r="H66" s="88">
        <f>_xll.qlInterestRateIndexMaturity(M66,G66)</f>
        <v>53087</v>
      </c>
      <c r="I66" s="80">
        <f>_xll.qlIndexFixing(M66,F66,TRUE,AllTriggers)</f>
        <v>2.5560830282616711E-2</v>
      </c>
      <c r="J66" s="79" t="str">
        <f t="shared" si="5"/>
        <v>USD_CURVE_12M_29Y</v>
      </c>
      <c r="K66" s="79" t="s">
        <v>244</v>
      </c>
      <c r="L66" s="4"/>
      <c r="M66" s="52" t="str">
        <f>_xll.qlSwapIndex(,"NoFix",D66,2,Currency,JoinCalendar,FixedLegTenor,FixedLegBDC,FixedLegDayCounter,IborIndex,DiscountingCurve,,Trigger)</f>
        <v>obj_0042c#0000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86" t="s">
        <v>86</v>
      </c>
      <c r="E67" s="77" t="s">
        <v>92</v>
      </c>
      <c r="F67" s="88">
        <f t="shared" si="4"/>
        <v>42493</v>
      </c>
      <c r="G67" s="88">
        <f>_xll.qlInterestRateIndexValueDate(M67,F67)</f>
        <v>42495</v>
      </c>
      <c r="H67" s="88">
        <f>_xll.qlInterestRateIndexMaturity(M67,G67)</f>
        <v>53455</v>
      </c>
      <c r="I67" s="80">
        <f>_xll.qlIndexFixing(M67,F67,TRUE,AllTriggers)</f>
        <v>2.5626869871162819E-2</v>
      </c>
      <c r="J67" s="79" t="str">
        <f t="shared" si="5"/>
        <v>USD_CURVE_12M_30Y</v>
      </c>
      <c r="K67" s="79" t="s">
        <v>245</v>
      </c>
      <c r="L67" s="4"/>
      <c r="M67" s="52" t="str">
        <f>_xll.qlSwapIndex(,"NoFix",D67,2,Currency,JoinCalendar,FixedLegTenor,FixedLegBDC,FixedLegDayCounter,IborIndex,DiscountingCurve,,Trigger)</f>
        <v>obj_003c9#0000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86" t="s">
        <v>87</v>
      </c>
      <c r="E68" s="77" t="s">
        <v>92</v>
      </c>
      <c r="F68" s="88">
        <f t="shared" si="4"/>
        <v>42493</v>
      </c>
      <c r="G68" s="88">
        <f>_xll.qlInterestRateIndexValueDate(M68,F68)</f>
        <v>42495</v>
      </c>
      <c r="H68" s="88">
        <f>_xll.qlInterestRateIndexMaturity(M68,G68)</f>
        <v>57105</v>
      </c>
      <c r="I68" s="80">
        <f>_xll.qlIndexFixing(M68,F68,TRUE,AllTriggers)</f>
        <v>2.5827080092629622E-2</v>
      </c>
      <c r="J68" s="79" t="str">
        <f t="shared" si="5"/>
        <v>USD_CURVE_12M_40Y</v>
      </c>
      <c r="K68" s="79" t="s">
        <v>246</v>
      </c>
      <c r="L68" s="4"/>
      <c r="M68" s="52" t="str">
        <f>_xll.qlSwapIndex(,"NoFix",D68,2,Currency,JoinCalendar,FixedLegTenor,FixedLegBDC,FixedLegDayCounter,IborIndex,DiscountingCurve,,Trigger)</f>
        <v>obj_003e8#0000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86" t="s">
        <v>88</v>
      </c>
      <c r="E69" s="77" t="s">
        <v>92</v>
      </c>
      <c r="F69" s="88">
        <f t="shared" si="4"/>
        <v>42493</v>
      </c>
      <c r="G69" s="88">
        <f>_xll.qlInterestRateIndexValueDate(M69,F69)</f>
        <v>42495</v>
      </c>
      <c r="H69" s="88">
        <f>_xll.qlInterestRateIndexMaturity(M69,G69)</f>
        <v>60757</v>
      </c>
      <c r="I69" s="80">
        <f>_xll.qlIndexFixing(M69,F69,TRUE,AllTriggers)</f>
        <v>2.5677122877510658E-2</v>
      </c>
      <c r="J69" s="79" t="str">
        <f t="shared" si="5"/>
        <v>USD_CURVE_12M_50Y</v>
      </c>
      <c r="K69" s="79" t="s">
        <v>247</v>
      </c>
      <c r="L69" s="4"/>
      <c r="M69" s="52" t="str">
        <f>_xll.qlSwapIndex(,"NoFix",D69,2,Currency,JoinCalendar,FixedLegTenor,FixedLegBDC,FixedLegDayCounter,IborIndex,DiscountingCurve,,Trigger)</f>
        <v>obj_003f9#0000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89" t="s">
        <v>89</v>
      </c>
      <c r="E70" s="78" t="s">
        <v>92</v>
      </c>
      <c r="F70" s="92">
        <f t="shared" si="4"/>
        <v>42493</v>
      </c>
      <c r="G70" s="92">
        <f>_xll.qlInterestRateIndexValueDate(M70,F70)</f>
        <v>42495</v>
      </c>
      <c r="H70" s="92">
        <f>_xll.qlInterestRateIndexMaturity(M70,G70)</f>
        <v>64410</v>
      </c>
      <c r="I70" s="93">
        <f>_xll.qlIndexFixing(M70,F70,TRUE,AllTriggers)</f>
        <v>2.5537406481046389E-2</v>
      </c>
      <c r="J70" s="91" t="str">
        <f t="shared" si="5"/>
        <v>USD_CURVE_12M_60Y</v>
      </c>
      <c r="K70" s="91" t="s">
        <v>248</v>
      </c>
      <c r="L70" s="4"/>
      <c r="M70" s="58" t="str">
        <f>_xll.qlSwapIndex(,"NoFix",D70,2,Currency,JoinCalendar,FixedLegTenor,FixedLegBDC,FixedLegDayCounter,IborIndex,DiscountingCurve,,Trigger)</f>
        <v>obj_00437#0000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9" width="26.5703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50</v>
      </c>
      <c r="D1" s="36" t="s">
        <v>12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51</v>
      </c>
      <c r="D2" s="36" t="str">
        <f>Currency&amp;CurveTenor</f>
        <v>USDON</v>
      </c>
      <c r="E2" s="37"/>
      <c r="F2" s="37"/>
      <c r="G2" s="29"/>
      <c r="H2" s="37"/>
      <c r="I2" s="37"/>
      <c r="J2" s="37"/>
      <c r="K2" s="37"/>
    </row>
    <row r="3" spans="1:32" x14ac:dyDescent="0.2">
      <c r="C3" s="35" t="s">
        <v>43</v>
      </c>
      <c r="D3" s="16" t="s">
        <v>107</v>
      </c>
      <c r="E3" s="37"/>
      <c r="F3" s="37"/>
      <c r="G3" s="29"/>
      <c r="H3" s="37"/>
      <c r="I3" s="37"/>
      <c r="J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35</v>
      </c>
      <c r="D5" s="10" t="s">
        <v>40</v>
      </c>
      <c r="E5" s="10" t="s">
        <v>47</v>
      </c>
      <c r="F5" s="10" t="s">
        <v>33</v>
      </c>
      <c r="G5" s="11" t="s">
        <v>32</v>
      </c>
      <c r="H5" s="11" t="s">
        <v>48</v>
      </c>
      <c r="I5" s="11" t="s">
        <v>49</v>
      </c>
      <c r="J5" s="23"/>
      <c r="K5" s="35" t="s">
        <v>36</v>
      </c>
      <c r="M5" s="64" t="s">
        <v>95</v>
      </c>
      <c r="N5" s="64" t="s">
        <v>96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97</v>
      </c>
      <c r="N6" s="65" t="s">
        <v>93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92</v>
      </c>
      <c r="C9" s="53" t="s">
        <v>36</v>
      </c>
      <c r="D9" s="164">
        <f t="shared" ref="D9:D23" si="0">EvaluationDate</f>
        <v>42492</v>
      </c>
      <c r="E9" s="164">
        <f>_xll.qlSwapStartDate(K9)</f>
        <v>42494</v>
      </c>
      <c r="F9" s="164">
        <f>_xll.qlSwapMaturityDate(K9)</f>
        <v>42501</v>
      </c>
      <c r="G9" s="165">
        <f>_xll.qlOvernightIndexedSwapFairRate(K9,AllTriggers)</f>
        <v>3.7310100188113278E-3</v>
      </c>
      <c r="H9" s="21" t="str">
        <f>Currency&amp;"_CURVE_OIS"&amp;"_"&amp;"1W"</f>
        <v>USD_CURVE_OIS_1W</v>
      </c>
      <c r="I9" s="21" t="s">
        <v>249</v>
      </c>
      <c r="J9" s="51"/>
      <c r="K9" s="52" t="str">
        <f>_xll.qlMakeOIS(,SettlementDays,IF(B9="SW","1W",B9),OvernightIndex,,FwdStart,DayCountConv,,,Trigger)</f>
        <v>obj_0035c#0000</v>
      </c>
      <c r="L9" s="34"/>
      <c r="M9" s="37"/>
      <c r="N9" s="37"/>
      <c r="O9" s="37"/>
    </row>
    <row r="10" spans="1:32" x14ac:dyDescent="0.2">
      <c r="A10" s="23"/>
      <c r="B10" s="46" t="s">
        <v>13</v>
      </c>
      <c r="C10" s="53" t="s">
        <v>36</v>
      </c>
      <c r="D10" s="164">
        <f t="shared" si="0"/>
        <v>42492</v>
      </c>
      <c r="E10" s="164">
        <f>_xll.qlSwapStartDate(K10)</f>
        <v>42494</v>
      </c>
      <c r="F10" s="164">
        <f>_xll.qlSwapMaturityDate(K10)</f>
        <v>42508</v>
      </c>
      <c r="G10" s="165">
        <f>_xll.qlOvernightIndexedSwapFairRate(K10,AllTriggers)</f>
        <v>3.6836575193697845E-3</v>
      </c>
      <c r="H10" s="21" t="str">
        <f t="shared" ref="H10:H23" si="1">Currency&amp;"_CURVE_OIS"&amp;"_"&amp;B10</f>
        <v>USD_CURVE_OIS_2W</v>
      </c>
      <c r="I10" s="21" t="s">
        <v>250</v>
      </c>
      <c r="J10" s="51"/>
      <c r="K10" s="52" t="str">
        <f>_xll.qlMakeOIS(,SettlementDays,IF(B10="SW","1W",B10),OvernightIndex,,FwdStart,DayCountConv,,,Trigger)</f>
        <v>obj_00371#0000</v>
      </c>
      <c r="L10" s="34"/>
      <c r="M10" s="37"/>
      <c r="N10" s="37"/>
      <c r="O10" s="37"/>
    </row>
    <row r="11" spans="1:32" x14ac:dyDescent="0.2">
      <c r="A11" s="23"/>
      <c r="B11" s="46" t="s">
        <v>65</v>
      </c>
      <c r="C11" s="53" t="s">
        <v>36</v>
      </c>
      <c r="D11" s="164">
        <f t="shared" si="0"/>
        <v>42492</v>
      </c>
      <c r="E11" s="164">
        <f>_xll.qlSwapStartDate(K11)</f>
        <v>42494</v>
      </c>
      <c r="F11" s="164">
        <f>_xll.qlSwapMaturityDate(K11)</f>
        <v>42515</v>
      </c>
      <c r="G11" s="165">
        <f>_xll.qlOvernightIndexedSwapFairRate(K11,AllTriggers)</f>
        <v>3.6551232343663884E-3</v>
      </c>
      <c r="H11" s="21" t="str">
        <f t="shared" si="1"/>
        <v>USD_CURVE_OIS_3W</v>
      </c>
      <c r="I11" s="21" t="s">
        <v>251</v>
      </c>
      <c r="J11" s="51"/>
      <c r="K11" s="52" t="str">
        <f>_xll.qlMakeOIS(,SettlementDays,IF(B11="SW","1W",B11),OvernightIndex,,FwdStart,DayCountConv,,,Trigger)</f>
        <v>obj_00372#0000</v>
      </c>
      <c r="L11" s="34"/>
      <c r="M11" s="37"/>
      <c r="N11" s="37"/>
      <c r="O11" s="37"/>
    </row>
    <row r="12" spans="1:32" x14ac:dyDescent="0.2">
      <c r="A12" s="23"/>
      <c r="B12" s="46" t="s">
        <v>14</v>
      </c>
      <c r="C12" s="53" t="s">
        <v>36</v>
      </c>
      <c r="D12" s="164">
        <f t="shared" si="0"/>
        <v>42492</v>
      </c>
      <c r="E12" s="164">
        <f>_xll.qlSwapStartDate(K12)</f>
        <v>42494</v>
      </c>
      <c r="F12" s="164">
        <f>_xll.qlSwapMaturityDate(K12)</f>
        <v>42527</v>
      </c>
      <c r="G12" s="165">
        <f>_xll.qlOvernightIndexedSwapFairRate(K12,AllTriggers)</f>
        <v>3.6499999999748604E-3</v>
      </c>
      <c r="H12" s="21" t="str">
        <f t="shared" si="1"/>
        <v>USD_CURVE_OIS_1M</v>
      </c>
      <c r="I12" s="21" t="s">
        <v>252</v>
      </c>
      <c r="J12" s="51"/>
      <c r="K12" s="52" t="str">
        <f>_xll.qlMakeOIS(,SettlementDays,IF(B12="SW","1W",B12),OvernightIndex,,FwdStart,DayCountConv,,,Trigger)</f>
        <v>obj_00342#0000</v>
      </c>
      <c r="L12" s="34"/>
      <c r="M12" s="37"/>
      <c r="N12" s="37"/>
      <c r="O12" s="37"/>
    </row>
    <row r="13" spans="1:32" x14ac:dyDescent="0.2">
      <c r="A13" s="23"/>
      <c r="B13" s="46" t="s">
        <v>15</v>
      </c>
      <c r="C13" s="53" t="s">
        <v>36</v>
      </c>
      <c r="D13" s="164">
        <f t="shared" si="0"/>
        <v>42492</v>
      </c>
      <c r="E13" s="164">
        <f>_xll.qlSwapStartDate(K13)</f>
        <v>42494</v>
      </c>
      <c r="F13" s="164">
        <f>_xll.qlSwapMaturityDate(K13)</f>
        <v>42556</v>
      </c>
      <c r="G13" s="165">
        <f>_xll.qlOvernightIndexedSwapFairRate(K13,AllTriggers)</f>
        <v>3.7600000002414916E-3</v>
      </c>
      <c r="H13" s="21" t="str">
        <f t="shared" si="1"/>
        <v>USD_CURVE_OIS_2M</v>
      </c>
      <c r="I13" s="21" t="s">
        <v>253</v>
      </c>
      <c r="J13" s="51"/>
      <c r="K13" s="52" t="str">
        <f>_xll.qlMakeOIS(,SettlementDays,IF(B13="SW","1W",B13),OvernightIndex,,FwdStart,DayCountConv,,,Trigger)</f>
        <v>obj_0036e#0000</v>
      </c>
      <c r="L13" s="23"/>
      <c r="M13" s="37"/>
      <c r="N13" s="37"/>
      <c r="O13" s="37"/>
    </row>
    <row r="14" spans="1:32" x14ac:dyDescent="0.2">
      <c r="A14" s="23"/>
      <c r="B14" s="46" t="s">
        <v>16</v>
      </c>
      <c r="C14" s="53" t="s">
        <v>36</v>
      </c>
      <c r="D14" s="164">
        <f t="shared" si="0"/>
        <v>42492</v>
      </c>
      <c r="E14" s="164">
        <f>_xll.qlSwapStartDate(K14)</f>
        <v>42494</v>
      </c>
      <c r="F14" s="164">
        <f>_xll.qlSwapMaturityDate(K14)</f>
        <v>42586</v>
      </c>
      <c r="G14" s="165">
        <f>_xll.qlOvernightIndexedSwapFairRate(K14,AllTriggers)</f>
        <v>3.8700000001456051E-3</v>
      </c>
      <c r="H14" s="21" t="str">
        <f t="shared" si="1"/>
        <v>USD_CURVE_OIS_3M</v>
      </c>
      <c r="I14" s="21" t="s">
        <v>254</v>
      </c>
      <c r="J14" s="51"/>
      <c r="K14" s="52" t="str">
        <f>_xll.qlMakeOIS(,SettlementDays,IF(B14="SW","1W",B14),OvernightIndex,,FwdStart,DayCountConv,,,Trigger)</f>
        <v>obj_0035d#0000</v>
      </c>
      <c r="L14" s="23"/>
      <c r="M14" s="37"/>
      <c r="N14" s="37"/>
      <c r="O14" s="37"/>
    </row>
    <row r="15" spans="1:32" x14ac:dyDescent="0.2">
      <c r="A15" s="23"/>
      <c r="B15" s="46" t="s">
        <v>17</v>
      </c>
      <c r="C15" s="53" t="s">
        <v>36</v>
      </c>
      <c r="D15" s="164">
        <f t="shared" si="0"/>
        <v>42492</v>
      </c>
      <c r="E15" s="164">
        <f>_xll.qlSwapStartDate(K15)</f>
        <v>42494</v>
      </c>
      <c r="F15" s="164">
        <f>_xll.qlSwapMaturityDate(K15)</f>
        <v>42619</v>
      </c>
      <c r="G15" s="165">
        <f>_xll.qlOvernightIndexedSwapFairRate(K15,AllTriggers)</f>
        <v>4.0300000000137717E-3</v>
      </c>
      <c r="H15" s="21" t="str">
        <f t="shared" si="1"/>
        <v>USD_CURVE_OIS_4M</v>
      </c>
      <c r="I15" s="21" t="s">
        <v>255</v>
      </c>
      <c r="J15" s="51"/>
      <c r="K15" s="52" t="str">
        <f>_xll.qlMakeOIS(,SettlementDays,IF(B15="SW","1W",B15),OvernightIndex,,FwdStart,DayCountConv,,,Trigger)</f>
        <v>obj_00344#0000</v>
      </c>
      <c r="L15" s="23"/>
      <c r="M15" s="37"/>
      <c r="N15" s="37"/>
      <c r="O15" s="37"/>
    </row>
    <row r="16" spans="1:32" x14ac:dyDescent="0.2">
      <c r="A16" s="23"/>
      <c r="B16" s="46" t="s">
        <v>18</v>
      </c>
      <c r="C16" s="53" t="s">
        <v>36</v>
      </c>
      <c r="D16" s="164">
        <f t="shared" si="0"/>
        <v>42492</v>
      </c>
      <c r="E16" s="164">
        <f>_xll.qlSwapStartDate(K16)</f>
        <v>42494</v>
      </c>
      <c r="F16" s="164">
        <f>_xll.qlSwapMaturityDate(K16)</f>
        <v>42647</v>
      </c>
      <c r="G16" s="165">
        <f>_xll.qlOvernightIndexedSwapFairRate(K16,AllTriggers)</f>
        <v>4.1700000001356494E-3</v>
      </c>
      <c r="H16" s="21" t="str">
        <f t="shared" si="1"/>
        <v>USD_CURVE_OIS_5M</v>
      </c>
      <c r="I16" s="21" t="s">
        <v>256</v>
      </c>
      <c r="J16" s="51"/>
      <c r="K16" s="52" t="str">
        <f>_xll.qlMakeOIS(,SettlementDays,IF(B16="SW","1W",B16),OvernightIndex,,FwdStart,DayCountConv,,,Trigger)</f>
        <v>obj_00348#0000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11</v>
      </c>
      <c r="C17" s="53" t="s">
        <v>36</v>
      </c>
      <c r="D17" s="164">
        <f t="shared" si="0"/>
        <v>42492</v>
      </c>
      <c r="E17" s="164">
        <f>_xll.qlSwapStartDate(K17)</f>
        <v>42494</v>
      </c>
      <c r="F17" s="164">
        <f>_xll.qlSwapMaturityDate(K17)</f>
        <v>42678</v>
      </c>
      <c r="G17" s="165">
        <f>_xll.qlOvernightIndexedSwapFairRate(K17,AllTriggers)</f>
        <v>4.3200000000508049E-3</v>
      </c>
      <c r="H17" s="21" t="str">
        <f t="shared" si="1"/>
        <v>USD_CURVE_OIS_6M</v>
      </c>
      <c r="I17" s="21" t="s">
        <v>257</v>
      </c>
      <c r="J17" s="51"/>
      <c r="K17" s="52" t="str">
        <f>_xll.qlMakeOIS(,SettlementDays,IF(B17="SW","1W",B17),OvernightIndex,,FwdStart,DayCountConv,,,Trigger)</f>
        <v>obj_00363#0000</v>
      </c>
      <c r="L17" s="23"/>
      <c r="M17" s="37"/>
      <c r="N17" s="34"/>
      <c r="O17" s="37"/>
      <c r="R17" s="72"/>
      <c r="S17" s="73"/>
      <c r="T17" s="72"/>
      <c r="U17" s="70"/>
      <c r="V17" s="72"/>
      <c r="W17" s="156"/>
      <c r="X17" s="157"/>
      <c r="Y17" s="157"/>
      <c r="Z17" s="158"/>
      <c r="AA17" s="157"/>
      <c r="AB17" s="157"/>
      <c r="AC17" s="157"/>
      <c r="AD17" s="157"/>
      <c r="AE17" s="157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59</v>
      </c>
      <c r="C18" s="53" t="s">
        <v>36</v>
      </c>
      <c r="D18" s="164">
        <f t="shared" si="0"/>
        <v>42492</v>
      </c>
      <c r="E18" s="164">
        <f>_xll.qlSwapStartDate(K18)</f>
        <v>42494</v>
      </c>
      <c r="F18" s="164">
        <f>_xll.qlSwapMaturityDate(K18)</f>
        <v>42709</v>
      </c>
      <c r="G18" s="165">
        <f>_xll.qlOvernightIndexedSwapFairRate(K18,AllTriggers)</f>
        <v>4.4600000000513404E-3</v>
      </c>
      <c r="H18" s="21" t="str">
        <f t="shared" si="1"/>
        <v>USD_CURVE_OIS_7M</v>
      </c>
      <c r="I18" s="21" t="s">
        <v>258</v>
      </c>
      <c r="J18" s="51"/>
      <c r="K18" s="52" t="str">
        <f>_xll.qlMakeOIS(,SettlementDays,IF(B18="SW","1W",B18),OvernightIndex,,FwdStart,DayCountConv,,,Trigger)</f>
        <v>obj_00351#0000</v>
      </c>
      <c r="L18" s="34"/>
      <c r="M18" s="37"/>
      <c r="N18" s="34"/>
      <c r="O18" s="37"/>
      <c r="R18" s="72"/>
      <c r="S18" s="73"/>
      <c r="T18" s="72"/>
      <c r="U18" s="70"/>
      <c r="V18" s="72"/>
      <c r="W18" s="156"/>
      <c r="X18" s="157"/>
      <c r="Y18" s="157"/>
      <c r="Z18" s="158"/>
      <c r="AA18" s="157"/>
      <c r="AB18" s="157"/>
      <c r="AC18" s="157"/>
      <c r="AD18" s="157"/>
      <c r="AE18" s="157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60</v>
      </c>
      <c r="C19" s="53" t="s">
        <v>36</v>
      </c>
      <c r="D19" s="164">
        <f t="shared" si="0"/>
        <v>42492</v>
      </c>
      <c r="E19" s="164">
        <f>_xll.qlSwapStartDate(K19)</f>
        <v>42494</v>
      </c>
      <c r="F19" s="164">
        <f>_xll.qlSwapMaturityDate(K19)</f>
        <v>42739</v>
      </c>
      <c r="G19" s="165">
        <f>_xll.qlOvernightIndexedSwapFairRate(K19,AllTriggers)</f>
        <v>4.6200000004810076E-3</v>
      </c>
      <c r="H19" s="21" t="str">
        <f t="shared" si="1"/>
        <v>USD_CURVE_OIS_8M</v>
      </c>
      <c r="I19" s="21" t="s">
        <v>259</v>
      </c>
      <c r="J19" s="51"/>
      <c r="K19" s="52" t="str">
        <f>_xll.qlMakeOIS(,SettlementDays,IF(B19="SW","1W",B19),OvernightIndex,,FwdStart,DayCountConv,,,Trigger)</f>
        <v>obj_00338#0000</v>
      </c>
      <c r="L19" s="34"/>
      <c r="M19" s="37"/>
      <c r="N19" s="34"/>
      <c r="O19" s="37"/>
      <c r="R19" s="72"/>
      <c r="S19" s="73"/>
      <c r="T19" s="72"/>
      <c r="U19" s="70"/>
      <c r="V19" s="72"/>
      <c r="W19" s="156"/>
      <c r="X19" s="157"/>
      <c r="Y19" s="157"/>
      <c r="Z19" s="158"/>
      <c r="AA19" s="157"/>
      <c r="AB19" s="157"/>
      <c r="AC19" s="157"/>
      <c r="AD19" s="157"/>
      <c r="AE19" s="157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19</v>
      </c>
      <c r="C20" s="53" t="s">
        <v>36</v>
      </c>
      <c r="D20" s="164">
        <f t="shared" si="0"/>
        <v>42492</v>
      </c>
      <c r="E20" s="164">
        <f>_xll.qlSwapStartDate(K20)</f>
        <v>42494</v>
      </c>
      <c r="F20" s="164">
        <f>_xll.qlSwapMaturityDate(K20)</f>
        <v>42772</v>
      </c>
      <c r="G20" s="165">
        <f>_xll.qlOvernightIndexedSwapFairRate(K20,AllTriggers)</f>
        <v>4.7600000000193373E-3</v>
      </c>
      <c r="H20" s="21" t="str">
        <f t="shared" si="1"/>
        <v>USD_CURVE_OIS_9M</v>
      </c>
      <c r="I20" s="21" t="s">
        <v>260</v>
      </c>
      <c r="J20" s="51"/>
      <c r="K20" s="52" t="str">
        <f>_xll.qlMakeOIS(,SettlementDays,IF(B20="SW","1W",B20),OvernightIndex,,FwdStart,DayCountConv,,,Trigger)</f>
        <v>obj_0034b#0000</v>
      </c>
      <c r="L20" s="34"/>
      <c r="M20" s="37"/>
      <c r="N20" s="34"/>
      <c r="O20" s="37"/>
      <c r="R20" s="72"/>
      <c r="S20" s="73"/>
      <c r="T20" s="72"/>
      <c r="U20" s="70"/>
      <c r="V20" s="72"/>
      <c r="W20" s="156"/>
      <c r="X20" s="157"/>
      <c r="Y20" s="157"/>
      <c r="Z20" s="158"/>
      <c r="AA20" s="157"/>
      <c r="AB20" s="157"/>
      <c r="AC20" s="157"/>
      <c r="AD20" s="157"/>
      <c r="AE20" s="157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61</v>
      </c>
      <c r="C21" s="53" t="s">
        <v>36</v>
      </c>
      <c r="D21" s="164">
        <f t="shared" si="0"/>
        <v>42492</v>
      </c>
      <c r="E21" s="164">
        <f>_xll.qlSwapStartDate(K21)</f>
        <v>42494</v>
      </c>
      <c r="F21" s="164">
        <f>_xll.qlSwapMaturityDate(K21)</f>
        <v>42800</v>
      </c>
      <c r="G21" s="165">
        <f>_xll.qlOvernightIndexedSwapFairRate(K21,AllTriggers)</f>
        <v>4.9000000000198234E-3</v>
      </c>
      <c r="H21" s="21" t="str">
        <f t="shared" si="1"/>
        <v>USD_CURVE_OIS_10M</v>
      </c>
      <c r="I21" s="21" t="s">
        <v>261</v>
      </c>
      <c r="J21" s="51"/>
      <c r="K21" s="52" t="str">
        <f>_xll.qlMakeOIS(,SettlementDays,IF(B21="SW","1W",B21),OvernightIndex,,FwdStart,DayCountConv,,,Trigger)</f>
        <v>obj_00352#0000</v>
      </c>
      <c r="L21" s="34"/>
      <c r="M21" s="37"/>
      <c r="N21" s="34"/>
      <c r="O21" s="34"/>
      <c r="R21" s="72"/>
      <c r="S21" s="73"/>
      <c r="T21" s="72"/>
      <c r="U21" s="70"/>
      <c r="V21" s="72"/>
      <c r="W21" s="156"/>
      <c r="X21" s="157"/>
      <c r="Y21" s="157"/>
      <c r="Z21" s="158"/>
      <c r="AA21" s="157"/>
      <c r="AB21" s="157"/>
      <c r="AC21" s="157"/>
      <c r="AD21" s="157"/>
      <c r="AE21" s="157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62</v>
      </c>
      <c r="C22" s="53" t="s">
        <v>36</v>
      </c>
      <c r="D22" s="164">
        <f t="shared" si="0"/>
        <v>42492</v>
      </c>
      <c r="E22" s="164">
        <f>_xll.qlSwapStartDate(K22)</f>
        <v>42494</v>
      </c>
      <c r="F22" s="164">
        <f>_xll.qlSwapMaturityDate(K22)</f>
        <v>42829</v>
      </c>
      <c r="G22" s="165">
        <f>_xll.qlOvernightIndexedSwapFairRate(K22,AllTriggers)</f>
        <v>5.0299999999999633E-3</v>
      </c>
      <c r="H22" s="21" t="str">
        <f t="shared" si="1"/>
        <v>USD_CURVE_OIS_11M</v>
      </c>
      <c r="I22" s="21" t="s">
        <v>262</v>
      </c>
      <c r="J22" s="51"/>
      <c r="K22" s="52" t="str">
        <f>_xll.qlMakeOIS(,SettlementDays,IF(B22="SW","1W",B22),OvernightIndex,,FwdStart,DayCountConv,,,Trigger)</f>
        <v>obj_00335#0000</v>
      </c>
      <c r="L22" s="34"/>
      <c r="M22" s="37"/>
      <c r="N22" s="34"/>
      <c r="O22" s="34"/>
      <c r="R22" s="72"/>
      <c r="S22" s="73"/>
      <c r="T22" s="72"/>
      <c r="U22" s="70"/>
      <c r="V22" s="72"/>
      <c r="W22" s="156"/>
      <c r="X22" s="157"/>
      <c r="Y22" s="157"/>
      <c r="Z22" s="158"/>
      <c r="AA22" s="157"/>
      <c r="AB22" s="157"/>
      <c r="AC22" s="157"/>
      <c r="AD22" s="157"/>
      <c r="AE22" s="157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20</v>
      </c>
      <c r="C23" s="53" t="s">
        <v>36</v>
      </c>
      <c r="D23" s="164">
        <f t="shared" si="0"/>
        <v>42492</v>
      </c>
      <c r="E23" s="164">
        <f>_xll.qlSwapStartDate(K23)</f>
        <v>42494</v>
      </c>
      <c r="F23" s="164">
        <f>_xll.qlSwapMaturityDate(K23)</f>
        <v>42859</v>
      </c>
      <c r="G23" s="165">
        <f>_xll.qlOvernightIndexedSwapFairRate(K23,AllTriggers)</f>
        <v>5.1600000000800155E-3</v>
      </c>
      <c r="H23" s="21" t="str">
        <f t="shared" si="1"/>
        <v>USD_CURVE_OIS_1Y</v>
      </c>
      <c r="I23" s="21" t="s">
        <v>263</v>
      </c>
      <c r="J23" s="51"/>
      <c r="K23" s="52" t="str">
        <f>_xll.qlMakeOIS(,SettlementDays,IF(B23="SW","1W",B23),OvernightIndex,,FwdStart,DayCountConv,,,Trigger)</f>
        <v>obj_0033b#0000</v>
      </c>
      <c r="L23" s="34"/>
      <c r="M23" s="34"/>
      <c r="N23" s="34"/>
      <c r="O23" s="34"/>
      <c r="R23" s="72"/>
      <c r="S23" s="73"/>
      <c r="T23" s="72"/>
      <c r="U23" s="70"/>
      <c r="V23" s="72"/>
      <c r="W23" s="156"/>
      <c r="X23" s="157"/>
      <c r="Y23" s="157"/>
      <c r="Z23" s="158"/>
      <c r="AA23" s="157"/>
      <c r="AB23" s="157"/>
      <c r="AC23" s="157"/>
      <c r="AD23" s="157"/>
      <c r="AE23" s="157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2"/>
      <c r="E24" s="182"/>
      <c r="F24" s="182"/>
      <c r="G24" s="183"/>
      <c r="H24" s="22"/>
      <c r="I24" s="2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6"/>
      <c r="X24" s="157"/>
      <c r="Y24" s="157"/>
      <c r="Z24" s="158"/>
      <c r="AA24" s="157"/>
      <c r="AB24" s="157"/>
      <c r="AC24" s="157"/>
      <c r="AD24" s="157"/>
      <c r="AE24" s="157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4"/>
      <c r="E25" s="184"/>
      <c r="F25" s="184"/>
      <c r="G25" s="185"/>
      <c r="H25" s="169"/>
      <c r="I25" s="169"/>
      <c r="J25" s="51"/>
      <c r="K25" s="52"/>
      <c r="L25" s="34"/>
      <c r="M25" s="34"/>
      <c r="N25" s="34"/>
      <c r="O25" s="34"/>
      <c r="R25" s="72"/>
      <c r="S25" s="73"/>
      <c r="T25" s="72"/>
      <c r="U25" s="70"/>
      <c r="V25" s="72"/>
      <c r="W25" s="156"/>
      <c r="X25" s="157"/>
      <c r="Y25" s="157"/>
      <c r="Z25" s="158"/>
      <c r="AA25" s="157"/>
      <c r="AB25" s="157"/>
      <c r="AC25" s="157"/>
      <c r="AD25" s="157"/>
      <c r="AE25" s="157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52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52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52"/>
    </row>
    <row r="35" spans="1:16" x14ac:dyDescent="0.2">
      <c r="A35" s="2"/>
      <c r="B35" s="170"/>
      <c r="C35" s="171"/>
      <c r="D35" s="172"/>
      <c r="E35" s="172"/>
      <c r="F35" s="172"/>
      <c r="G35" s="173"/>
      <c r="H35" s="173"/>
      <c r="I35" s="173"/>
      <c r="J35" s="174"/>
      <c r="K35" s="52"/>
      <c r="M35" s="2"/>
      <c r="O35" s="71"/>
      <c r="P35" s="70"/>
    </row>
    <row r="36" spans="1:16" x14ac:dyDescent="0.2">
      <c r="A36" s="2"/>
      <c r="B36" s="46" t="s">
        <v>111</v>
      </c>
      <c r="C36" s="53" t="s">
        <v>36</v>
      </c>
      <c r="D36" s="54">
        <f t="shared" ref="D36:D70" si="2">EvaluationDate</f>
        <v>42492</v>
      </c>
      <c r="E36" s="54">
        <f>_xll.qlSwapStartDate(K36)</f>
        <v>42494</v>
      </c>
      <c r="F36" s="54">
        <f>_xll.qlSwapMaturityDate(K36)</f>
        <v>42951</v>
      </c>
      <c r="G36" s="61">
        <f>_xll.qlOvernightIndexedSwapFairRate(K36,AllTriggers)</f>
        <v>5.5000000002555262E-3</v>
      </c>
      <c r="H36" s="61" t="str">
        <f t="shared" ref="H36:H63" si="3">Currency&amp;"_CURVE_OIS"&amp;"_"&amp;B36</f>
        <v>USD_CURVE_OIS_15M</v>
      </c>
      <c r="I36" s="61" t="s">
        <v>264</v>
      </c>
      <c r="J36" s="51"/>
      <c r="K36" s="52" t="str">
        <f>_xll.qlMakeOIS(,SettlementDays,IF(B36="SW","1W",B36),OvernightIndex,,FwdStart,DayCountConv,,,Trigger)</f>
        <v>obj_0034f#0000</v>
      </c>
      <c r="M36" s="70"/>
      <c r="N36" s="71"/>
      <c r="O36" s="71"/>
      <c r="P36" s="70"/>
    </row>
    <row r="37" spans="1:16" x14ac:dyDescent="0.2">
      <c r="A37" s="2"/>
      <c r="B37" s="46" t="s">
        <v>112</v>
      </c>
      <c r="C37" s="53" t="s">
        <v>36</v>
      </c>
      <c r="D37" s="54">
        <f t="shared" si="2"/>
        <v>42492</v>
      </c>
      <c r="E37" s="54">
        <f>_xll.qlSwapStartDate(K37)</f>
        <v>42494</v>
      </c>
      <c r="F37" s="54">
        <f>_xll.qlSwapMaturityDate(K37)</f>
        <v>43045</v>
      </c>
      <c r="G37" s="61">
        <f>_xll.qlOvernightIndexedSwapFairRate(K37,AllTriggers)</f>
        <v>5.8099999997387542E-3</v>
      </c>
      <c r="H37" s="61" t="str">
        <f t="shared" si="3"/>
        <v>USD_CURVE_OIS_18M</v>
      </c>
      <c r="I37" s="61" t="s">
        <v>265</v>
      </c>
      <c r="J37" s="51"/>
      <c r="K37" s="52" t="str">
        <f>_xll.qlMakeOIS(,SettlementDays,IF(B37="SW","1W",B37),OvernightIndex,,FwdStart,DayCountConv,,,Trigger)</f>
        <v>obj_00367#0000</v>
      </c>
      <c r="M37" s="66"/>
      <c r="N37" s="67"/>
      <c r="O37" s="67"/>
      <c r="P37" s="66"/>
    </row>
    <row r="38" spans="1:16" x14ac:dyDescent="0.2">
      <c r="A38" s="2"/>
      <c r="B38" s="46" t="s">
        <v>113</v>
      </c>
      <c r="C38" s="53" t="s">
        <v>36</v>
      </c>
      <c r="D38" s="54">
        <f t="shared" si="2"/>
        <v>42492</v>
      </c>
      <c r="E38" s="54">
        <f>_xll.qlSwapStartDate(K38)</f>
        <v>42494</v>
      </c>
      <c r="F38" s="54">
        <f>_xll.qlSwapMaturityDate(K38)</f>
        <v>43136</v>
      </c>
      <c r="G38" s="61">
        <f>_xll.qlOvernightIndexedSwapFairRate(K38,AllTriggers)</f>
        <v>6.1299999998677499E-3</v>
      </c>
      <c r="H38" s="61" t="str">
        <f t="shared" si="3"/>
        <v>USD_CURVE_OIS_21M</v>
      </c>
      <c r="I38" s="61" t="s">
        <v>266</v>
      </c>
      <c r="J38" s="51"/>
      <c r="K38" s="52" t="str">
        <f>_xll.qlMakeOIS(,SettlementDays,IF(B38="SW","1W",B38),OvernightIndex,,FwdStart,DayCountConv,,,Trigger)</f>
        <v>obj_0033d#0000</v>
      </c>
      <c r="N38" s="4"/>
      <c r="O38" s="4"/>
      <c r="P38" s="4"/>
    </row>
    <row r="39" spans="1:16" x14ac:dyDescent="0.2">
      <c r="A39" s="2"/>
      <c r="B39" s="46" t="s">
        <v>21</v>
      </c>
      <c r="C39" s="53" t="s">
        <v>36</v>
      </c>
      <c r="D39" s="54">
        <f t="shared" si="2"/>
        <v>42492</v>
      </c>
      <c r="E39" s="54">
        <f>_xll.qlSwapStartDate(K39)</f>
        <v>42494</v>
      </c>
      <c r="F39" s="54">
        <f>_xll.qlSwapMaturityDate(K39)</f>
        <v>43224</v>
      </c>
      <c r="G39" s="61">
        <f>_xll.qlOvernightIndexedSwapFairRate(K39,AllTriggers)</f>
        <v>6.440000000039873E-3</v>
      </c>
      <c r="H39" s="28" t="str">
        <f t="shared" si="3"/>
        <v>USD_CURVE_OIS_2Y</v>
      </c>
      <c r="I39" s="61" t="s">
        <v>267</v>
      </c>
      <c r="J39" s="51"/>
      <c r="K39" s="52" t="str">
        <f>_xll.qlMakeOIS(,SettlementDays,IF(B39="SW","1W",B39),OvernightIndex,,FwdStart,DayCountConv,,,Trigger)</f>
        <v>obj_0034a#0000</v>
      </c>
      <c r="N39" s="4"/>
      <c r="O39" s="4"/>
      <c r="P39" s="4"/>
    </row>
    <row r="40" spans="1:16" x14ac:dyDescent="0.2">
      <c r="A40" s="2"/>
      <c r="B40" s="46" t="s">
        <v>22</v>
      </c>
      <c r="C40" s="53" t="s">
        <v>36</v>
      </c>
      <c r="D40" s="54">
        <f t="shared" si="2"/>
        <v>42492</v>
      </c>
      <c r="E40" s="54">
        <f>_xll.qlSwapStartDate(K40)</f>
        <v>42494</v>
      </c>
      <c r="F40" s="54">
        <f>_xll.qlSwapMaturityDate(K40)</f>
        <v>43591</v>
      </c>
      <c r="G40" s="61">
        <f>_xll.qlOvernightIndexedSwapFairRate(K40,AllTriggers)</f>
        <v>7.6000000000269246E-3</v>
      </c>
      <c r="H40" s="28" t="str">
        <f t="shared" si="3"/>
        <v>USD_CURVE_OIS_3Y</v>
      </c>
      <c r="I40" s="61" t="s">
        <v>268</v>
      </c>
      <c r="J40" s="51"/>
      <c r="K40" s="52" t="str">
        <f>_xll.qlMakeOIS(,SettlementDays,IF(B40="SW","1W",B40),OvernightIndex,,FwdStart,DayCountConv,,,Trigger)</f>
        <v>obj_00343#0000</v>
      </c>
      <c r="N40" s="4"/>
      <c r="O40" s="4"/>
      <c r="P40" s="4"/>
    </row>
    <row r="41" spans="1:16" x14ac:dyDescent="0.2">
      <c r="A41" s="2"/>
      <c r="B41" s="46" t="s">
        <v>23</v>
      </c>
      <c r="C41" s="53" t="s">
        <v>36</v>
      </c>
      <c r="D41" s="54">
        <f t="shared" si="2"/>
        <v>42492</v>
      </c>
      <c r="E41" s="54">
        <f>_xll.qlSwapStartDate(K41)</f>
        <v>42494</v>
      </c>
      <c r="F41" s="54">
        <f>_xll.qlSwapMaturityDate(K41)</f>
        <v>43955</v>
      </c>
      <c r="G41" s="61">
        <f>_xll.qlOvernightIndexedSwapFairRate(K41,AllTriggers)</f>
        <v>8.7000000000203425E-3</v>
      </c>
      <c r="H41" s="28" t="str">
        <f t="shared" si="3"/>
        <v>USD_CURVE_OIS_4Y</v>
      </c>
      <c r="I41" s="61" t="s">
        <v>269</v>
      </c>
      <c r="J41" s="51"/>
      <c r="K41" s="52" t="str">
        <f>_xll.qlMakeOIS(,SettlementDays,IF(B41="SW","1W",B41),OvernightIndex,,FwdStart,DayCountConv,,,Trigger)</f>
        <v>obj_0036d#0000</v>
      </c>
      <c r="N41" s="4"/>
      <c r="O41" s="4"/>
      <c r="P41" s="4"/>
    </row>
    <row r="42" spans="1:16" x14ac:dyDescent="0.2">
      <c r="A42" s="2"/>
      <c r="B42" s="46" t="s">
        <v>24</v>
      </c>
      <c r="C42" s="53" t="s">
        <v>36</v>
      </c>
      <c r="D42" s="54">
        <f t="shared" si="2"/>
        <v>42492</v>
      </c>
      <c r="E42" s="54">
        <f>_xll.qlSwapStartDate(K42)</f>
        <v>42494</v>
      </c>
      <c r="F42" s="54">
        <f>_xll.qlSwapMaturityDate(K42)</f>
        <v>44320</v>
      </c>
      <c r="G42" s="61">
        <f>_xll.qlOvernightIndexedSwapFairRate(K42,AllTriggers)</f>
        <v>9.7200000000163371E-3</v>
      </c>
      <c r="H42" s="28" t="str">
        <f t="shared" si="3"/>
        <v>USD_CURVE_OIS_5Y</v>
      </c>
      <c r="I42" s="61" t="s">
        <v>270</v>
      </c>
      <c r="J42" s="51"/>
      <c r="K42" s="52" t="str">
        <f>_xll.qlMakeOIS(,SettlementDays,IF(B42="SW","1W",B42),OvernightIndex,,FwdStart,DayCountConv,,,Trigger)</f>
        <v>obj_00350#0000</v>
      </c>
      <c r="N42" s="4"/>
      <c r="O42" s="4"/>
      <c r="P42" s="4"/>
    </row>
    <row r="43" spans="1:16" x14ac:dyDescent="0.2">
      <c r="A43" s="2"/>
      <c r="B43" s="46" t="s">
        <v>66</v>
      </c>
      <c r="C43" s="53" t="s">
        <v>36</v>
      </c>
      <c r="D43" s="54">
        <f t="shared" si="2"/>
        <v>42492</v>
      </c>
      <c r="E43" s="54">
        <f>_xll.qlSwapStartDate(K43)</f>
        <v>42494</v>
      </c>
      <c r="F43" s="54">
        <f>_xll.qlSwapMaturityDate(K43)</f>
        <v>44685</v>
      </c>
      <c r="G43" s="61">
        <f>_xll.qlOvernightIndexedSwapFairRate(K43,AllTriggers)</f>
        <v>1.0720000000000028E-2</v>
      </c>
      <c r="H43" s="28" t="str">
        <f t="shared" si="3"/>
        <v>USD_CURVE_OIS_6Y</v>
      </c>
      <c r="I43" s="61" t="s">
        <v>271</v>
      </c>
      <c r="J43" s="51"/>
      <c r="K43" s="52" t="str">
        <f>_xll.qlMakeOIS(,SettlementDays,IF(B43="SW","1W",B43),OvernightIndex,,FwdStart,DayCountConv,,,Trigger)</f>
        <v>obj_00336#0000</v>
      </c>
      <c r="N43" s="4"/>
      <c r="O43" s="4"/>
      <c r="P43" s="4"/>
    </row>
    <row r="44" spans="1:16" x14ac:dyDescent="0.2">
      <c r="A44" s="2"/>
      <c r="B44" s="46" t="s">
        <v>25</v>
      </c>
      <c r="C44" s="53" t="s">
        <v>36</v>
      </c>
      <c r="D44" s="54">
        <f t="shared" si="2"/>
        <v>42492</v>
      </c>
      <c r="E44" s="54">
        <f>_xll.qlSwapStartDate(K44)</f>
        <v>42494</v>
      </c>
      <c r="F44" s="54">
        <f>_xll.qlSwapMaturityDate(K44)</f>
        <v>45050</v>
      </c>
      <c r="G44" s="61">
        <f>_xll.qlOvernightIndexedSwapFairRate(K44,AllTriggers)</f>
        <v>1.1600000000000985E-2</v>
      </c>
      <c r="H44" s="28" t="str">
        <f t="shared" si="3"/>
        <v>USD_CURVE_OIS_7Y</v>
      </c>
      <c r="I44" s="61" t="s">
        <v>272</v>
      </c>
      <c r="J44" s="51"/>
      <c r="K44" s="52" t="str">
        <f>_xll.qlMakeOIS(,SettlementDays,IF(B44="SW","1W",B44),OvernightIndex,,FwdStart,DayCountConv,,,Trigger)</f>
        <v>obj_00345#0000</v>
      </c>
      <c r="N44" s="4"/>
      <c r="O44" s="4"/>
      <c r="P44" s="4"/>
    </row>
    <row r="45" spans="1:16" x14ac:dyDescent="0.2">
      <c r="A45" s="2"/>
      <c r="B45" s="46" t="s">
        <v>67</v>
      </c>
      <c r="C45" s="53" t="s">
        <v>36</v>
      </c>
      <c r="D45" s="54">
        <f t="shared" si="2"/>
        <v>42492</v>
      </c>
      <c r="E45" s="54">
        <f>_xll.qlSwapStartDate(K45)</f>
        <v>42494</v>
      </c>
      <c r="F45" s="54">
        <f>_xll.qlSwapMaturityDate(K45)</f>
        <v>45418</v>
      </c>
      <c r="G45" s="61">
        <f>_xll.qlOvernightIndexedSwapFairRate(K45,AllTriggers)</f>
        <v>1.2399999999999986E-2</v>
      </c>
      <c r="H45" s="28" t="str">
        <f t="shared" si="3"/>
        <v>USD_CURVE_OIS_8Y</v>
      </c>
      <c r="I45" s="61" t="s">
        <v>273</v>
      </c>
      <c r="J45" s="51"/>
      <c r="K45" s="52" t="str">
        <f>_xll.qlMakeOIS(,SettlementDays,IF(B45="SW","1W",B45),OvernightIndex,,FwdStart,DayCountConv,,,Trigger)</f>
        <v>obj_0033f#0000</v>
      </c>
      <c r="N45" s="4"/>
      <c r="O45" s="4"/>
      <c r="P45" s="4"/>
    </row>
    <row r="46" spans="1:16" x14ac:dyDescent="0.2">
      <c r="A46" s="2"/>
      <c r="B46" s="46" t="s">
        <v>68</v>
      </c>
      <c r="C46" s="53" t="s">
        <v>36</v>
      </c>
      <c r="D46" s="54">
        <f t="shared" si="2"/>
        <v>42492</v>
      </c>
      <c r="E46" s="54">
        <f>_xll.qlSwapStartDate(K46)</f>
        <v>42494</v>
      </c>
      <c r="F46" s="54">
        <f>_xll.qlSwapMaturityDate(K46)</f>
        <v>45782</v>
      </c>
      <c r="G46" s="61">
        <f>_xll.qlOvernightIndexedSwapFairRate(K46,AllTriggers)</f>
        <v>1.3120000000003214E-2</v>
      </c>
      <c r="H46" s="61" t="str">
        <f t="shared" si="3"/>
        <v>USD_CURVE_OIS_9Y</v>
      </c>
      <c r="I46" s="61" t="s">
        <v>274</v>
      </c>
      <c r="J46" s="51"/>
      <c r="K46" s="52" t="str">
        <f>_xll.qlMakeOIS(,SettlementDays,IF(B46="SW","1W",B46),OvernightIndex,,FwdStart,DayCountConv,,,Trigger)</f>
        <v>obj_0034e#0000</v>
      </c>
      <c r="N46" s="4"/>
      <c r="O46" s="4"/>
      <c r="P46" s="4"/>
    </row>
    <row r="47" spans="1:16" x14ac:dyDescent="0.2">
      <c r="A47" s="2"/>
      <c r="B47" s="46" t="s">
        <v>26</v>
      </c>
      <c r="C47" s="53" t="s">
        <v>36</v>
      </c>
      <c r="D47" s="54">
        <f t="shared" si="2"/>
        <v>42492</v>
      </c>
      <c r="E47" s="54">
        <f>_xll.qlSwapStartDate(K47)</f>
        <v>42494</v>
      </c>
      <c r="F47" s="54">
        <f>_xll.qlSwapMaturityDate(K47)</f>
        <v>46146</v>
      </c>
      <c r="G47" s="61">
        <f>_xll.qlOvernightIndexedSwapFairRate(K47,AllTriggers)</f>
        <v>1.3810000000002492E-2</v>
      </c>
      <c r="H47" s="61" t="str">
        <f t="shared" si="3"/>
        <v>USD_CURVE_OIS_10Y</v>
      </c>
      <c r="I47" s="61" t="s">
        <v>275</v>
      </c>
      <c r="J47" s="51"/>
      <c r="K47" s="52" t="str">
        <f>_xll.qlMakeOIS(,SettlementDays,IF(B47="SW","1W",B47),OvernightIndex,,FwdStart,DayCountConv,,,Trigger)</f>
        <v>obj_00359#0000</v>
      </c>
      <c r="N47" s="4"/>
      <c r="O47" s="4"/>
      <c r="P47" s="4"/>
    </row>
    <row r="48" spans="1:16" x14ac:dyDescent="0.2">
      <c r="A48" s="2"/>
      <c r="B48" s="46" t="s">
        <v>69</v>
      </c>
      <c r="C48" s="53" t="s">
        <v>36</v>
      </c>
      <c r="D48" s="54">
        <f t="shared" si="2"/>
        <v>42492</v>
      </c>
      <c r="E48" s="54">
        <f>_xll.qlSwapStartDate(K48)</f>
        <v>42494</v>
      </c>
      <c r="F48" s="54">
        <f>_xll.qlSwapMaturityDate(K48)</f>
        <v>46511</v>
      </c>
      <c r="G48" s="61">
        <f>_xll.qlOvernightIndexedSwapFairRate(K48,AllTriggers)</f>
        <v>1.4445056962632756E-2</v>
      </c>
      <c r="H48" s="28" t="str">
        <f t="shared" si="3"/>
        <v>USD_CURVE_OIS_11Y</v>
      </c>
      <c r="I48" s="61"/>
      <c r="J48" s="51"/>
      <c r="K48" s="52" t="str">
        <f>_xll.qlMakeOIS(,SettlementDays,IF(B48="SW","1W",B48),OvernightIndex,,FwdStart,DayCountConv,,,Trigger)</f>
        <v>obj_00364#0000</v>
      </c>
      <c r="N48" s="4"/>
      <c r="O48" s="4"/>
      <c r="P48" s="4"/>
    </row>
    <row r="49" spans="1:16" x14ac:dyDescent="0.2">
      <c r="A49" s="2"/>
      <c r="B49" s="46" t="s">
        <v>27</v>
      </c>
      <c r="C49" s="53" t="s">
        <v>36</v>
      </c>
      <c r="D49" s="54">
        <f t="shared" si="2"/>
        <v>42492</v>
      </c>
      <c r="E49" s="54">
        <f>_xll.qlSwapStartDate(K49)</f>
        <v>42494</v>
      </c>
      <c r="F49" s="54">
        <f>_xll.qlSwapMaturityDate(K49)</f>
        <v>46877</v>
      </c>
      <c r="G49" s="61">
        <f>_xll.qlOvernightIndexedSwapFairRate(K49,AllTriggers)</f>
        <v>1.5009999999967372E-2</v>
      </c>
      <c r="H49" s="28" t="str">
        <f t="shared" si="3"/>
        <v>USD_CURVE_OIS_12Y</v>
      </c>
      <c r="I49" s="61" t="s">
        <v>276</v>
      </c>
      <c r="J49" s="51"/>
      <c r="K49" s="52" t="str">
        <f>_xll.qlMakeOIS(,SettlementDays,IF(B49="SW","1W",B49),OvernightIndex,,FwdStart,DayCountConv,,,Trigger)</f>
        <v>obj_0033c#0000</v>
      </c>
      <c r="N49" s="4"/>
      <c r="O49" s="4"/>
      <c r="P49" s="4"/>
    </row>
    <row r="50" spans="1:16" x14ac:dyDescent="0.2">
      <c r="A50" s="2"/>
      <c r="B50" s="46" t="s">
        <v>70</v>
      </c>
      <c r="C50" s="53" t="s">
        <v>36</v>
      </c>
      <c r="D50" s="54">
        <f t="shared" si="2"/>
        <v>42492</v>
      </c>
      <c r="E50" s="54">
        <f>_xll.qlSwapStartDate(K50)</f>
        <v>42494</v>
      </c>
      <c r="F50" s="54">
        <f>_xll.qlSwapMaturityDate(K50)</f>
        <v>47242</v>
      </c>
      <c r="G50" s="61">
        <f>_xll.qlOvernightIndexedSwapFairRate(K50,AllTriggers)</f>
        <v>1.55000513441883E-2</v>
      </c>
      <c r="H50" s="28" t="str">
        <f t="shared" si="3"/>
        <v>USD_CURVE_OIS_13Y</v>
      </c>
      <c r="I50" s="61"/>
      <c r="J50" s="51"/>
      <c r="K50" s="52" t="str">
        <f>_xll.qlMakeOIS(,SettlementDays,IF(B50="SW","1W",B50),OvernightIndex,,FwdStart,DayCountConv,,,Trigger)</f>
        <v>obj_0034c#0000</v>
      </c>
      <c r="N50" s="4"/>
      <c r="O50" s="4"/>
      <c r="P50" s="4"/>
    </row>
    <row r="51" spans="1:16" x14ac:dyDescent="0.2">
      <c r="A51" s="2"/>
      <c r="B51" s="46" t="s">
        <v>71</v>
      </c>
      <c r="C51" s="53" t="s">
        <v>36</v>
      </c>
      <c r="D51" s="54">
        <f t="shared" si="2"/>
        <v>42492</v>
      </c>
      <c r="E51" s="54">
        <f>_xll.qlSwapStartDate(K51)</f>
        <v>42494</v>
      </c>
      <c r="F51" s="54">
        <f>_xll.qlSwapMaturityDate(K51)</f>
        <v>47609</v>
      </c>
      <c r="G51" s="61">
        <f>_xll.qlOvernightIndexedSwapFairRate(K51,AllTriggers)</f>
        <v>1.5931334516112932E-2</v>
      </c>
      <c r="H51" s="28" t="str">
        <f t="shared" si="3"/>
        <v>USD_CURVE_OIS_14Y</v>
      </c>
      <c r="I51" s="61"/>
      <c r="J51" s="51"/>
      <c r="K51" s="52" t="str">
        <f>_xll.qlMakeOIS(,SettlementDays,IF(B51="SW","1W",B51),OvernightIndex,,FwdStart,DayCountConv,,,Trigger)</f>
        <v>obj_0033e#0000</v>
      </c>
      <c r="N51" s="4"/>
      <c r="O51" s="4"/>
      <c r="P51" s="4"/>
    </row>
    <row r="52" spans="1:16" x14ac:dyDescent="0.2">
      <c r="A52" s="2"/>
      <c r="B52" s="46" t="s">
        <v>28</v>
      </c>
      <c r="C52" s="53" t="s">
        <v>36</v>
      </c>
      <c r="D52" s="54">
        <f t="shared" si="2"/>
        <v>42492</v>
      </c>
      <c r="E52" s="54">
        <f>_xll.qlSwapStartDate(K52)</f>
        <v>42494</v>
      </c>
      <c r="F52" s="54">
        <f>_xll.qlSwapMaturityDate(K52)</f>
        <v>47973</v>
      </c>
      <c r="G52" s="61">
        <f>_xll.qlOvernightIndexedSwapFairRate(K52,AllTriggers)</f>
        <v>1.6310000000019292E-2</v>
      </c>
      <c r="H52" s="28" t="str">
        <f t="shared" si="3"/>
        <v>USD_CURVE_OIS_15Y</v>
      </c>
      <c r="I52" s="61" t="s">
        <v>277</v>
      </c>
      <c r="J52" s="51"/>
      <c r="K52" s="52" t="str">
        <f>_xll.qlMakeOIS(,SettlementDays,IF(B52="SW","1W",B52),OvernightIndex,,FwdStart,DayCountConv,,,Trigger)</f>
        <v>obj_00334#0000</v>
      </c>
      <c r="N52" s="4"/>
      <c r="O52" s="4"/>
      <c r="P52" s="4"/>
    </row>
    <row r="53" spans="1:16" x14ac:dyDescent="0.2">
      <c r="A53" s="2"/>
      <c r="B53" s="46" t="s">
        <v>72</v>
      </c>
      <c r="C53" s="53" t="s">
        <v>36</v>
      </c>
      <c r="D53" s="54">
        <f t="shared" si="2"/>
        <v>42492</v>
      </c>
      <c r="E53" s="54">
        <f>_xll.qlSwapStartDate(K53)</f>
        <v>42494</v>
      </c>
      <c r="F53" s="54">
        <f>_xll.qlSwapMaturityDate(K53)</f>
        <v>48338</v>
      </c>
      <c r="G53" s="61">
        <f>_xll.qlOvernightIndexedSwapFairRate(K53,AllTriggers)</f>
        <v>1.6648893712249604E-2</v>
      </c>
      <c r="H53" s="28" t="str">
        <f t="shared" si="3"/>
        <v>USD_CURVE_OIS_16Y</v>
      </c>
      <c r="I53" s="61"/>
      <c r="J53" s="51"/>
      <c r="K53" s="52" t="str">
        <f>_xll.qlMakeOIS(,SettlementDays,IF(B53="SW","1W",B53),OvernightIndex,,FwdStart,DayCountConv,,,Trigger)</f>
        <v>obj_00341#0000</v>
      </c>
      <c r="N53" s="4"/>
      <c r="O53" s="4"/>
      <c r="P53" s="4"/>
    </row>
    <row r="54" spans="1:16" x14ac:dyDescent="0.2">
      <c r="A54" s="2"/>
      <c r="B54" s="46" t="s">
        <v>73</v>
      </c>
      <c r="C54" s="53" t="s">
        <v>36</v>
      </c>
      <c r="D54" s="54">
        <f t="shared" si="2"/>
        <v>42492</v>
      </c>
      <c r="E54" s="54">
        <f>_xll.qlSwapStartDate(K54)</f>
        <v>42494</v>
      </c>
      <c r="F54" s="54">
        <f>_xll.qlSwapMaturityDate(K54)</f>
        <v>48703</v>
      </c>
      <c r="G54" s="61">
        <f>_xll.qlOvernightIndexedSwapFairRate(K54,AllTriggers)</f>
        <v>1.6950294829125471E-2</v>
      </c>
      <c r="H54" s="28" t="str">
        <f t="shared" si="3"/>
        <v>USD_CURVE_OIS_17Y</v>
      </c>
      <c r="I54" s="61"/>
      <c r="J54" s="51"/>
      <c r="K54" s="52" t="str">
        <f>_xll.qlMakeOIS(,SettlementDays,IF(B54="SW","1W",B54),OvernightIndex,,FwdStart,DayCountConv,,,Trigger)</f>
        <v>obj_00349#0000</v>
      </c>
      <c r="N54" s="4"/>
      <c r="O54" s="4"/>
      <c r="P54" s="4"/>
    </row>
    <row r="55" spans="1:16" x14ac:dyDescent="0.2">
      <c r="A55" s="2"/>
      <c r="B55" s="46" t="s">
        <v>74</v>
      </c>
      <c r="C55" s="53" t="s">
        <v>36</v>
      </c>
      <c r="D55" s="54">
        <f t="shared" si="2"/>
        <v>42492</v>
      </c>
      <c r="E55" s="54">
        <f>_xll.qlSwapStartDate(K55)</f>
        <v>42494</v>
      </c>
      <c r="F55" s="54">
        <f>_xll.qlSwapMaturityDate(K55)</f>
        <v>49068</v>
      </c>
      <c r="G55" s="61">
        <f>_xll.qlOvernightIndexedSwapFairRate(K55,AllTriggers)</f>
        <v>1.7216298965713576E-2</v>
      </c>
      <c r="H55" s="28" t="str">
        <f t="shared" si="3"/>
        <v>USD_CURVE_OIS_18Y</v>
      </c>
      <c r="I55" s="61"/>
      <c r="J55" s="51"/>
      <c r="K55" s="52" t="str">
        <f>_xll.qlMakeOIS(,SettlementDays,IF(B55="SW","1W",B55),OvernightIndex,,FwdStart,DayCountConv,,,Trigger)</f>
        <v>obj_00339#0000</v>
      </c>
      <c r="N55" s="4"/>
      <c r="O55" s="4"/>
      <c r="P55" s="4"/>
    </row>
    <row r="56" spans="1:16" x14ac:dyDescent="0.2">
      <c r="A56" s="2"/>
      <c r="B56" s="46" t="s">
        <v>75</v>
      </c>
      <c r="C56" s="53" t="s">
        <v>36</v>
      </c>
      <c r="D56" s="54">
        <f t="shared" si="2"/>
        <v>42492</v>
      </c>
      <c r="E56" s="54">
        <f>_xll.qlSwapStartDate(K56)</f>
        <v>42494</v>
      </c>
      <c r="F56" s="54">
        <f>_xll.qlSwapMaturityDate(K56)</f>
        <v>49433</v>
      </c>
      <c r="G56" s="61">
        <f>_xll.qlOvernightIndexedSwapFairRate(K56,AllTriggers)</f>
        <v>1.7448675788667049E-2</v>
      </c>
      <c r="H56" s="28" t="str">
        <f t="shared" si="3"/>
        <v>USD_CURVE_OIS_19Y</v>
      </c>
      <c r="I56" s="61"/>
      <c r="J56" s="51"/>
      <c r="K56" s="52" t="str">
        <f>_xll.qlMakeOIS(,SettlementDays,IF(B56="SW","1W",B56),OvernightIndex,,FwdStart,DayCountConv,,,Trigger)</f>
        <v>obj_0034d#0000</v>
      </c>
      <c r="N56" s="4"/>
      <c r="O56" s="4"/>
      <c r="P56" s="4"/>
    </row>
    <row r="57" spans="1:16" x14ac:dyDescent="0.2">
      <c r="A57" s="2"/>
      <c r="B57" s="46" t="s">
        <v>76</v>
      </c>
      <c r="C57" s="53" t="s">
        <v>36</v>
      </c>
      <c r="D57" s="54">
        <f t="shared" si="2"/>
        <v>42492</v>
      </c>
      <c r="E57" s="54">
        <f>_xll.qlSwapStartDate(K57)</f>
        <v>42494</v>
      </c>
      <c r="F57" s="54">
        <f>_xll.qlSwapMaturityDate(K57)</f>
        <v>49800</v>
      </c>
      <c r="G57" s="61">
        <f>_xll.qlOvernightIndexedSwapFairRate(K57,AllTriggers)</f>
        <v>1.7650000000000707E-2</v>
      </c>
      <c r="H57" s="28" t="str">
        <f t="shared" si="3"/>
        <v>USD_CURVE_OIS_20Y</v>
      </c>
      <c r="I57" s="61" t="s">
        <v>278</v>
      </c>
      <c r="J57" s="51"/>
      <c r="K57" s="52" t="str">
        <f>_xll.qlMakeOIS(,SettlementDays,IF(B57="SW","1W",B57),OvernightIndex,,FwdStart,DayCountConv,,,Trigger)</f>
        <v>obj_00353#0000</v>
      </c>
      <c r="N57" s="4"/>
      <c r="O57" s="4"/>
      <c r="P57" s="4"/>
    </row>
    <row r="58" spans="1:16" x14ac:dyDescent="0.2">
      <c r="A58" s="2"/>
      <c r="B58" s="46" t="s">
        <v>77</v>
      </c>
      <c r="C58" s="53" t="s">
        <v>36</v>
      </c>
      <c r="D58" s="54">
        <f t="shared" si="2"/>
        <v>42492</v>
      </c>
      <c r="E58" s="54">
        <f>_xll.qlSwapStartDate(K58)</f>
        <v>42494</v>
      </c>
      <c r="F58" s="54">
        <f>_xll.qlSwapMaturityDate(K58)</f>
        <v>50164</v>
      </c>
      <c r="G58" s="61">
        <f>_xll.qlOvernightIndexedSwapFairRate(K58,AllTriggers)</f>
        <v>1.7819839628523404E-2</v>
      </c>
      <c r="H58" s="28" t="str">
        <f t="shared" si="3"/>
        <v>USD_CURVE_OIS_21Y</v>
      </c>
      <c r="I58" s="61"/>
      <c r="J58" s="51"/>
      <c r="K58" s="52" t="str">
        <f>_xll.qlMakeOIS(,SettlementDays,IF(B58="SW","1W",B58),OvernightIndex,,FwdStart,DayCountConv,,,Trigger)</f>
        <v>obj_00337#0000</v>
      </c>
      <c r="N58" s="4"/>
      <c r="O58" s="4"/>
      <c r="P58" s="4"/>
    </row>
    <row r="59" spans="1:16" x14ac:dyDescent="0.2">
      <c r="A59" s="2"/>
      <c r="B59" s="46" t="s">
        <v>78</v>
      </c>
      <c r="C59" s="53" t="s">
        <v>36</v>
      </c>
      <c r="D59" s="54">
        <f t="shared" si="2"/>
        <v>42492</v>
      </c>
      <c r="E59" s="54">
        <f>_xll.qlSwapStartDate(K59)</f>
        <v>42494</v>
      </c>
      <c r="F59" s="54">
        <f>_xll.qlSwapMaturityDate(K59)</f>
        <v>50529</v>
      </c>
      <c r="G59" s="61">
        <f>_xll.qlOvernightIndexedSwapFairRate(K59,AllTriggers)</f>
        <v>1.7966001215215667E-2</v>
      </c>
      <c r="H59" s="28" t="str">
        <f t="shared" si="3"/>
        <v>USD_CURVE_OIS_22Y</v>
      </c>
      <c r="I59" s="61"/>
      <c r="J59" s="51"/>
      <c r="K59" s="52" t="str">
        <f>_xll.qlMakeOIS(,SettlementDays,IF(B59="SW","1W",B59),OvernightIndex,,FwdStart,DayCountConv,,,Trigger)</f>
        <v>obj_00347#0000</v>
      </c>
      <c r="N59" s="4"/>
      <c r="O59" s="4"/>
      <c r="P59" s="4"/>
    </row>
    <row r="60" spans="1:16" x14ac:dyDescent="0.2">
      <c r="A60" s="2"/>
      <c r="B60" s="46" t="s">
        <v>79</v>
      </c>
      <c r="C60" s="53" t="s">
        <v>36</v>
      </c>
      <c r="D60" s="54">
        <f t="shared" si="2"/>
        <v>42492</v>
      </c>
      <c r="E60" s="54">
        <f>_xll.qlSwapStartDate(K60)</f>
        <v>42494</v>
      </c>
      <c r="F60" s="54">
        <f>_xll.qlSwapMaturityDate(K60)</f>
        <v>50894</v>
      </c>
      <c r="G60" s="61">
        <f>_xll.qlOvernightIndexedSwapFairRate(K60,AllTriggers)</f>
        <v>1.8093415998217694E-2</v>
      </c>
      <c r="H60" s="28" t="str">
        <f t="shared" si="3"/>
        <v>USD_CURVE_OIS_23Y</v>
      </c>
      <c r="I60" s="61"/>
      <c r="J60" s="51"/>
      <c r="K60" s="52" t="str">
        <f>_xll.qlMakeOIS(,SettlementDays,IF(B60="SW","1W",B60),OvernightIndex,,FwdStart,DayCountConv,,,Trigger)</f>
        <v>obj_00366#0000</v>
      </c>
      <c r="N60" s="4"/>
      <c r="O60" s="4"/>
      <c r="P60" s="4"/>
    </row>
    <row r="61" spans="1:16" x14ac:dyDescent="0.2">
      <c r="A61" s="2"/>
      <c r="B61" s="46" t="s">
        <v>80</v>
      </c>
      <c r="C61" s="53" t="s">
        <v>36</v>
      </c>
      <c r="D61" s="54">
        <f t="shared" si="2"/>
        <v>42492</v>
      </c>
      <c r="E61" s="54">
        <f>_xll.qlSwapStartDate(K61)</f>
        <v>42494</v>
      </c>
      <c r="F61" s="54">
        <f>_xll.qlSwapMaturityDate(K61)</f>
        <v>51260</v>
      </c>
      <c r="G61" s="61">
        <f>_xll.qlOvernightIndexedSwapFairRate(K61,AllTriggers)</f>
        <v>1.8206873885285531E-2</v>
      </c>
      <c r="H61" s="28" t="str">
        <f t="shared" si="3"/>
        <v>USD_CURVE_OIS_24Y</v>
      </c>
      <c r="I61" s="61"/>
      <c r="J61" s="51"/>
      <c r="K61" s="52" t="str">
        <f>_xll.qlMakeOIS(,SettlementDays,IF(B61="SW","1W",B61),OvernightIndex,,FwdStart,DayCountConv,,,Trigger)</f>
        <v>obj_00354#0000</v>
      </c>
      <c r="N61" s="4"/>
      <c r="O61" s="4"/>
      <c r="P61" s="4"/>
    </row>
    <row r="62" spans="1:16" x14ac:dyDescent="0.2">
      <c r="A62" s="2"/>
      <c r="B62" s="46" t="s">
        <v>81</v>
      </c>
      <c r="C62" s="53" t="s">
        <v>36</v>
      </c>
      <c r="D62" s="54">
        <f t="shared" si="2"/>
        <v>42492</v>
      </c>
      <c r="E62" s="54">
        <f>_xll.qlSwapStartDate(K62)</f>
        <v>42494</v>
      </c>
      <c r="F62" s="54">
        <f>_xll.qlSwapMaturityDate(K62)</f>
        <v>51627</v>
      </c>
      <c r="G62" s="61">
        <f>_xll.qlOvernightIndexedSwapFairRate(K62,AllTriggers)</f>
        <v>1.8310000000006106E-2</v>
      </c>
      <c r="H62" s="28" t="str">
        <f t="shared" si="3"/>
        <v>USD_CURVE_OIS_25Y</v>
      </c>
      <c r="I62" s="61" t="s">
        <v>279</v>
      </c>
      <c r="J62" s="51"/>
      <c r="K62" s="52" t="str">
        <f>_xll.qlMakeOIS(,SettlementDays,IF(B62="SW","1W",B62),OvernightIndex,,FwdStart,DayCountConv,,,Trigger)</f>
        <v>obj_0033a#0000</v>
      </c>
      <c r="N62" s="4"/>
      <c r="O62" s="4"/>
      <c r="P62" s="4"/>
    </row>
    <row r="63" spans="1:16" x14ac:dyDescent="0.2">
      <c r="A63" s="2"/>
      <c r="B63" s="46" t="s">
        <v>82</v>
      </c>
      <c r="C63" s="53" t="s">
        <v>36</v>
      </c>
      <c r="D63" s="54">
        <f t="shared" si="2"/>
        <v>42492</v>
      </c>
      <c r="E63" s="54">
        <f>_xll.qlSwapStartDate(K63)</f>
        <v>42494</v>
      </c>
      <c r="F63" s="54">
        <f>_xll.qlSwapMaturityDate(K63)</f>
        <v>51991</v>
      </c>
      <c r="G63" s="61">
        <f>_xll.qlOvernightIndexedSwapFairRate(K63,AllTriggers)</f>
        <v>1.8404144712788673E-2</v>
      </c>
      <c r="H63" s="28" t="str">
        <f t="shared" si="3"/>
        <v>USD_CURVE_OIS_26Y</v>
      </c>
      <c r="I63" s="61"/>
      <c r="J63" s="51"/>
      <c r="K63" s="52" t="str">
        <f>_xll.qlMakeOIS(,SettlementDays,IF(B63="SW","1W",B63),OvernightIndex,,FwdStart,DayCountConv,,,Trigger)</f>
        <v>obj_00340#0000</v>
      </c>
      <c r="N63" s="4"/>
      <c r="O63" s="4"/>
      <c r="P63" s="4"/>
    </row>
    <row r="64" spans="1:16" x14ac:dyDescent="0.2">
      <c r="A64" s="2"/>
      <c r="B64" s="46" t="s">
        <v>83</v>
      </c>
      <c r="C64" s="53" t="s">
        <v>36</v>
      </c>
      <c r="D64" s="54">
        <f t="shared" si="2"/>
        <v>42492</v>
      </c>
      <c r="E64" s="54">
        <f>_xll.qlSwapStartDate(K64)</f>
        <v>42494</v>
      </c>
      <c r="F64" s="54">
        <f>_xll.qlSwapMaturityDate(K64)</f>
        <v>52355</v>
      </c>
      <c r="G64" s="61">
        <f>_xll.qlOvernightIndexedSwapFairRate(K64,AllTriggers)</f>
        <v>1.8489901614761134E-2</v>
      </c>
      <c r="H64" s="28" t="str">
        <f t="shared" ref="H64:H70" si="4">Currency&amp;"_CURVE_OIS"&amp;"_"&amp;B64</f>
        <v>USD_CURVE_OIS_27Y</v>
      </c>
      <c r="I64" s="61" t="s">
        <v>280</v>
      </c>
      <c r="J64" s="51"/>
      <c r="K64" s="52" t="str">
        <f>_xll.qlMakeOIS(,SettlementDays,IF(B64="SW","1W",B64),OvernightIndex,,FwdStart,DayCountConv,,,Trigger)</f>
        <v>obj_00346#0000</v>
      </c>
      <c r="N64" s="4"/>
      <c r="O64" s="4"/>
      <c r="P64" s="4"/>
    </row>
    <row r="65" spans="1:16" x14ac:dyDescent="0.2">
      <c r="A65" s="2"/>
      <c r="B65" s="46" t="s">
        <v>84</v>
      </c>
      <c r="C65" s="53" t="s">
        <v>36</v>
      </c>
      <c r="D65" s="54">
        <f t="shared" si="2"/>
        <v>42492</v>
      </c>
      <c r="E65" s="54">
        <f>_xll.qlSwapStartDate(K65)</f>
        <v>42494</v>
      </c>
      <c r="F65" s="54">
        <f>_xll.qlSwapMaturityDate(K65)</f>
        <v>52721</v>
      </c>
      <c r="G65" s="61">
        <f>_xll.qlOvernightIndexedSwapFairRate(K65,AllTriggers)</f>
        <v>1.8566871128141878E-2</v>
      </c>
      <c r="H65" s="28" t="str">
        <f t="shared" si="4"/>
        <v>USD_CURVE_OIS_28Y</v>
      </c>
      <c r="I65" s="61"/>
      <c r="J65" s="51"/>
      <c r="K65" s="52" t="str">
        <f>_xll.qlMakeOIS(,SettlementDays,IF(B65="SW","1W",B65),OvernightIndex,,FwdStart,DayCountConv,,,Trigger)</f>
        <v>obj_0035e#0000</v>
      </c>
      <c r="N65" s="4"/>
      <c r="O65" s="4"/>
      <c r="P65" s="4"/>
    </row>
    <row r="66" spans="1:16" x14ac:dyDescent="0.2">
      <c r="A66" s="2"/>
      <c r="B66" s="46" t="s">
        <v>85</v>
      </c>
      <c r="C66" s="53" t="s">
        <v>36</v>
      </c>
      <c r="D66" s="54">
        <f t="shared" si="2"/>
        <v>42492</v>
      </c>
      <c r="E66" s="54">
        <f>_xll.qlSwapStartDate(K66)</f>
        <v>42494</v>
      </c>
      <c r="F66" s="54">
        <f>_xll.qlSwapMaturityDate(K66)</f>
        <v>53086</v>
      </c>
      <c r="G66" s="61">
        <f>_xll.qlOvernightIndexedSwapFairRate(K66,AllTriggers)</f>
        <v>1.8633670417330779E-2</v>
      </c>
      <c r="H66" s="28" t="str">
        <f t="shared" si="4"/>
        <v>USD_CURVE_OIS_29Y</v>
      </c>
      <c r="I66" s="61"/>
      <c r="J66" s="51"/>
      <c r="K66" s="52" t="str">
        <f>_xll.qlMakeOIS(,SettlementDays,IF(B66="SW","1W",B66),OvernightIndex,,FwdStart,DayCountConv,,,Trigger)</f>
        <v>obj_00356#0000</v>
      </c>
      <c r="N66" s="4"/>
      <c r="O66" s="4"/>
      <c r="P66" s="4"/>
    </row>
    <row r="67" spans="1:16" x14ac:dyDescent="0.2">
      <c r="A67" s="2"/>
      <c r="B67" s="46" t="s">
        <v>86</v>
      </c>
      <c r="C67" s="53" t="s">
        <v>36</v>
      </c>
      <c r="D67" s="54">
        <f t="shared" si="2"/>
        <v>42492</v>
      </c>
      <c r="E67" s="54">
        <f>_xll.qlSwapStartDate(K67)</f>
        <v>42494</v>
      </c>
      <c r="F67" s="54">
        <f>_xll.qlSwapMaturityDate(K67)</f>
        <v>53451</v>
      </c>
      <c r="G67" s="61">
        <f>_xll.qlOvernightIndexedSwapFairRate(K67,AllTriggers)</f>
        <v>1.8690000000033832E-2</v>
      </c>
      <c r="H67" s="28" t="str">
        <f t="shared" si="4"/>
        <v>USD_CURVE_OIS_30Y</v>
      </c>
      <c r="I67" s="61" t="s">
        <v>281</v>
      </c>
      <c r="J67" s="51"/>
      <c r="K67" s="52" t="str">
        <f>_xll.qlMakeOIS(,SettlementDays,IF(B67="SW","1W",B67),OvernightIndex,,FwdStart,DayCountConv,,,Trigger)</f>
        <v>obj_0035a#0000</v>
      </c>
      <c r="N67" s="4"/>
      <c r="O67" s="4"/>
      <c r="P67" s="4"/>
    </row>
    <row r="68" spans="1:16" x14ac:dyDescent="0.2">
      <c r="A68" s="2"/>
      <c r="B68" s="46" t="s">
        <v>87</v>
      </c>
      <c r="C68" s="53" t="s">
        <v>36</v>
      </c>
      <c r="D68" s="54">
        <f t="shared" si="2"/>
        <v>42492</v>
      </c>
      <c r="E68" s="54">
        <f>_xll.qlSwapStartDate(K68)</f>
        <v>42494</v>
      </c>
      <c r="F68" s="54">
        <f>_xll.qlSwapMaturityDate(K68)</f>
        <v>57104</v>
      </c>
      <c r="G68" s="61">
        <f>_xll.qlOvernightIndexedSwapFairRate(K68,AllTriggers)</f>
        <v>1.8890000000038275E-2</v>
      </c>
      <c r="H68" s="61" t="str">
        <f t="shared" si="4"/>
        <v>USD_CURVE_OIS_40Y</v>
      </c>
      <c r="I68" s="61" t="s">
        <v>282</v>
      </c>
      <c r="J68" s="51"/>
      <c r="K68" s="52" t="str">
        <f>_xll.qlMakeOIS(,SettlementDays,IF(B68="SW","1W",B68),OvernightIndex,,FwdStart,DayCountConv,,,Trigger)</f>
        <v>obj_0036a#0000</v>
      </c>
      <c r="N68" s="4"/>
      <c r="O68" s="4"/>
      <c r="P68" s="4"/>
    </row>
    <row r="69" spans="1:16" x14ac:dyDescent="0.2">
      <c r="A69" s="2"/>
      <c r="B69" s="46" t="s">
        <v>88</v>
      </c>
      <c r="C69" s="53" t="s">
        <v>36</v>
      </c>
      <c r="D69" s="54">
        <f t="shared" si="2"/>
        <v>42492</v>
      </c>
      <c r="E69" s="54">
        <f>_xll.qlSwapStartDate(K69)</f>
        <v>42494</v>
      </c>
      <c r="F69" s="54">
        <f>_xll.qlSwapMaturityDate(K69)</f>
        <v>60756</v>
      </c>
      <c r="G69" s="61">
        <f>_xll.qlOvernightIndexedSwapFairRate(K69,AllTriggers)</f>
        <v>1.8938571125311842E-2</v>
      </c>
      <c r="H69" s="28" t="str">
        <f t="shared" si="4"/>
        <v>USD_CURVE_OIS_50Y</v>
      </c>
      <c r="I69" s="61" t="s">
        <v>283</v>
      </c>
      <c r="J69" s="51"/>
      <c r="K69" s="52" t="str">
        <f>_xll.qlMakeOIS(,SettlementDays,IF(B69="SW","1W",B69),OvernightIndex,,FwdStart,DayCountConv,,,Trigger)</f>
        <v>obj_00355#0000</v>
      </c>
    </row>
    <row r="70" spans="1:16" x14ac:dyDescent="0.2">
      <c r="A70" s="2"/>
      <c r="B70" s="47" t="s">
        <v>89</v>
      </c>
      <c r="C70" s="55" t="s">
        <v>36</v>
      </c>
      <c r="D70" s="56">
        <f t="shared" si="2"/>
        <v>42492</v>
      </c>
      <c r="E70" s="56">
        <f>_xll.qlSwapStartDate(K70)</f>
        <v>42494</v>
      </c>
      <c r="F70" s="56">
        <f>_xll.qlSwapMaturityDate(K70)</f>
        <v>64409</v>
      </c>
      <c r="G70" s="57">
        <f>_xll.qlOvernightIndexedSwapFairRate(K70,AllTriggers)</f>
        <v>1.8970192887556921E-2</v>
      </c>
      <c r="H70" s="57" t="str">
        <f t="shared" si="4"/>
        <v>USD_CURVE_OIS_60Y</v>
      </c>
      <c r="I70" s="57"/>
      <c r="J70" s="51"/>
      <c r="K70" s="58" t="str">
        <f>_xll.qlMakeOIS(,SettlementDays,IF(B70="SW","1W",B70),OvernightIndex,,FwdStart,DayCountConv,,,Trigger)</f>
        <v>obj_0035b#0000</v>
      </c>
    </row>
  </sheetData>
  <dataValidations disablePrompts="1"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9" width="26.5703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50</v>
      </c>
      <c r="D1" s="36" t="s">
        <v>16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51</v>
      </c>
      <c r="D2" s="36" t="str">
        <f>Currency&amp;"STD"</f>
        <v>USDSTD</v>
      </c>
      <c r="E2" s="37"/>
      <c r="F2" s="37"/>
      <c r="G2" s="29"/>
      <c r="H2" s="37"/>
      <c r="I2" s="37"/>
      <c r="J2" s="37"/>
      <c r="K2" s="37"/>
      <c r="L2" s="37"/>
    </row>
    <row r="3" spans="1:32" x14ac:dyDescent="0.2">
      <c r="C3" s="35" t="s">
        <v>29</v>
      </c>
      <c r="D3" s="16" t="str">
        <f>_xll.qlLibor(,Currency,D1,D2,,Trigger)</f>
        <v>obj_00357#0000</v>
      </c>
      <c r="E3" s="37"/>
      <c r="F3" s="37"/>
      <c r="G3" s="29"/>
      <c r="H3" s="37"/>
      <c r="I3" s="37"/>
      <c r="J3" s="37"/>
      <c r="K3" s="37"/>
      <c r="L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35</v>
      </c>
      <c r="D5" s="10" t="s">
        <v>40</v>
      </c>
      <c r="E5" s="10" t="s">
        <v>47</v>
      </c>
      <c r="F5" s="10" t="s">
        <v>33</v>
      </c>
      <c r="G5" s="11" t="s">
        <v>32</v>
      </c>
      <c r="H5" s="11" t="s">
        <v>48</v>
      </c>
      <c r="I5" s="11" t="s">
        <v>49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4"/>
      <c r="E9" s="164"/>
      <c r="F9" s="164"/>
      <c r="G9" s="165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4"/>
      <c r="E10" s="164"/>
      <c r="F10" s="164"/>
      <c r="G10" s="165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4"/>
      <c r="E11" s="164"/>
      <c r="F11" s="164"/>
      <c r="G11" s="165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4"/>
      <c r="E12" s="164"/>
      <c r="F12" s="164"/>
      <c r="G12" s="165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4"/>
      <c r="E13" s="164"/>
      <c r="F13" s="164"/>
      <c r="G13" s="165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4"/>
      <c r="E14" s="164"/>
      <c r="F14" s="164"/>
      <c r="G14" s="165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4"/>
      <c r="E15" s="164"/>
      <c r="F15" s="164"/>
      <c r="G15" s="165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4"/>
      <c r="E16" s="164"/>
      <c r="F16" s="164"/>
      <c r="G16" s="165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4"/>
      <c r="E17" s="164"/>
      <c r="F17" s="164"/>
      <c r="G17" s="165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6"/>
      <c r="X17" s="157"/>
      <c r="Y17" s="157"/>
      <c r="Z17" s="158"/>
      <c r="AA17" s="157"/>
      <c r="AB17" s="157"/>
      <c r="AC17" s="157"/>
      <c r="AD17" s="157"/>
      <c r="AE17" s="157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4"/>
      <c r="E18" s="164"/>
      <c r="F18" s="164"/>
      <c r="G18" s="165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6"/>
      <c r="X18" s="157"/>
      <c r="Y18" s="157"/>
      <c r="Z18" s="158"/>
      <c r="AA18" s="157"/>
      <c r="AB18" s="157"/>
      <c r="AC18" s="157"/>
      <c r="AD18" s="157"/>
      <c r="AE18" s="157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4"/>
      <c r="E19" s="164"/>
      <c r="F19" s="164"/>
      <c r="G19" s="165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6"/>
      <c r="X19" s="157"/>
      <c r="Y19" s="157"/>
      <c r="Z19" s="158"/>
      <c r="AA19" s="157"/>
      <c r="AB19" s="157"/>
      <c r="AC19" s="157"/>
      <c r="AD19" s="157"/>
      <c r="AE19" s="157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4"/>
      <c r="E20" s="164"/>
      <c r="F20" s="164"/>
      <c r="G20" s="165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6"/>
      <c r="X20" s="157"/>
      <c r="Y20" s="157"/>
      <c r="Z20" s="158"/>
      <c r="AA20" s="157"/>
      <c r="AB20" s="157"/>
      <c r="AC20" s="157"/>
      <c r="AD20" s="157"/>
      <c r="AE20" s="157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4"/>
      <c r="E21" s="164"/>
      <c r="F21" s="164"/>
      <c r="G21" s="165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6"/>
      <c r="X21" s="157"/>
      <c r="Y21" s="157"/>
      <c r="Z21" s="158"/>
      <c r="AA21" s="157"/>
      <c r="AB21" s="157"/>
      <c r="AC21" s="157"/>
      <c r="AD21" s="157"/>
      <c r="AE21" s="157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4"/>
      <c r="E22" s="164"/>
      <c r="F22" s="164"/>
      <c r="G22" s="165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6"/>
      <c r="X22" s="157"/>
      <c r="Y22" s="157"/>
      <c r="Z22" s="158"/>
      <c r="AA22" s="157"/>
      <c r="AB22" s="157"/>
      <c r="AC22" s="157"/>
      <c r="AD22" s="157"/>
      <c r="AE22" s="157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4"/>
      <c r="E23" s="164"/>
      <c r="F23" s="164"/>
      <c r="G23" s="165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6"/>
      <c r="X23" s="157"/>
      <c r="Y23" s="157"/>
      <c r="Z23" s="158"/>
      <c r="AA23" s="157"/>
      <c r="AB23" s="157"/>
      <c r="AC23" s="157"/>
      <c r="AD23" s="157"/>
      <c r="AE23" s="157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2"/>
      <c r="E24" s="182"/>
      <c r="F24" s="182"/>
      <c r="G24" s="183"/>
      <c r="H24" s="22"/>
      <c r="I24" s="2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6"/>
      <c r="X24" s="157"/>
      <c r="Y24" s="157"/>
      <c r="Z24" s="158"/>
      <c r="AA24" s="157"/>
      <c r="AB24" s="157"/>
      <c r="AC24" s="157"/>
      <c r="AD24" s="157"/>
      <c r="AE24" s="157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4"/>
      <c r="E25" s="184"/>
      <c r="F25" s="184"/>
      <c r="G25" s="185"/>
      <c r="H25" s="169"/>
      <c r="I25" s="169"/>
      <c r="J25" s="51"/>
      <c r="K25" s="37"/>
      <c r="L25" s="34"/>
      <c r="M25" s="34"/>
      <c r="N25" s="34"/>
      <c r="O25" s="34"/>
      <c r="R25" s="72"/>
      <c r="S25" s="73"/>
      <c r="T25" s="72"/>
      <c r="U25" s="70"/>
      <c r="V25" s="72"/>
      <c r="W25" s="156"/>
      <c r="X25" s="157"/>
      <c r="Y25" s="157"/>
      <c r="Z25" s="158"/>
      <c r="AA25" s="157"/>
      <c r="AB25" s="157"/>
      <c r="AC25" s="157"/>
      <c r="AD25" s="157"/>
      <c r="AE25" s="157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37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37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64" t="s">
        <v>34</v>
      </c>
      <c r="M34" s="64" t="s">
        <v>30</v>
      </c>
      <c r="N34" s="64" t="s">
        <v>52</v>
      </c>
      <c r="O34" s="64" t="s">
        <v>31</v>
      </c>
    </row>
    <row r="35" spans="1:16" x14ac:dyDescent="0.2">
      <c r="A35" s="2"/>
      <c r="B35" s="46" t="s">
        <v>20</v>
      </c>
      <c r="C35" s="53" t="s">
        <v>92</v>
      </c>
      <c r="D35" s="54">
        <f>SwapFixingDate</f>
        <v>42493</v>
      </c>
      <c r="E35" s="54">
        <f>_xll.qlInterestRateIndexValueDate(K35,D35)</f>
        <v>42495</v>
      </c>
      <c r="F35" s="54">
        <f>_xll.qlInterestRateIndexMaturity(K35,E35)</f>
        <v>42860</v>
      </c>
      <c r="G35" s="61">
        <f>_xll.qlIndexFixing(K35,D35,TRUE,AllTriggers)</f>
        <v>7.7324304440601231E-3</v>
      </c>
      <c r="H35" s="61" t="str">
        <f>"USD_CURVE_STD_"&amp;B35</f>
        <v>USD_CURVE_STD_1Y</v>
      </c>
      <c r="I35" s="61" t="s">
        <v>150</v>
      </c>
      <c r="J35" s="51"/>
      <c r="K35" s="52" t="str">
        <f>_xll.qlSwapIndex(,"No Fix",B35,SettlementDays,Currency,JoinCalendar,FixedLegTenor,FixedLegBDC,FixedLegDayCounter,IborIndex,YieldCurve,,Trigger)</f>
        <v>obj_0037f#0000</v>
      </c>
      <c r="M35" s="65" t="s">
        <v>20</v>
      </c>
      <c r="N35" s="65" t="s">
        <v>37</v>
      </c>
      <c r="O35" s="65" t="s">
        <v>93</v>
      </c>
      <c r="P35" s="70"/>
    </row>
    <row r="36" spans="1:16" x14ac:dyDescent="0.2">
      <c r="A36" s="2"/>
      <c r="B36" s="46"/>
      <c r="C36" s="53"/>
      <c r="D36" s="54"/>
      <c r="E36" s="54"/>
      <c r="F36" s="54"/>
      <c r="G36" s="61"/>
      <c r="H36" s="61"/>
      <c r="I36" s="61"/>
      <c r="J36" s="51"/>
      <c r="K36" s="52"/>
      <c r="M36" s="70"/>
      <c r="N36" s="71"/>
      <c r="O36" s="71"/>
      <c r="P36" s="70"/>
    </row>
    <row r="37" spans="1:16" x14ac:dyDescent="0.2">
      <c r="A37" s="2"/>
      <c r="B37" s="46"/>
      <c r="C37" s="53"/>
      <c r="D37" s="54"/>
      <c r="E37" s="54"/>
      <c r="F37" s="54"/>
      <c r="G37" s="61"/>
      <c r="H37" s="61"/>
      <c r="I37" s="61"/>
      <c r="J37" s="51"/>
      <c r="K37" s="52"/>
      <c r="M37" s="66"/>
      <c r="N37" s="67"/>
      <c r="O37" s="67"/>
      <c r="P37" s="66"/>
    </row>
    <row r="38" spans="1:16" x14ac:dyDescent="0.2">
      <c r="A38" s="2"/>
      <c r="B38" s="46"/>
      <c r="C38" s="53"/>
      <c r="D38" s="54"/>
      <c r="E38" s="54"/>
      <c r="F38" s="54"/>
      <c r="G38" s="61"/>
      <c r="H38" s="61"/>
      <c r="I38" s="61"/>
      <c r="J38" s="51"/>
      <c r="K38" s="52"/>
      <c r="N38" s="4"/>
      <c r="O38" s="4"/>
      <c r="P38" s="4"/>
    </row>
    <row r="39" spans="1:16" x14ac:dyDescent="0.2">
      <c r="A39" s="2"/>
      <c r="B39" s="46" t="s">
        <v>21</v>
      </c>
      <c r="C39" s="53" t="s">
        <v>92</v>
      </c>
      <c r="D39" s="54">
        <f t="shared" ref="D39:D70" si="0">SwapFixingDate</f>
        <v>42493</v>
      </c>
      <c r="E39" s="54">
        <f>_xll.qlInterestRateIndexValueDate(K39,D39)</f>
        <v>42495</v>
      </c>
      <c r="F39" s="54">
        <f>_xll.qlInterestRateIndexMaturity(K39,E39)</f>
        <v>43228</v>
      </c>
      <c r="G39" s="61">
        <f>_xll.qlIndexFixing(K39,D39,TRUE,AllTriggers)</f>
        <v>9.3299999999999633E-3</v>
      </c>
      <c r="H39" s="61" t="str">
        <f t="shared" ref="H39:H70" si="1">"USD_CURVE_STD_"&amp;B39</f>
        <v>USD_CURVE_STD_2Y</v>
      </c>
      <c r="I39" s="61" t="s">
        <v>151</v>
      </c>
      <c r="J39" s="51"/>
      <c r="K39" s="52" t="str">
        <f>_xll.qlSwapIndex(,"No Fix",B39,SettlementDays,Currency,JoinCalendar,FixedLegTenor,FixedLegBDC,FixedLegDayCounter,IborIndex,YieldCurve,,Trigger)</f>
        <v>obj_0036f#0000</v>
      </c>
      <c r="N39" s="4"/>
      <c r="O39" s="4"/>
      <c r="P39" s="4"/>
    </row>
    <row r="40" spans="1:16" x14ac:dyDescent="0.2">
      <c r="A40" s="2"/>
      <c r="B40" s="46" t="s">
        <v>22</v>
      </c>
      <c r="C40" s="53" t="s">
        <v>92</v>
      </c>
      <c r="D40" s="54">
        <f t="shared" si="0"/>
        <v>42493</v>
      </c>
      <c r="E40" s="54">
        <f>_xll.qlInterestRateIndexValueDate(K40,D40)</f>
        <v>42495</v>
      </c>
      <c r="F40" s="54">
        <f>_xll.qlInterestRateIndexMaturity(K40,E40)</f>
        <v>43592</v>
      </c>
      <c r="G40" s="61">
        <f>_xll.qlIndexFixing(K40,D40,TRUE,AllTriggers)</f>
        <v>1.0580000000000084E-2</v>
      </c>
      <c r="H40" s="61" t="str">
        <f t="shared" si="1"/>
        <v>USD_CURVE_STD_3Y</v>
      </c>
      <c r="I40" s="61" t="s">
        <v>152</v>
      </c>
      <c r="J40" s="51"/>
      <c r="K40" s="52" t="str">
        <f>_xll.qlSwapIndex(,"No Fix",B40,SettlementDays,Currency,JoinCalendar,FixedLegTenor,FixedLegBDC,FixedLegDayCounter,IborIndex,YieldCurve,,Trigger)</f>
        <v>obj_00383#0000</v>
      </c>
      <c r="N40" s="4"/>
      <c r="O40" s="4"/>
      <c r="P40" s="4"/>
    </row>
    <row r="41" spans="1:16" x14ac:dyDescent="0.2">
      <c r="A41" s="2"/>
      <c r="B41" s="46" t="s">
        <v>23</v>
      </c>
      <c r="C41" s="53" t="s">
        <v>92</v>
      </c>
      <c r="D41" s="54">
        <f t="shared" si="0"/>
        <v>42493</v>
      </c>
      <c r="E41" s="54">
        <f>_xll.qlInterestRateIndexValueDate(K41,D41)</f>
        <v>42495</v>
      </c>
      <c r="F41" s="54">
        <f>_xll.qlInterestRateIndexMaturity(K41,E41)</f>
        <v>43956</v>
      </c>
      <c r="G41" s="61">
        <f>_xll.qlIndexFixing(K41,D41,TRUE,AllTriggers)</f>
        <v>1.1759999999999982E-2</v>
      </c>
      <c r="H41" s="61" t="str">
        <f t="shared" si="1"/>
        <v>USD_CURVE_STD_4Y</v>
      </c>
      <c r="I41" s="61" t="s">
        <v>153</v>
      </c>
      <c r="J41" s="51"/>
      <c r="K41" s="52" t="str">
        <f>_xll.qlSwapIndex(,"No Fix",B41,SettlementDays,Currency,JoinCalendar,FixedLegTenor,FixedLegBDC,FixedLegDayCounter,IborIndex,YieldCurve,,Trigger)</f>
        <v>obj_0035f#0000</v>
      </c>
      <c r="N41" s="4"/>
      <c r="O41" s="4"/>
      <c r="P41" s="4"/>
    </row>
    <row r="42" spans="1:16" x14ac:dyDescent="0.2">
      <c r="A42" s="2"/>
      <c r="B42" s="46" t="s">
        <v>24</v>
      </c>
      <c r="C42" s="53" t="s">
        <v>92</v>
      </c>
      <c r="D42" s="54">
        <f t="shared" si="0"/>
        <v>42493</v>
      </c>
      <c r="E42" s="54">
        <f>_xll.qlInterestRateIndexValueDate(K42,D42)</f>
        <v>42495</v>
      </c>
      <c r="F42" s="54">
        <f>_xll.qlInterestRateIndexMaturity(K42,E42)</f>
        <v>44321</v>
      </c>
      <c r="G42" s="61">
        <f>_xll.qlIndexFixing(K42,D42,TRUE,AllTriggers)</f>
        <v>1.2859999999999955E-2</v>
      </c>
      <c r="H42" s="61" t="str">
        <f t="shared" si="1"/>
        <v>USD_CURVE_STD_5Y</v>
      </c>
      <c r="I42" s="61" t="s">
        <v>154</v>
      </c>
      <c r="J42" s="51"/>
      <c r="K42" s="52" t="str">
        <f>_xll.qlSwapIndex(,"No Fix",B42,SettlementDays,Currency,JoinCalendar,FixedLegTenor,FixedLegBDC,FixedLegDayCounter,IborIndex,YieldCurve,,Trigger)</f>
        <v>obj_0037c#0000</v>
      </c>
      <c r="N42" s="4"/>
      <c r="O42" s="4"/>
      <c r="P42" s="4"/>
    </row>
    <row r="43" spans="1:16" x14ac:dyDescent="0.2">
      <c r="A43" s="2"/>
      <c r="B43" s="46" t="s">
        <v>66</v>
      </c>
      <c r="C43" s="53" t="s">
        <v>92</v>
      </c>
      <c r="D43" s="54">
        <f t="shared" si="0"/>
        <v>42493</v>
      </c>
      <c r="E43" s="54">
        <f>_xll.qlInterestRateIndexValueDate(K43,D43)</f>
        <v>42495</v>
      </c>
      <c r="F43" s="54">
        <f>_xll.qlInterestRateIndexMaturity(K43,E43)</f>
        <v>44686</v>
      </c>
      <c r="G43" s="61">
        <f>_xll.qlIndexFixing(K43,D43,TRUE,AllTriggers)</f>
        <v>1.3919999999999953E-2</v>
      </c>
      <c r="H43" s="61" t="str">
        <f t="shared" si="1"/>
        <v>USD_CURVE_STD_6Y</v>
      </c>
      <c r="I43" s="61" t="s">
        <v>155</v>
      </c>
      <c r="J43" s="51"/>
      <c r="K43" s="52" t="str">
        <f>_xll.qlSwapIndex(,"No Fix",B43,SettlementDays,Currency,JoinCalendar,FixedLegTenor,FixedLegBDC,FixedLegDayCounter,IborIndex,YieldCurve,,Trigger)</f>
        <v>obj_00378#0000</v>
      </c>
      <c r="N43" s="4"/>
      <c r="O43" s="4"/>
      <c r="P43" s="4"/>
    </row>
    <row r="44" spans="1:16" x14ac:dyDescent="0.2">
      <c r="A44" s="2"/>
      <c r="B44" s="46" t="s">
        <v>25</v>
      </c>
      <c r="C44" s="53" t="s">
        <v>92</v>
      </c>
      <c r="D44" s="54">
        <f t="shared" si="0"/>
        <v>42493</v>
      </c>
      <c r="E44" s="54">
        <f>_xll.qlInterestRateIndexValueDate(K44,D44)</f>
        <v>42495</v>
      </c>
      <c r="F44" s="54">
        <f>_xll.qlInterestRateIndexMaturity(K44,E44)</f>
        <v>45051</v>
      </c>
      <c r="G44" s="61">
        <f>_xll.qlIndexFixing(K44,D44,TRUE,AllTriggers)</f>
        <v>1.4859999999998506E-2</v>
      </c>
      <c r="H44" s="61" t="str">
        <f t="shared" si="1"/>
        <v>USD_CURVE_STD_7Y</v>
      </c>
      <c r="I44" s="61" t="s">
        <v>156</v>
      </c>
      <c r="J44" s="51"/>
      <c r="K44" s="52" t="str">
        <f>_xll.qlSwapIndex(,"No Fix",B44,SettlementDays,Currency,JoinCalendar,FixedLegTenor,FixedLegBDC,FixedLegDayCounter,IborIndex,YieldCurve,,Trigger)</f>
        <v>obj_00369#0000</v>
      </c>
      <c r="N44" s="4"/>
      <c r="O44" s="4"/>
      <c r="P44" s="4"/>
    </row>
    <row r="45" spans="1:16" x14ac:dyDescent="0.2">
      <c r="A45" s="2"/>
      <c r="B45" s="46" t="s">
        <v>67</v>
      </c>
      <c r="C45" s="53" t="s">
        <v>92</v>
      </c>
      <c r="D45" s="54">
        <f t="shared" si="0"/>
        <v>42493</v>
      </c>
      <c r="E45" s="54">
        <f>_xll.qlInterestRateIndexValueDate(K45,D45)</f>
        <v>42495</v>
      </c>
      <c r="F45" s="54">
        <f>_xll.qlInterestRateIndexMaturity(K45,E45)</f>
        <v>45419</v>
      </c>
      <c r="G45" s="61">
        <f>_xll.qlIndexFixing(K45,D45,TRUE,AllTriggers)</f>
        <v>1.5710000000000019E-2</v>
      </c>
      <c r="H45" s="61" t="str">
        <f t="shared" si="1"/>
        <v>USD_CURVE_STD_8Y</v>
      </c>
      <c r="I45" s="61" t="s">
        <v>157</v>
      </c>
      <c r="J45" s="51"/>
      <c r="K45" s="52" t="str">
        <f>_xll.qlSwapIndex(,"No Fix",B45,SettlementDays,Currency,JoinCalendar,FixedLegTenor,FixedLegBDC,FixedLegDayCounter,IborIndex,YieldCurve,,Trigger)</f>
        <v>obj_00380#0000</v>
      </c>
      <c r="N45" s="4"/>
      <c r="O45" s="4"/>
      <c r="P45" s="4"/>
    </row>
    <row r="46" spans="1:16" x14ac:dyDescent="0.2">
      <c r="A46" s="2"/>
      <c r="B46" s="46" t="s">
        <v>68</v>
      </c>
      <c r="C46" s="53" t="s">
        <v>92</v>
      </c>
      <c r="D46" s="54">
        <f t="shared" si="0"/>
        <v>42493</v>
      </c>
      <c r="E46" s="54">
        <f>_xll.qlInterestRateIndexValueDate(K46,D46)</f>
        <v>42495</v>
      </c>
      <c r="F46" s="54">
        <f>_xll.qlInterestRateIndexMaturity(K46,E46)</f>
        <v>45783</v>
      </c>
      <c r="G46" s="61">
        <f>_xll.qlIndexFixing(K46,D46,TRUE,AllTriggers)</f>
        <v>1.6479999999986637E-2</v>
      </c>
      <c r="H46" s="61" t="str">
        <f t="shared" si="1"/>
        <v>USD_CURVE_STD_9Y</v>
      </c>
      <c r="I46" s="61" t="s">
        <v>158</v>
      </c>
      <c r="J46" s="51"/>
      <c r="K46" s="52" t="str">
        <f>_xll.qlSwapIndex(,"No Fix",B46,SettlementDays,Currency,JoinCalendar,FixedLegTenor,FixedLegBDC,FixedLegDayCounter,IborIndex,YieldCurve,,Trigger)</f>
        <v>obj_00368#0000</v>
      </c>
      <c r="N46" s="4"/>
      <c r="O46" s="4"/>
      <c r="P46" s="4"/>
    </row>
    <row r="47" spans="1:16" x14ac:dyDescent="0.2">
      <c r="A47" s="2"/>
      <c r="B47" s="46" t="s">
        <v>26</v>
      </c>
      <c r="C47" s="53" t="s">
        <v>92</v>
      </c>
      <c r="D47" s="54">
        <f t="shared" si="0"/>
        <v>42493</v>
      </c>
      <c r="E47" s="54">
        <f>_xll.qlInterestRateIndexValueDate(K47,D47)</f>
        <v>42495</v>
      </c>
      <c r="F47" s="54">
        <f>_xll.qlInterestRateIndexMaturity(K47,E47)</f>
        <v>46147</v>
      </c>
      <c r="G47" s="61">
        <f>_xll.qlIndexFixing(K47,D47,TRUE,AllTriggers)</f>
        <v>1.7189999999983874E-2</v>
      </c>
      <c r="H47" s="61" t="str">
        <f t="shared" si="1"/>
        <v>USD_CURVE_STD_10Y</v>
      </c>
      <c r="I47" s="61" t="s">
        <v>159</v>
      </c>
      <c r="J47" s="51"/>
      <c r="K47" s="52" t="str">
        <f>_xll.qlSwapIndex(,"No Fix",B47,SettlementDays,Currency,JoinCalendar,FixedLegTenor,FixedLegBDC,FixedLegDayCounter,IborIndex,YieldCurve,,Trigger)</f>
        <v>obj_00386#0000</v>
      </c>
      <c r="N47" s="4"/>
      <c r="O47" s="4"/>
      <c r="P47" s="4"/>
    </row>
    <row r="48" spans="1:16" x14ac:dyDescent="0.2">
      <c r="A48" s="2"/>
      <c r="B48" s="46" t="s">
        <v>69</v>
      </c>
      <c r="C48" s="53" t="s">
        <v>92</v>
      </c>
      <c r="D48" s="54">
        <f t="shared" si="0"/>
        <v>42493</v>
      </c>
      <c r="E48" s="54">
        <f>_xll.qlInterestRateIndexValueDate(K48,D48)</f>
        <v>42495</v>
      </c>
      <c r="F48" s="54">
        <f>_xll.qlInterestRateIndexMaturity(K48,E48)</f>
        <v>46512</v>
      </c>
      <c r="G48" s="61">
        <f>_xll.qlIndexFixing(K48,D48,TRUE,AllTriggers)</f>
        <v>1.7812778617914443E-2</v>
      </c>
      <c r="H48" s="61" t="str">
        <f t="shared" si="1"/>
        <v>USD_CURVE_STD_11Y</v>
      </c>
      <c r="I48" s="61" t="s">
        <v>160</v>
      </c>
      <c r="J48" s="51"/>
      <c r="K48" s="52" t="str">
        <f>_xll.qlSwapIndex(,"No Fix",B48,SettlementDays,Currency,JoinCalendar,FixedLegTenor,FixedLegBDC,FixedLegDayCounter,IborIndex,YieldCurve,,Trigger)</f>
        <v>obj_00379#0000</v>
      </c>
      <c r="N48" s="4"/>
      <c r="O48" s="4"/>
      <c r="P48" s="4"/>
    </row>
    <row r="49" spans="1:16" x14ac:dyDescent="0.2">
      <c r="A49" s="2"/>
      <c r="B49" s="46" t="s">
        <v>27</v>
      </c>
      <c r="C49" s="53" t="s">
        <v>92</v>
      </c>
      <c r="D49" s="54">
        <f t="shared" si="0"/>
        <v>42493</v>
      </c>
      <c r="E49" s="54">
        <f>_xll.qlInterestRateIndexValueDate(K49,D49)</f>
        <v>42495</v>
      </c>
      <c r="F49" s="54">
        <f>_xll.qlInterestRateIndexMaturity(K49,E49)</f>
        <v>46878</v>
      </c>
      <c r="G49" s="61">
        <f>_xll.qlIndexFixing(K49,D49,TRUE,AllTriggers)</f>
        <v>1.8429999999981735E-2</v>
      </c>
      <c r="H49" s="61" t="str">
        <f t="shared" si="1"/>
        <v>USD_CURVE_STD_12Y</v>
      </c>
      <c r="I49" s="61" t="s">
        <v>161</v>
      </c>
      <c r="J49" s="51"/>
      <c r="K49" s="52" t="str">
        <f>_xll.qlSwapIndex(,"No Fix",B49,SettlementDays,Currency,JoinCalendar,FixedLegTenor,FixedLegBDC,FixedLegDayCounter,IborIndex,YieldCurve,,Trigger)</f>
        <v>obj_00365#0000</v>
      </c>
      <c r="N49" s="4"/>
      <c r="O49" s="4"/>
      <c r="P49" s="4"/>
    </row>
    <row r="50" spans="1:16" x14ac:dyDescent="0.2">
      <c r="A50" s="2"/>
      <c r="B50" s="46" t="s">
        <v>70</v>
      </c>
      <c r="C50" s="53" t="s">
        <v>92</v>
      </c>
      <c r="D50" s="54">
        <f t="shared" si="0"/>
        <v>42493</v>
      </c>
      <c r="E50" s="54">
        <f>_xll.qlInterestRateIndexValueDate(K50,D50)</f>
        <v>42495</v>
      </c>
      <c r="F50" s="54">
        <f>_xll.qlInterestRateIndexMaturity(K50,E50)</f>
        <v>47246</v>
      </c>
      <c r="G50" s="61">
        <f>_xll.qlIndexFixing(K50,D50,TRUE,AllTriggers)</f>
        <v>1.888249266089689E-2</v>
      </c>
      <c r="H50" s="61" t="str">
        <f t="shared" si="1"/>
        <v>USD_CURVE_STD_13Y</v>
      </c>
      <c r="I50" s="61" t="s">
        <v>162</v>
      </c>
      <c r="J50" s="51"/>
      <c r="K50" s="52" t="str">
        <f>_xll.qlSwapIndex(,"No Fix",B50,SettlementDays,Currency,JoinCalendar,FixedLegTenor,FixedLegBDC,FixedLegDayCounter,IborIndex,YieldCurve,,Trigger)</f>
        <v>obj_0037b#0000</v>
      </c>
      <c r="N50" s="4"/>
      <c r="O50" s="4"/>
      <c r="P50" s="4"/>
    </row>
    <row r="51" spans="1:16" x14ac:dyDescent="0.2">
      <c r="A51" s="2"/>
      <c r="B51" s="46" t="s">
        <v>71</v>
      </c>
      <c r="C51" s="53" t="s">
        <v>92</v>
      </c>
      <c r="D51" s="54">
        <f t="shared" si="0"/>
        <v>42493</v>
      </c>
      <c r="E51" s="54">
        <f>_xll.qlInterestRateIndexValueDate(K51,D51)</f>
        <v>42495</v>
      </c>
      <c r="F51" s="54">
        <f>_xll.qlInterestRateIndexMaturity(K51,E51)</f>
        <v>47610</v>
      </c>
      <c r="G51" s="61">
        <f>_xll.qlIndexFixing(K51,D51,TRUE,AllTriggers)</f>
        <v>1.9324123749282687E-2</v>
      </c>
      <c r="H51" s="61" t="str">
        <f t="shared" si="1"/>
        <v>USD_CURVE_STD_14Y</v>
      </c>
      <c r="I51" s="61" t="s">
        <v>163</v>
      </c>
      <c r="J51" s="51"/>
      <c r="K51" s="52" t="str">
        <f>_xll.qlSwapIndex(,"No Fix",B51,SettlementDays,Currency,JoinCalendar,FixedLegTenor,FixedLegBDC,FixedLegDayCounter,IborIndex,YieldCurve,,Trigger)</f>
        <v>obj_00374#0000</v>
      </c>
      <c r="N51" s="4"/>
      <c r="O51" s="4"/>
      <c r="P51" s="4"/>
    </row>
    <row r="52" spans="1:16" x14ac:dyDescent="0.2">
      <c r="A52" s="2"/>
      <c r="B52" s="46" t="s">
        <v>28</v>
      </c>
      <c r="C52" s="53" t="s">
        <v>92</v>
      </c>
      <c r="D52" s="54">
        <f t="shared" si="0"/>
        <v>42493</v>
      </c>
      <c r="E52" s="54">
        <f>_xll.qlInterestRateIndexValueDate(K52,D52)</f>
        <v>42495</v>
      </c>
      <c r="F52" s="54">
        <f>_xll.qlInterestRateIndexMaturity(K52,E52)</f>
        <v>47974</v>
      </c>
      <c r="G52" s="61">
        <f>_xll.qlIndexFixing(K52,D52,TRUE,AllTriggers)</f>
        <v>1.9759999999977688E-2</v>
      </c>
      <c r="H52" s="61" t="str">
        <f t="shared" si="1"/>
        <v>USD_CURVE_STD_15Y</v>
      </c>
      <c r="I52" s="61" t="s">
        <v>164</v>
      </c>
      <c r="J52" s="51"/>
      <c r="K52" s="52" t="str">
        <f>_xll.qlSwapIndex(,"No Fix",B52,SettlementDays,Currency,JoinCalendar,FixedLegTenor,FixedLegBDC,FixedLegDayCounter,IborIndex,YieldCurve,,Trigger)</f>
        <v>obj_0036c#0000</v>
      </c>
      <c r="N52" s="4"/>
      <c r="O52" s="4"/>
      <c r="P52" s="4"/>
    </row>
    <row r="53" spans="1:16" x14ac:dyDescent="0.2">
      <c r="A53" s="2"/>
      <c r="B53" s="46" t="s">
        <v>72</v>
      </c>
      <c r="C53" s="53" t="s">
        <v>92</v>
      </c>
      <c r="D53" s="54">
        <f t="shared" si="0"/>
        <v>42493</v>
      </c>
      <c r="E53" s="54">
        <f>_xll.qlInterestRateIndexValueDate(K53,D53)</f>
        <v>42495</v>
      </c>
      <c r="F53" s="54">
        <f>_xll.qlInterestRateIndexMaturity(K53,E53)</f>
        <v>48339</v>
      </c>
      <c r="G53" s="61">
        <f>_xll.qlIndexFixing(K53,D53,TRUE,AllTriggers)</f>
        <v>2.0039801854993659E-2</v>
      </c>
      <c r="H53" s="61" t="str">
        <f t="shared" si="1"/>
        <v>USD_CURVE_STD_16Y</v>
      </c>
      <c r="I53" s="61" t="s">
        <v>165</v>
      </c>
      <c r="J53" s="51"/>
      <c r="K53" s="52" t="str">
        <f>_xll.qlSwapIndex(,"No Fix",B53,SettlementDays,Currency,JoinCalendar,FixedLegTenor,FixedLegBDC,FixedLegDayCounter,IborIndex,YieldCurve,,Trigger)</f>
        <v>obj_00377#0000</v>
      </c>
      <c r="N53" s="4"/>
      <c r="O53" s="4"/>
      <c r="P53" s="4"/>
    </row>
    <row r="54" spans="1:16" x14ac:dyDescent="0.2">
      <c r="A54" s="2"/>
      <c r="B54" s="46" t="s">
        <v>73</v>
      </c>
      <c r="C54" s="53" t="s">
        <v>92</v>
      </c>
      <c r="D54" s="54">
        <f t="shared" si="0"/>
        <v>42493</v>
      </c>
      <c r="E54" s="54">
        <f>_xll.qlInterestRateIndexValueDate(K54,D54)</f>
        <v>42495</v>
      </c>
      <c r="F54" s="54">
        <f>_xll.qlInterestRateIndexMaturity(K54,E54)</f>
        <v>48704</v>
      </c>
      <c r="G54" s="61">
        <f>_xll.qlIndexFixing(K54,D54,TRUE,AllTriggers)</f>
        <v>2.0315443899093295E-2</v>
      </c>
      <c r="H54" s="61" t="str">
        <f t="shared" si="1"/>
        <v>USD_CURVE_STD_17Y</v>
      </c>
      <c r="I54" s="61" t="s">
        <v>166</v>
      </c>
      <c r="J54" s="51"/>
      <c r="K54" s="52" t="str">
        <f>_xll.qlSwapIndex(,"No Fix",B54,SettlementDays,Currency,JoinCalendar,FixedLegTenor,FixedLegBDC,FixedLegDayCounter,IborIndex,YieldCurve,,Trigger)</f>
        <v>obj_0036b#0000</v>
      </c>
      <c r="N54" s="4"/>
      <c r="O54" s="4"/>
      <c r="P54" s="4"/>
    </row>
    <row r="55" spans="1:16" x14ac:dyDescent="0.2">
      <c r="A55" s="2"/>
      <c r="B55" s="46" t="s">
        <v>74</v>
      </c>
      <c r="C55" s="53" t="s">
        <v>92</v>
      </c>
      <c r="D55" s="54">
        <f t="shared" si="0"/>
        <v>42493</v>
      </c>
      <c r="E55" s="54">
        <f>_xll.qlInterestRateIndexValueDate(K55,D55)</f>
        <v>42495</v>
      </c>
      <c r="F55" s="54">
        <f>_xll.qlInterestRateIndexMaturity(K55,E55)</f>
        <v>49069</v>
      </c>
      <c r="G55" s="61">
        <f>_xll.qlIndexFixing(K55,D55,TRUE,AllTriggers)</f>
        <v>2.0587054536810048E-2</v>
      </c>
      <c r="H55" s="61" t="str">
        <f t="shared" si="1"/>
        <v>USD_CURVE_STD_18Y</v>
      </c>
      <c r="I55" s="61" t="s">
        <v>167</v>
      </c>
      <c r="J55" s="51"/>
      <c r="K55" s="52" t="str">
        <f>_xll.qlSwapIndex(,"No Fix",B55,SettlementDays,Currency,JoinCalendar,FixedLegTenor,FixedLegBDC,FixedLegDayCounter,IborIndex,YieldCurve,,Trigger)</f>
        <v>obj_00387#0000</v>
      </c>
      <c r="N55" s="4"/>
      <c r="O55" s="4"/>
      <c r="P55" s="4"/>
    </row>
    <row r="56" spans="1:16" x14ac:dyDescent="0.2">
      <c r="A56" s="2"/>
      <c r="B56" s="46" t="s">
        <v>75</v>
      </c>
      <c r="C56" s="53" t="s">
        <v>92</v>
      </c>
      <c r="D56" s="54">
        <f t="shared" si="0"/>
        <v>42493</v>
      </c>
      <c r="E56" s="54">
        <f>_xll.qlInterestRateIndexValueDate(K56,D56)</f>
        <v>42495</v>
      </c>
      <c r="F56" s="54">
        <f>_xll.qlInterestRateIndexMaturity(K56,E56)</f>
        <v>49437</v>
      </c>
      <c r="G56" s="61">
        <f>_xll.qlIndexFixing(K56,D56,TRUE,AllTriggers)</f>
        <v>2.085700360657813E-2</v>
      </c>
      <c r="H56" s="61" t="str">
        <f t="shared" si="1"/>
        <v>USD_CURVE_STD_19Y</v>
      </c>
      <c r="I56" s="61" t="s">
        <v>168</v>
      </c>
      <c r="J56" s="51"/>
      <c r="K56" s="52" t="str">
        <f>_xll.qlSwapIndex(,"No Fix",B56,SettlementDays,Currency,JoinCalendar,FixedLegTenor,FixedLegBDC,FixedLegDayCounter,IborIndex,YieldCurve,,Trigger)</f>
        <v>obj_0037a#0000</v>
      </c>
      <c r="N56" s="4"/>
      <c r="O56" s="4"/>
      <c r="P56" s="4"/>
    </row>
    <row r="57" spans="1:16" x14ac:dyDescent="0.2">
      <c r="A57" s="2"/>
      <c r="B57" s="46" t="s">
        <v>76</v>
      </c>
      <c r="C57" s="53" t="s">
        <v>92</v>
      </c>
      <c r="D57" s="54">
        <f t="shared" si="0"/>
        <v>42493</v>
      </c>
      <c r="E57" s="54">
        <f>_xll.qlInterestRateIndexValueDate(K57,D57)</f>
        <v>42495</v>
      </c>
      <c r="F57" s="54">
        <f>_xll.qlInterestRateIndexMaturity(K57,E57)</f>
        <v>49801</v>
      </c>
      <c r="G57" s="61">
        <f>_xll.qlIndexFixing(K57,D57,TRUE,AllTriggers)</f>
        <v>2.1119999999974024E-2</v>
      </c>
      <c r="H57" s="61" t="str">
        <f t="shared" si="1"/>
        <v>USD_CURVE_STD_20Y</v>
      </c>
      <c r="I57" s="61" t="s">
        <v>169</v>
      </c>
      <c r="J57" s="51"/>
      <c r="K57" s="52" t="str">
        <f>_xll.qlSwapIndex(,"No Fix",B57,SettlementDays,Currency,JoinCalendar,FixedLegTenor,FixedLegBDC,FixedLegDayCounter,IborIndex,YieldCurve,,Trigger)</f>
        <v>obj_0037d#0000</v>
      </c>
      <c r="N57" s="4"/>
      <c r="O57" s="4"/>
      <c r="P57" s="4"/>
    </row>
    <row r="58" spans="1:16" x14ac:dyDescent="0.2">
      <c r="A58" s="2"/>
      <c r="B58" s="46" t="s">
        <v>77</v>
      </c>
      <c r="C58" s="53" t="s">
        <v>92</v>
      </c>
      <c r="D58" s="54">
        <f t="shared" si="0"/>
        <v>42493</v>
      </c>
      <c r="E58" s="54">
        <f>_xll.qlInterestRateIndexValueDate(K58,D58)</f>
        <v>42495</v>
      </c>
      <c r="F58" s="54">
        <f>_xll.qlInterestRateIndexMaturity(K58,E58)</f>
        <v>50165</v>
      </c>
      <c r="G58" s="61">
        <f>_xll.qlIndexFixing(K58,D58,TRUE,AllTriggers)</f>
        <v>2.1260456230464107E-2</v>
      </c>
      <c r="H58" s="61" t="str">
        <f t="shared" si="1"/>
        <v>USD_CURVE_STD_21Y</v>
      </c>
      <c r="I58" s="61" t="s">
        <v>170</v>
      </c>
      <c r="J58" s="51"/>
      <c r="K58" s="52" t="str">
        <f>_xll.qlSwapIndex(,"No Fix",B58,SettlementDays,Currency,JoinCalendar,FixedLegTenor,FixedLegBDC,FixedLegDayCounter,IborIndex,YieldCurve,,Trigger)</f>
        <v>obj_00385#0000</v>
      </c>
      <c r="N58" s="4"/>
      <c r="O58" s="4"/>
      <c r="P58" s="4"/>
    </row>
    <row r="59" spans="1:16" x14ac:dyDescent="0.2">
      <c r="A59" s="2"/>
      <c r="B59" s="46" t="s">
        <v>78</v>
      </c>
      <c r="C59" s="53" t="s">
        <v>92</v>
      </c>
      <c r="D59" s="54">
        <f t="shared" si="0"/>
        <v>42493</v>
      </c>
      <c r="E59" s="54">
        <f>_xll.qlInterestRateIndexValueDate(K59,D59)</f>
        <v>42495</v>
      </c>
      <c r="F59" s="54">
        <f>_xll.qlInterestRateIndexMaturity(K59,E59)</f>
        <v>50530</v>
      </c>
      <c r="G59" s="61">
        <f>_xll.qlIndexFixing(K59,D59,TRUE,AllTriggers)</f>
        <v>2.1398683205134585E-2</v>
      </c>
      <c r="H59" s="61" t="str">
        <f t="shared" si="1"/>
        <v>USD_CURVE_STD_22Y</v>
      </c>
      <c r="I59" s="61" t="s">
        <v>171</v>
      </c>
      <c r="J59" s="51"/>
      <c r="K59" s="52" t="str">
        <f>_xll.qlSwapIndex(,"No Fix",B59,SettlementDays,Currency,JoinCalendar,FixedLegTenor,FixedLegBDC,FixedLegDayCounter,IborIndex,YieldCurve,,Trigger)</f>
        <v>obj_00361#0000</v>
      </c>
      <c r="N59" s="4"/>
      <c r="O59" s="4"/>
      <c r="P59" s="4"/>
    </row>
    <row r="60" spans="1:16" x14ac:dyDescent="0.2">
      <c r="A60" s="2"/>
      <c r="B60" s="46" t="s">
        <v>79</v>
      </c>
      <c r="C60" s="53" t="s">
        <v>92</v>
      </c>
      <c r="D60" s="54">
        <f t="shared" si="0"/>
        <v>42493</v>
      </c>
      <c r="E60" s="54">
        <f>_xll.qlInterestRateIndexValueDate(K60,D60)</f>
        <v>42495</v>
      </c>
      <c r="F60" s="54">
        <f>_xll.qlInterestRateIndexMaturity(K60,E60)</f>
        <v>50895</v>
      </c>
      <c r="G60" s="61">
        <f>_xll.qlIndexFixing(K60,D60,TRUE,AllTriggers)</f>
        <v>2.1534414011385481E-2</v>
      </c>
      <c r="H60" s="61" t="str">
        <f t="shared" si="1"/>
        <v>USD_CURVE_STD_23Y</v>
      </c>
      <c r="I60" s="61" t="s">
        <v>172</v>
      </c>
      <c r="J60" s="51"/>
      <c r="K60" s="52" t="str">
        <f>_xll.qlSwapIndex(,"No Fix",B60,SettlementDays,Currency,JoinCalendar,FixedLegTenor,FixedLegBDC,FixedLegDayCounter,IborIndex,YieldCurve,,Trigger)</f>
        <v>obj_00370#0000</v>
      </c>
      <c r="N60" s="4"/>
      <c r="O60" s="4"/>
      <c r="P60" s="4"/>
    </row>
    <row r="61" spans="1:16" x14ac:dyDescent="0.2">
      <c r="A61" s="2"/>
      <c r="B61" s="46" t="s">
        <v>80</v>
      </c>
      <c r="C61" s="53" t="s">
        <v>92</v>
      </c>
      <c r="D61" s="54">
        <f t="shared" si="0"/>
        <v>42493</v>
      </c>
      <c r="E61" s="54">
        <f>_xll.qlInterestRateIndexValueDate(K61,D61)</f>
        <v>42495</v>
      </c>
      <c r="F61" s="54">
        <f>_xll.qlInterestRateIndexMaturity(K61,E61)</f>
        <v>51264</v>
      </c>
      <c r="G61" s="61">
        <f>_xll.qlIndexFixing(K61,D61,TRUE,AllTriggers)</f>
        <v>2.1669317398122574E-2</v>
      </c>
      <c r="H61" s="61" t="str">
        <f t="shared" si="1"/>
        <v>USD_CURVE_STD_24Y</v>
      </c>
      <c r="I61" s="61" t="s">
        <v>173</v>
      </c>
      <c r="J61" s="51"/>
      <c r="K61" s="52" t="str">
        <f>_xll.qlSwapIndex(,"No Fix",B61,SettlementDays,Currency,JoinCalendar,FixedLegTenor,FixedLegBDC,FixedLegDayCounter,IborIndex,YieldCurve,,Trigger)</f>
        <v>obj_00362#0000</v>
      </c>
      <c r="N61" s="4"/>
      <c r="O61" s="4"/>
      <c r="P61" s="4"/>
    </row>
    <row r="62" spans="1:16" x14ac:dyDescent="0.2">
      <c r="A62" s="2"/>
      <c r="B62" s="46" t="s">
        <v>81</v>
      </c>
      <c r="C62" s="53" t="s">
        <v>92</v>
      </c>
      <c r="D62" s="54">
        <f t="shared" si="0"/>
        <v>42493</v>
      </c>
      <c r="E62" s="54">
        <f>_xll.qlInterestRateIndexValueDate(K62,D62)</f>
        <v>42495</v>
      </c>
      <c r="F62" s="54">
        <f>_xll.qlInterestRateIndexMaturity(K62,E62)</f>
        <v>51628</v>
      </c>
      <c r="G62" s="61">
        <f>_xll.qlIndexFixing(K62,D62,TRUE,AllTriggers)</f>
        <v>2.1799999999968601E-2</v>
      </c>
      <c r="H62" s="61" t="str">
        <f t="shared" si="1"/>
        <v>USD_CURVE_STD_25Y</v>
      </c>
      <c r="I62" s="61" t="s">
        <v>174</v>
      </c>
      <c r="J62" s="51"/>
      <c r="K62" s="52" t="str">
        <f>_xll.qlSwapIndex(,"No Fix",B62,SettlementDays,Currency,JoinCalendar,FixedLegTenor,FixedLegBDC,FixedLegDayCounter,IborIndex,YieldCurve,,Trigger)</f>
        <v>obj_00373#0000</v>
      </c>
      <c r="N62" s="4"/>
      <c r="O62" s="4"/>
      <c r="P62" s="4"/>
    </row>
    <row r="63" spans="1:16" x14ac:dyDescent="0.2">
      <c r="A63" s="2"/>
      <c r="B63" s="46" t="s">
        <v>82</v>
      </c>
      <c r="C63" s="53" t="s">
        <v>92</v>
      </c>
      <c r="D63" s="54">
        <f t="shared" si="0"/>
        <v>42493</v>
      </c>
      <c r="E63" s="54">
        <f>_xll.qlInterestRateIndexValueDate(K63,D63)</f>
        <v>42495</v>
      </c>
      <c r="F63" s="54">
        <f>_xll.qlInterestRateIndexMaturity(K63,E63)</f>
        <v>51992</v>
      </c>
      <c r="G63" s="61">
        <f>_xll.qlIndexFixing(K63,D63,TRUE,AllTriggers)</f>
        <v>2.1880970913046274E-2</v>
      </c>
      <c r="H63" s="61" t="str">
        <f t="shared" si="1"/>
        <v>USD_CURVE_STD_26Y</v>
      </c>
      <c r="I63" s="61" t="s">
        <v>175</v>
      </c>
      <c r="J63" s="51"/>
      <c r="K63" s="52" t="str">
        <f>_xll.qlSwapIndex(,"No Fix",B63,SettlementDays,Currency,JoinCalendar,FixedLegTenor,FixedLegBDC,FixedLegDayCounter,IborIndex,YieldCurve,,Trigger)</f>
        <v>obj_00382#0000</v>
      </c>
      <c r="N63" s="4"/>
      <c r="O63" s="4"/>
      <c r="P63" s="4"/>
    </row>
    <row r="64" spans="1:16" x14ac:dyDescent="0.2">
      <c r="A64" s="2"/>
      <c r="B64" s="46" t="s">
        <v>83</v>
      </c>
      <c r="C64" s="53" t="s">
        <v>92</v>
      </c>
      <c r="D64" s="54">
        <f t="shared" si="0"/>
        <v>42493</v>
      </c>
      <c r="E64" s="54">
        <f>_xll.qlInterestRateIndexValueDate(K64,D64)</f>
        <v>42495</v>
      </c>
      <c r="F64" s="54">
        <f>_xll.qlInterestRateIndexMaturity(K64,E64)</f>
        <v>52356</v>
      </c>
      <c r="G64" s="61">
        <f>_xll.qlIndexFixing(K64,D64,TRUE,AllTriggers)</f>
        <v>2.1960205004391626E-2</v>
      </c>
      <c r="H64" s="61" t="str">
        <f t="shared" si="1"/>
        <v>USD_CURVE_STD_27Y</v>
      </c>
      <c r="I64" s="61" t="s">
        <v>176</v>
      </c>
      <c r="J64" s="51"/>
      <c r="K64" s="52" t="str">
        <f>_xll.qlSwapIndex(,"No Fix",B64,SettlementDays,Currency,JoinCalendar,FixedLegTenor,FixedLegBDC,FixedLegDayCounter,IborIndex,YieldCurve,,Trigger)</f>
        <v>obj_00360#0000</v>
      </c>
      <c r="N64" s="4"/>
      <c r="O64" s="4"/>
      <c r="P64" s="4"/>
    </row>
    <row r="65" spans="1:16" x14ac:dyDescent="0.2">
      <c r="A65" s="2"/>
      <c r="B65" s="46" t="s">
        <v>84</v>
      </c>
      <c r="C65" s="53" t="s">
        <v>92</v>
      </c>
      <c r="D65" s="54">
        <f t="shared" si="0"/>
        <v>42493</v>
      </c>
      <c r="E65" s="54">
        <f>_xll.qlInterestRateIndexValueDate(K65,D65)</f>
        <v>42495</v>
      </c>
      <c r="F65" s="54">
        <f>_xll.qlInterestRateIndexMaturity(K65,E65)</f>
        <v>52722</v>
      </c>
      <c r="G65" s="61">
        <f>_xll.qlIndexFixing(K65,D65,TRUE,AllTriggers)</f>
        <v>2.2038266121308218E-2</v>
      </c>
      <c r="H65" s="61" t="str">
        <f t="shared" si="1"/>
        <v>USD_CURVE_STD_28Y</v>
      </c>
      <c r="I65" s="61" t="s">
        <v>177</v>
      </c>
      <c r="J65" s="51"/>
      <c r="K65" s="52" t="str">
        <f>_xll.qlSwapIndex(,"No Fix",B65,SettlementDays,Currency,JoinCalendar,FixedLegTenor,FixedLegBDC,FixedLegDayCounter,IborIndex,YieldCurve,,Trigger)</f>
        <v>obj_00376#0000</v>
      </c>
      <c r="N65" s="4"/>
      <c r="O65" s="4"/>
      <c r="P65" s="4"/>
    </row>
    <row r="66" spans="1:16" x14ac:dyDescent="0.2">
      <c r="A66" s="2"/>
      <c r="B66" s="46" t="s">
        <v>85</v>
      </c>
      <c r="C66" s="53" t="s">
        <v>92</v>
      </c>
      <c r="D66" s="54">
        <f t="shared" si="0"/>
        <v>42493</v>
      </c>
      <c r="E66" s="54">
        <f>_xll.qlInterestRateIndexValueDate(K66,D66)</f>
        <v>42495</v>
      </c>
      <c r="F66" s="54">
        <f>_xll.qlInterestRateIndexMaturity(K66,E66)</f>
        <v>53087</v>
      </c>
      <c r="G66" s="61">
        <f>_xll.qlIndexFixing(K66,D66,TRUE,AllTriggers)</f>
        <v>2.2114539417723896E-2</v>
      </c>
      <c r="H66" s="61" t="str">
        <f t="shared" si="1"/>
        <v>USD_CURVE_STD_29Y</v>
      </c>
      <c r="I66" s="61" t="s">
        <v>178</v>
      </c>
      <c r="J66" s="51"/>
      <c r="K66" s="52" t="str">
        <f>_xll.qlSwapIndex(,"No Fix",B66,SettlementDays,Currency,JoinCalendar,FixedLegTenor,FixedLegBDC,FixedLegDayCounter,IborIndex,YieldCurve,,Trigger)</f>
        <v>obj_00381#0000</v>
      </c>
      <c r="N66" s="4"/>
      <c r="O66" s="4"/>
      <c r="P66" s="4"/>
    </row>
    <row r="67" spans="1:16" x14ac:dyDescent="0.2">
      <c r="A67" s="2"/>
      <c r="B67" s="46" t="s">
        <v>86</v>
      </c>
      <c r="C67" s="53" t="s">
        <v>92</v>
      </c>
      <c r="D67" s="54">
        <f t="shared" si="0"/>
        <v>42493</v>
      </c>
      <c r="E67" s="54">
        <f>_xll.qlInterestRateIndexValueDate(K67,D67)</f>
        <v>42495</v>
      </c>
      <c r="F67" s="54">
        <f>_xll.qlInterestRateIndexMaturity(K67,E67)</f>
        <v>53455</v>
      </c>
      <c r="G67" s="61">
        <f>_xll.qlIndexFixing(K67,D67,TRUE,AllTriggers)</f>
        <v>2.2189999999965768E-2</v>
      </c>
      <c r="H67" s="61" t="str">
        <f t="shared" si="1"/>
        <v>USD_CURVE_STD_30Y</v>
      </c>
      <c r="I67" s="61" t="s">
        <v>179</v>
      </c>
      <c r="J67" s="51"/>
      <c r="K67" s="52" t="str">
        <f>_xll.qlSwapIndex(,"No Fix",B67,SettlementDays,Currency,JoinCalendar,FixedLegTenor,FixedLegBDC,FixedLegDayCounter,IborIndex,YieldCurve,,Trigger)</f>
        <v>obj_0037e#0000</v>
      </c>
      <c r="N67" s="4"/>
      <c r="O67" s="4"/>
      <c r="P67" s="4"/>
    </row>
    <row r="68" spans="1:16" x14ac:dyDescent="0.2">
      <c r="A68" s="2"/>
      <c r="B68" s="46" t="s">
        <v>87</v>
      </c>
      <c r="C68" s="53" t="s">
        <v>92</v>
      </c>
      <c r="D68" s="54">
        <f t="shared" si="0"/>
        <v>42493</v>
      </c>
      <c r="E68" s="54">
        <f>_xll.qlInterestRateIndexValueDate(K68,D68)</f>
        <v>42495</v>
      </c>
      <c r="F68" s="54">
        <f>_xll.qlInterestRateIndexMaturity(K68,E68)</f>
        <v>57105</v>
      </c>
      <c r="G68" s="61">
        <f>_xll.qlIndexFixing(K68,D68,TRUE,AllTriggers)</f>
        <v>2.2389999999971519E-2</v>
      </c>
      <c r="H68" s="61" t="str">
        <f t="shared" si="1"/>
        <v>USD_CURVE_STD_40Y</v>
      </c>
      <c r="I68" s="61" t="s">
        <v>180</v>
      </c>
      <c r="J68" s="51"/>
      <c r="K68" s="52" t="str">
        <f>_xll.qlSwapIndex(,"No Fix",B68,SettlementDays,Currency,JoinCalendar,FixedLegTenor,FixedLegBDC,FixedLegDayCounter,IborIndex,YieldCurve,,Trigger)</f>
        <v>obj_00384#0000</v>
      </c>
      <c r="N68" s="4"/>
      <c r="O68" s="4"/>
      <c r="P68" s="4"/>
    </row>
    <row r="69" spans="1:16" x14ac:dyDescent="0.2">
      <c r="A69" s="2"/>
      <c r="B69" s="46" t="s">
        <v>88</v>
      </c>
      <c r="C69" s="53" t="s">
        <v>92</v>
      </c>
      <c r="D69" s="54">
        <f t="shared" si="0"/>
        <v>42493</v>
      </c>
      <c r="E69" s="54">
        <f>_xll.qlInterestRateIndexValueDate(K69,D69)</f>
        <v>42495</v>
      </c>
      <c r="F69" s="54">
        <f>_xll.qlInterestRateIndexMaturity(K69,E69)</f>
        <v>60757</v>
      </c>
      <c r="G69" s="61">
        <f>_xll.qlIndexFixing(K69,D69,TRUE,AllTriggers)</f>
        <v>2.2239999999992242E-2</v>
      </c>
      <c r="H69" s="61" t="str">
        <f t="shared" si="1"/>
        <v>USD_CURVE_STD_50Y</v>
      </c>
      <c r="I69" s="61" t="s">
        <v>181</v>
      </c>
      <c r="J69" s="51"/>
      <c r="K69" s="52" t="str">
        <f>_xll.qlSwapIndex(,"No Fix",B69,SettlementDays,Currency,JoinCalendar,FixedLegTenor,FixedLegBDC,FixedLegDayCounter,IborIndex,YieldCurve,,Trigger)</f>
        <v>obj_00375#0000</v>
      </c>
    </row>
    <row r="70" spans="1:16" x14ac:dyDescent="0.2">
      <c r="A70" s="2"/>
      <c r="B70" s="47" t="s">
        <v>89</v>
      </c>
      <c r="C70" s="55" t="s">
        <v>92</v>
      </c>
      <c r="D70" s="56">
        <f t="shared" si="0"/>
        <v>42493</v>
      </c>
      <c r="E70" s="56">
        <f>_xll.qlInterestRateIndexValueDate(K70,D70)</f>
        <v>42495</v>
      </c>
      <c r="F70" s="56">
        <f>_xll.qlInterestRateIndexMaturity(K70,E70)</f>
        <v>64410</v>
      </c>
      <c r="G70" s="57">
        <f>_xll.qlIndexFixing(K70,D70,TRUE,AllTriggers)</f>
        <v>2.210648608052606E-2</v>
      </c>
      <c r="H70" s="57" t="str">
        <f t="shared" si="1"/>
        <v>USD_CURVE_STD_60Y</v>
      </c>
      <c r="I70" s="57" t="s">
        <v>182</v>
      </c>
      <c r="J70" s="51"/>
      <c r="K70" s="58" t="str">
        <f>_xll.qlSwapIndex(,"No Fix",B70,SettlementDays,Currency,JoinCalendar,FixedLegTenor,FixedLegBDC,FixedLegDayCounter,IborIndex,YieldCurve,,Trigger)</f>
        <v>obj_00358#0000</v>
      </c>
    </row>
  </sheetData>
  <dataValidations disablePrompts="1" count="2">
    <dataValidation type="list" allowBlank="1" showInputMessage="1" showErrorMessage="1" sqref="O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58</vt:i4>
      </vt:variant>
    </vt:vector>
  </HeadingPairs>
  <TitlesOfParts>
    <vt:vector size="67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EvaluationDate</vt:lpstr>
      <vt:lpstr>Contribution!Fields</vt:lpstr>
      <vt:lpstr>'Contribution (2)'!Fields</vt:lpstr>
      <vt:lpstr>FirstLiborFixingDate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JoinCalendar</vt:lpstr>
      <vt:lpstr>LiborCalendar</vt:lpstr>
      <vt:lpstr>LocalCalendar</vt:lpstr>
      <vt:lpstr>'ON Pricing'!OvernightIndex</vt:lpstr>
      <vt:lpstr>SettlementDays</vt:lpstr>
      <vt:lpstr>Contribution!SourceAlias</vt:lpstr>
      <vt:lpstr>'Contribution (2)'!SourceAlias</vt:lpstr>
      <vt:lpstr>SwapFixingDate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2016-04-28T15:36:01Z</dcterms:modified>
</cp:coreProperties>
</file>