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165" windowHeight="9330" tabRatio="695" activeTab="1"/>
  </bookViews>
  <sheets>
    <sheet name="General Settings" sheetId="29" r:id="rId1"/>
    <sheet name="SynthDepo" sheetId="32" r:id="rId2"/>
    <sheet name="RateHelpersFra" sheetId="34" r:id="rId3"/>
    <sheet name="SynthFra" sheetId="35" r:id="rId4"/>
    <sheet name="Contribution" sheetId="33" r:id="rId5"/>
    <sheet name="FRACharts" sheetId="36" r:id="rId6"/>
    <sheet name="3M Depo Charts" sheetId="37" r:id="rId7"/>
  </sheets>
  <externalReferences>
    <externalReference r:id="rId8"/>
  </externalReferences>
  <definedNames>
    <definedName name="Accuracy">'General Settings'!$D$30</definedName>
    <definedName name="AllTriggers">'General Settings'!$J$18:$J$22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4">Contribution!$N$3:$N$84</definedName>
    <definedName name="QuoteLive" localSheetId="4">Contribution!$J$3:$J$84</definedName>
    <definedName name="QuoteStatic" localSheetId="4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P10" i="32" l="1"/>
  <c r="P11" i="32"/>
  <c r="P12" i="32"/>
  <c r="P13" i="32"/>
  <c r="P14" i="32"/>
  <c r="P6" i="32"/>
  <c r="P7" i="32"/>
  <c r="P8" i="32"/>
  <c r="P9" i="32"/>
  <c r="F4" i="37"/>
  <c r="G3" i="37"/>
  <c r="G4" i="37"/>
  <c r="AB30" i="32"/>
  <c r="AC30" i="32"/>
  <c r="AE30" i="32"/>
  <c r="AB31" i="32"/>
  <c r="AC31" i="32"/>
  <c r="AE31" i="32"/>
  <c r="AB32" i="32"/>
  <c r="AC32" i="32"/>
  <c r="AE32" i="32"/>
  <c r="AB33" i="32"/>
  <c r="AC33" i="32"/>
  <c r="AE33" i="32"/>
  <c r="AB34" i="32"/>
  <c r="AC34" i="32"/>
  <c r="AE34" i="32"/>
  <c r="AB35" i="32"/>
  <c r="AC35" i="32"/>
  <c r="AE35" i="32"/>
  <c r="AB36" i="32"/>
  <c r="AC36" i="32"/>
  <c r="AE36" i="32"/>
  <c r="AB37" i="32"/>
  <c r="AC37" i="32"/>
  <c r="AE37" i="32"/>
  <c r="AB38" i="32"/>
  <c r="AC38" i="32"/>
  <c r="AE38" i="32"/>
  <c r="AB39" i="32"/>
  <c r="AC39" i="32"/>
  <c r="AE39" i="32"/>
  <c r="AB40" i="32"/>
  <c r="AC40" i="32"/>
  <c r="AE40" i="32"/>
  <c r="AB41" i="32"/>
  <c r="AC41" i="32"/>
  <c r="AE41" i="32"/>
  <c r="AB42" i="32"/>
  <c r="AC42" i="32"/>
  <c r="AE42" i="32"/>
  <c r="AB43" i="32"/>
  <c r="AC43" i="32"/>
  <c r="AE43" i="32"/>
  <c r="AB44" i="32"/>
  <c r="AC44" i="32"/>
  <c r="AE44" i="32"/>
  <c r="AB45" i="32"/>
  <c r="AC45" i="32"/>
  <c r="AE45" i="32"/>
  <c r="AB46" i="32"/>
  <c r="AC46" i="32"/>
  <c r="AE46" i="32"/>
  <c r="AB47" i="32"/>
  <c r="AC47" i="32"/>
  <c r="AE47" i="32"/>
  <c r="AB48" i="32"/>
  <c r="AC48" i="32"/>
  <c r="AE48" i="32"/>
  <c r="AB49" i="32"/>
  <c r="AC49" i="32"/>
  <c r="AE49" i="32"/>
  <c r="AB50" i="32"/>
  <c r="AC50" i="32"/>
  <c r="AE50" i="32"/>
  <c r="AB51" i="32"/>
  <c r="AC51" i="32"/>
  <c r="AE51" i="32"/>
  <c r="AB52" i="32"/>
  <c r="AC52" i="32"/>
  <c r="AE52" i="32"/>
  <c r="AB53" i="32"/>
  <c r="AC53" i="32"/>
  <c r="AE53" i="32"/>
  <c r="AB54" i="32"/>
  <c r="AC54" i="32"/>
  <c r="AE54" i="32"/>
  <c r="AB55" i="32"/>
  <c r="AC55" i="32"/>
  <c r="AE55" i="32"/>
  <c r="AB56" i="32"/>
  <c r="AC56" i="32"/>
  <c r="AE56" i="32"/>
  <c r="AB57" i="32"/>
  <c r="AC57" i="32"/>
  <c r="AE57" i="32"/>
  <c r="AB58" i="32"/>
  <c r="AC58" i="32"/>
  <c r="AE58" i="32"/>
  <c r="AB59" i="32"/>
  <c r="AC59" i="32"/>
  <c r="AE59" i="32"/>
  <c r="AB60" i="32"/>
  <c r="AC60" i="32"/>
  <c r="AE60" i="32"/>
  <c r="AB61" i="32"/>
  <c r="AC61" i="32"/>
  <c r="AE61" i="32"/>
  <c r="AB62" i="32"/>
  <c r="AC62" i="32"/>
  <c r="AE62" i="32"/>
  <c r="AB63" i="32"/>
  <c r="AC63" i="32"/>
  <c r="AE63" i="32"/>
  <c r="AB64" i="32"/>
  <c r="AC64" i="32"/>
  <c r="AE64" i="32"/>
  <c r="AB65" i="32"/>
  <c r="AC65" i="32"/>
  <c r="AE65" i="32"/>
  <c r="AB66" i="32"/>
  <c r="AC66" i="32"/>
  <c r="AE66" i="32"/>
  <c r="AB67" i="32"/>
  <c r="AC67" i="32"/>
  <c r="AE67" i="32"/>
  <c r="AB68" i="32"/>
  <c r="AC68" i="32"/>
  <c r="AE68" i="32"/>
  <c r="AB69" i="32"/>
  <c r="AC69" i="32"/>
  <c r="AE69" i="32"/>
  <c r="AB70" i="32"/>
  <c r="AC70" i="32"/>
  <c r="AE70" i="32"/>
  <c r="AB71" i="32"/>
  <c r="AC71" i="32"/>
  <c r="AE71" i="32"/>
  <c r="AB72" i="32"/>
  <c r="AC72" i="32"/>
  <c r="AE72" i="32"/>
  <c r="AB73" i="32"/>
  <c r="AC73" i="32"/>
  <c r="AE73" i="32"/>
  <c r="AB74" i="32"/>
  <c r="AC74" i="32"/>
  <c r="AE74" i="32"/>
  <c r="AB75" i="32"/>
  <c r="AC75" i="32"/>
  <c r="AE75" i="32"/>
  <c r="AB76" i="32"/>
  <c r="AC76" i="32"/>
  <c r="AE76" i="32"/>
  <c r="AB77" i="32"/>
  <c r="AC77" i="32"/>
  <c r="AE77" i="32"/>
  <c r="AB78" i="32"/>
  <c r="AC78" i="32"/>
  <c r="AE78" i="32"/>
  <c r="AB79" i="32"/>
  <c r="AC79" i="32"/>
  <c r="AE79" i="32"/>
  <c r="AB80" i="32"/>
  <c r="AC80" i="32"/>
  <c r="AE80" i="32"/>
  <c r="AB81" i="32"/>
  <c r="AC81" i="32"/>
  <c r="AE81" i="32"/>
  <c r="AB82" i="32"/>
  <c r="AC82" i="32"/>
  <c r="AE82" i="32"/>
  <c r="AB83" i="32"/>
  <c r="AC83" i="32"/>
  <c r="AE83" i="32"/>
  <c r="AB84" i="32"/>
  <c r="AC84" i="32"/>
  <c r="AE84" i="32"/>
  <c r="AB85" i="32"/>
  <c r="AC85" i="32"/>
  <c r="AE85" i="32"/>
  <c r="AB86" i="32"/>
  <c r="AC86" i="32"/>
  <c r="AE86" i="32"/>
  <c r="AB87" i="32"/>
  <c r="AC87" i="32"/>
  <c r="AE87" i="32"/>
  <c r="AB88" i="32"/>
  <c r="AC88" i="32"/>
  <c r="AE88" i="32"/>
  <c r="AB89" i="32"/>
  <c r="AC89" i="32"/>
  <c r="AE89" i="32"/>
  <c r="AB90" i="32"/>
  <c r="AC90" i="32"/>
  <c r="AE90" i="32"/>
  <c r="AB91" i="32"/>
  <c r="AC91" i="32"/>
  <c r="AE91" i="32"/>
  <c r="AB92" i="32"/>
  <c r="AC92" i="32"/>
  <c r="AE92" i="32"/>
  <c r="AB93" i="32"/>
  <c r="AC93" i="32"/>
  <c r="AE93" i="32"/>
  <c r="AB94" i="32"/>
  <c r="AC94" i="32"/>
  <c r="AE94" i="32"/>
  <c r="AB95" i="32"/>
  <c r="AC95" i="32"/>
  <c r="AE95" i="32"/>
  <c r="AB96" i="32"/>
  <c r="AC96" i="32"/>
  <c r="AE96" i="32"/>
  <c r="C17" i="37"/>
  <c r="K9" i="37"/>
  <c r="L9" i="37"/>
  <c r="L13" i="37" s="1"/>
  <c r="J4" i="37"/>
  <c r="K4" i="37"/>
  <c r="K10" i="37" s="1"/>
  <c r="L4" i="37"/>
  <c r="L10" i="37" s="1"/>
  <c r="M4" i="37"/>
  <c r="N4" i="37"/>
  <c r="O4" i="37"/>
  <c r="P4" i="37"/>
  <c r="J5" i="37"/>
  <c r="K5" i="37"/>
  <c r="L5" i="37"/>
  <c r="N5" i="37"/>
  <c r="P5" i="37"/>
  <c r="K3" i="37"/>
  <c r="L3" i="37"/>
  <c r="N3" i="37"/>
  <c r="P3" i="37"/>
  <c r="J3" i="37"/>
  <c r="B5" i="37"/>
  <c r="B4" i="37"/>
  <c r="P13" i="37"/>
  <c r="P10" i="37"/>
  <c r="G5" i="37"/>
  <c r="F3" i="37"/>
  <c r="F5" i="37"/>
  <c r="E3" i="37"/>
  <c r="E4" i="37"/>
  <c r="E5" i="37"/>
  <c r="D3" i="37"/>
  <c r="D4" i="37"/>
  <c r="D5" i="37"/>
  <c r="C3" i="37"/>
  <c r="C4" i="37"/>
  <c r="C5" i="37"/>
  <c r="D11" i="36"/>
  <c r="C18" i="37"/>
  <c r="C19" i="37"/>
  <c r="C20" i="37"/>
  <c r="E11" i="36"/>
  <c r="F11" i="36"/>
  <c r="C21" i="37"/>
  <c r="C22" i="37"/>
  <c r="C23" i="37"/>
  <c r="C24" i="37"/>
  <c r="C25" i="37"/>
  <c r="C26" i="37"/>
  <c r="C27" i="37"/>
  <c r="C28" i="37"/>
  <c r="C29" i="37"/>
  <c r="C30" i="37"/>
  <c r="C31" i="37"/>
  <c r="C32" i="37"/>
  <c r="C33" i="37"/>
  <c r="C34" i="37"/>
  <c r="C35" i="37"/>
  <c r="C36" i="37"/>
  <c r="C37" i="37"/>
  <c r="C38" i="37"/>
  <c r="C39" i="37"/>
  <c r="C40" i="37"/>
  <c r="C41" i="37"/>
  <c r="C42" i="37"/>
  <c r="C43" i="37"/>
  <c r="C44" i="37"/>
  <c r="C45" i="37"/>
  <c r="C46" i="37"/>
  <c r="C47" i="37"/>
  <c r="C48" i="37"/>
  <c r="C49" i="37"/>
  <c r="C50" i="37"/>
  <c r="C51" i="37"/>
  <c r="C52" i="37"/>
  <c r="C53" i="37"/>
  <c r="C54" i="37"/>
  <c r="C55" i="37"/>
  <c r="C56" i="37"/>
  <c r="C57" i="37"/>
  <c r="C58" i="37"/>
  <c r="C59" i="37"/>
  <c r="C60" i="37"/>
  <c r="C61" i="37"/>
  <c r="C62" i="37"/>
  <c r="C63" i="37"/>
  <c r="C64" i="37"/>
  <c r="C65" i="37"/>
  <c r="C66" i="37"/>
  <c r="C67" i="37"/>
  <c r="C68" i="37"/>
  <c r="C69" i="37"/>
  <c r="C70" i="37"/>
  <c r="C71" i="37"/>
  <c r="C72" i="37"/>
  <c r="C73" i="37"/>
  <c r="C74" i="37"/>
  <c r="C75" i="37"/>
  <c r="C76" i="37"/>
  <c r="C77" i="37"/>
  <c r="C78" i="37"/>
  <c r="C79" i="37"/>
  <c r="C80" i="37"/>
  <c r="C81" i="37"/>
  <c r="C82" i="37"/>
  <c r="C83" i="37"/>
  <c r="P9" i="37" l="1"/>
  <c r="R9" i="37" a="1"/>
  <c r="N13" i="37"/>
  <c r="D64" i="37" s="1"/>
  <c r="F17" i="37"/>
  <c r="D24" i="37"/>
  <c r="D32" i="37"/>
  <c r="D40" i="37"/>
  <c r="D48" i="37"/>
  <c r="D25" i="37"/>
  <c r="D57" i="37"/>
  <c r="D65" i="37"/>
  <c r="D81" i="37"/>
  <c r="D26" i="37"/>
  <c r="D34" i="37"/>
  <c r="D42" i="37"/>
  <c r="D50" i="37"/>
  <c r="D66" i="37"/>
  <c r="D74" i="37"/>
  <c r="D27" i="37"/>
  <c r="D35" i="37"/>
  <c r="D43" i="37"/>
  <c r="D67" i="37"/>
  <c r="D75" i="37"/>
  <c r="D17" i="37"/>
  <c r="D36" i="37"/>
  <c r="D52" i="37"/>
  <c r="D60" i="37"/>
  <c r="D68" i="37"/>
  <c r="D76" i="37"/>
  <c r="D21" i="37"/>
  <c r="D29" i="37"/>
  <c r="D37" i="37"/>
  <c r="D45" i="37"/>
  <c r="D53" i="37"/>
  <c r="D61" i="37"/>
  <c r="D22" i="37"/>
  <c r="D54" i="37"/>
  <c r="D30" i="37"/>
  <c r="D62" i="37"/>
  <c r="D31" i="37"/>
  <c r="D63" i="37"/>
  <c r="D38" i="37"/>
  <c r="D39" i="37"/>
  <c r="D71" i="37"/>
  <c r="D46" i="37"/>
  <c r="D47" i="37"/>
  <c r="R9" i="37"/>
  <c r="S9" i="37"/>
  <c r="R10" i="37"/>
  <c r="S10" i="37"/>
  <c r="F83" i="37"/>
  <c r="F82" i="37"/>
  <c r="F81" i="37"/>
  <c r="F80" i="37"/>
  <c r="F79" i="37"/>
  <c r="F78" i="37"/>
  <c r="F77" i="37"/>
  <c r="F76" i="37"/>
  <c r="F75" i="37"/>
  <c r="F74" i="37"/>
  <c r="F73" i="37"/>
  <c r="F72" i="37"/>
  <c r="F71" i="37"/>
  <c r="F70" i="37"/>
  <c r="F69" i="37"/>
  <c r="F68" i="37"/>
  <c r="F67" i="37"/>
  <c r="F66" i="37"/>
  <c r="F65" i="37"/>
  <c r="F64" i="37"/>
  <c r="F63" i="37"/>
  <c r="F62" i="37"/>
  <c r="F61" i="37"/>
  <c r="F60" i="37"/>
  <c r="F59" i="37"/>
  <c r="F58" i="37"/>
  <c r="F57" i="37"/>
  <c r="F56" i="37"/>
  <c r="F55" i="37"/>
  <c r="F54" i="37"/>
  <c r="F53" i="37"/>
  <c r="F52" i="37"/>
  <c r="F51" i="37"/>
  <c r="F50" i="37"/>
  <c r="F49" i="37"/>
  <c r="F48" i="37"/>
  <c r="F47" i="37"/>
  <c r="F46" i="37"/>
  <c r="F45" i="37"/>
  <c r="F44" i="37"/>
  <c r="F43" i="37"/>
  <c r="F42" i="37"/>
  <c r="F41" i="37"/>
  <c r="F40" i="37"/>
  <c r="F39" i="37"/>
  <c r="F38" i="37"/>
  <c r="F37" i="37"/>
  <c r="F36" i="37"/>
  <c r="F35" i="37"/>
  <c r="F34" i="37"/>
  <c r="F33" i="37"/>
  <c r="F32" i="37"/>
  <c r="F31" i="37"/>
  <c r="F30" i="37"/>
  <c r="F29" i="37"/>
  <c r="F28" i="37"/>
  <c r="F27" i="37"/>
  <c r="F26" i="37"/>
  <c r="F25" i="37"/>
  <c r="F24" i="37"/>
  <c r="F23" i="37"/>
  <c r="F22" i="37"/>
  <c r="F21" i="37"/>
  <c r="F20" i="37"/>
  <c r="F19" i="37"/>
  <c r="F18" i="37"/>
  <c r="B12" i="36"/>
  <c r="D12" i="36"/>
  <c r="E12" i="36"/>
  <c r="F12" i="36"/>
  <c r="D73" i="37" l="1"/>
  <c r="D80" i="37"/>
  <c r="D28" i="37"/>
  <c r="D59" i="37"/>
  <c r="D18" i="37"/>
  <c r="D49" i="37"/>
  <c r="D72" i="37"/>
  <c r="D79" i="37"/>
  <c r="D70" i="37"/>
  <c r="D55" i="37"/>
  <c r="D69" i="37"/>
  <c r="D20" i="37"/>
  <c r="D51" i="37"/>
  <c r="D82" i="37"/>
  <c r="D41" i="37"/>
  <c r="D56" i="37"/>
  <c r="D78" i="37"/>
  <c r="D23" i="37"/>
  <c r="D77" i="37"/>
  <c r="D44" i="37"/>
  <c r="D83" i="37"/>
  <c r="D19" i="37"/>
  <c r="D58" i="37"/>
  <c r="D33" i="37"/>
  <c r="N9" i="37" a="1"/>
  <c r="B13" i="36"/>
  <c r="D13" i="36"/>
  <c r="E13" i="36"/>
  <c r="F13" i="36"/>
  <c r="N9" i="37" l="1"/>
  <c r="N10" i="37"/>
  <c r="B14" i="36"/>
  <c r="D14" i="36"/>
  <c r="E14" i="36"/>
  <c r="F14" i="36"/>
  <c r="E17" i="37" l="1"/>
  <c r="E81" i="37"/>
  <c r="E73" i="37"/>
  <c r="E65" i="37"/>
  <c r="E57" i="37"/>
  <c r="E49" i="37"/>
  <c r="E41" i="37"/>
  <c r="E33" i="37"/>
  <c r="E25" i="37"/>
  <c r="E77" i="37"/>
  <c r="E69" i="37"/>
  <c r="E61" i="37"/>
  <c r="E53" i="37"/>
  <c r="E45" i="37"/>
  <c r="E37" i="37"/>
  <c r="E29" i="37"/>
  <c r="E21" i="37"/>
  <c r="E80" i="37"/>
  <c r="E72" i="37"/>
  <c r="E64" i="37"/>
  <c r="E56" i="37"/>
  <c r="E48" i="37"/>
  <c r="E40" i="37"/>
  <c r="E32" i="37"/>
  <c r="E24" i="37"/>
  <c r="E76" i="37"/>
  <c r="E68" i="37"/>
  <c r="E60" i="37"/>
  <c r="E52" i="37"/>
  <c r="E44" i="37"/>
  <c r="E28" i="37"/>
  <c r="E39" i="37"/>
  <c r="E59" i="37"/>
  <c r="E47" i="37"/>
  <c r="E27" i="37"/>
  <c r="E23" i="37"/>
  <c r="E78" i="37"/>
  <c r="E82" i="37"/>
  <c r="E74" i="37"/>
  <c r="E70" i="37"/>
  <c r="E66" i="37"/>
  <c r="E62" i="37"/>
  <c r="E54" i="37"/>
  <c r="E46" i="37"/>
  <c r="E38" i="37"/>
  <c r="E36" i="37"/>
  <c r="E20" i="37"/>
  <c r="E79" i="37"/>
  <c r="E31" i="37"/>
  <c r="E83" i="37"/>
  <c r="E75" i="37"/>
  <c r="E71" i="37"/>
  <c r="E67" i="37"/>
  <c r="E63" i="37"/>
  <c r="E55" i="37"/>
  <c r="E51" i="37"/>
  <c r="E43" i="37"/>
  <c r="E35" i="37"/>
  <c r="E19" i="37"/>
  <c r="E30" i="37"/>
  <c r="E58" i="37"/>
  <c r="E50" i="37"/>
  <c r="E42" i="37"/>
  <c r="E34" i="37"/>
  <c r="E26" i="37"/>
  <c r="E22" i="37"/>
  <c r="E18" i="37"/>
  <c r="B15" i="36"/>
  <c r="D15" i="36"/>
  <c r="E15" i="36"/>
  <c r="F15" i="36"/>
  <c r="B16" i="36"/>
  <c r="D16" i="36"/>
  <c r="E16" i="36"/>
  <c r="F16" i="36"/>
  <c r="B17" i="36"/>
  <c r="D17" i="36"/>
  <c r="E17" i="36"/>
  <c r="F17" i="36"/>
  <c r="B18" i="36"/>
  <c r="D18" i="36"/>
  <c r="E18" i="36"/>
  <c r="F18" i="36"/>
  <c r="B19" i="36"/>
  <c r="D19" i="36"/>
  <c r="E19" i="36"/>
  <c r="F19" i="36"/>
  <c r="B20" i="36"/>
  <c r="D20" i="36"/>
  <c r="E20" i="36"/>
  <c r="F20" i="36"/>
  <c r="B21" i="36"/>
  <c r="D21" i="36"/>
  <c r="E21" i="36"/>
  <c r="F21" i="36"/>
  <c r="B22" i="36"/>
  <c r="D22" i="36"/>
  <c r="E22" i="36"/>
  <c r="F22" i="36"/>
  <c r="B23" i="36"/>
  <c r="D23" i="36"/>
  <c r="E23" i="36"/>
  <c r="F23" i="36"/>
  <c r="B24" i="36"/>
  <c r="D24" i="36"/>
  <c r="E24" i="36"/>
  <c r="F24" i="36"/>
  <c r="B25" i="36"/>
  <c r="D25" i="36"/>
  <c r="E25" i="36"/>
  <c r="F25" i="36"/>
  <c r="B26" i="36"/>
  <c r="D26" i="36"/>
  <c r="E26" i="36"/>
  <c r="F26" i="36"/>
  <c r="B27" i="36"/>
  <c r="D27" i="36"/>
  <c r="E27" i="36"/>
  <c r="F27" i="36"/>
  <c r="B28" i="36"/>
  <c r="D28" i="36"/>
  <c r="E28" i="36"/>
  <c r="F28" i="36"/>
  <c r="B29" i="36"/>
  <c r="D29" i="36"/>
  <c r="E29" i="36"/>
  <c r="F29" i="36"/>
  <c r="B30" i="36"/>
  <c r="D30" i="36"/>
  <c r="E30" i="36"/>
  <c r="F30" i="36"/>
  <c r="B31" i="36"/>
  <c r="D31" i="36"/>
  <c r="E31" i="36"/>
  <c r="F31" i="36"/>
  <c r="B32" i="36"/>
  <c r="D32" i="36"/>
  <c r="E32" i="36"/>
  <c r="F32" i="36"/>
  <c r="B33" i="36"/>
  <c r="D33" i="36"/>
  <c r="E33" i="36"/>
  <c r="F33" i="36"/>
  <c r="B34" i="36"/>
  <c r="D34" i="36"/>
  <c r="E34" i="36"/>
  <c r="F34" i="36"/>
  <c r="B35" i="36"/>
  <c r="D35" i="36"/>
  <c r="E35" i="36"/>
  <c r="F35" i="36"/>
  <c r="B36" i="36"/>
  <c r="D36" i="36"/>
  <c r="E36" i="36"/>
  <c r="F36" i="36"/>
  <c r="B37" i="36"/>
  <c r="D37" i="36"/>
  <c r="E37" i="36"/>
  <c r="F37" i="36"/>
  <c r="B38" i="36"/>
  <c r="D38" i="36"/>
  <c r="E38" i="36"/>
  <c r="F38" i="36"/>
  <c r="B39" i="36"/>
  <c r="D39" i="36"/>
  <c r="E39" i="36"/>
  <c r="F39" i="36"/>
  <c r="B40" i="36"/>
  <c r="D40" i="36"/>
  <c r="E40" i="36"/>
  <c r="F40" i="36"/>
  <c r="B41" i="36"/>
  <c r="D41" i="36"/>
  <c r="E41" i="36"/>
  <c r="F41" i="36"/>
  <c r="B42" i="36"/>
  <c r="D42" i="36"/>
  <c r="E42" i="36"/>
  <c r="F42" i="36"/>
  <c r="B43" i="36"/>
  <c r="D43" i="36"/>
  <c r="E43" i="36"/>
  <c r="F43" i="36"/>
  <c r="B44" i="36"/>
  <c r="D44" i="36"/>
  <c r="E44" i="36"/>
  <c r="F44" i="36"/>
  <c r="B45" i="36"/>
  <c r="D45" i="36"/>
  <c r="E45" i="36"/>
  <c r="F45" i="36"/>
  <c r="B46" i="36"/>
  <c r="D46" i="36"/>
  <c r="E46" i="36"/>
  <c r="F46" i="36"/>
  <c r="B47" i="36"/>
  <c r="D47" i="36"/>
  <c r="E47" i="36"/>
  <c r="F47" i="36"/>
  <c r="B48" i="36"/>
  <c r="D48" i="36"/>
  <c r="E48" i="36"/>
  <c r="F48" i="36"/>
  <c r="B49" i="36"/>
  <c r="D49" i="36"/>
  <c r="E49" i="36"/>
  <c r="F49" i="36"/>
  <c r="B50" i="36"/>
  <c r="D50" i="36"/>
  <c r="E50" i="36"/>
  <c r="F50" i="36"/>
  <c r="B51" i="36"/>
  <c r="D51" i="36"/>
  <c r="E51" i="36"/>
  <c r="F51" i="36"/>
  <c r="B52" i="36"/>
  <c r="D52" i="36"/>
  <c r="E52" i="36"/>
  <c r="F52" i="36"/>
  <c r="B53" i="36"/>
  <c r="D53" i="36"/>
  <c r="E53" i="36"/>
  <c r="F53" i="36"/>
  <c r="B54" i="36"/>
  <c r="D54" i="36"/>
  <c r="E54" i="36"/>
  <c r="F54" i="36"/>
  <c r="B55" i="36"/>
  <c r="D55" i="36"/>
  <c r="E55" i="36"/>
  <c r="F55" i="36"/>
  <c r="B56" i="36"/>
  <c r="D56" i="36"/>
  <c r="E56" i="36"/>
  <c r="F56" i="36"/>
  <c r="B57" i="36"/>
  <c r="D57" i="36"/>
  <c r="E57" i="36"/>
  <c r="F57" i="36"/>
  <c r="B58" i="36"/>
  <c r="D58" i="36"/>
  <c r="E58" i="36"/>
  <c r="F58" i="36"/>
  <c r="B59" i="36"/>
  <c r="D59" i="36"/>
  <c r="H11" i="36" a="1"/>
  <c r="E59" i="36"/>
  <c r="F59" i="36"/>
  <c r="H18" i="36" l="1"/>
  <c r="H27" i="36"/>
  <c r="H36" i="36"/>
  <c r="H53" i="36"/>
  <c r="H23" i="36"/>
  <c r="H40" i="36"/>
  <c r="H57" i="36"/>
  <c r="H26" i="36"/>
  <c r="H35" i="36"/>
  <c r="H44" i="36"/>
  <c r="H14" i="36"/>
  <c r="H31" i="36"/>
  <c r="H48" i="36"/>
  <c r="H34" i="36"/>
  <c r="H43" i="36"/>
  <c r="H52" i="36"/>
  <c r="H22" i="36"/>
  <c r="H39" i="36"/>
  <c r="H56" i="36"/>
  <c r="H42" i="36"/>
  <c r="H51" i="36"/>
  <c r="H13" i="36"/>
  <c r="H30" i="36"/>
  <c r="H47" i="36"/>
  <c r="H17" i="36"/>
  <c r="H50" i="36"/>
  <c r="H59" i="36"/>
  <c r="H21" i="36"/>
  <c r="H38" i="36"/>
  <c r="H55" i="36"/>
  <c r="H25" i="36"/>
  <c r="H58" i="36"/>
  <c r="H12" i="36"/>
  <c r="H29" i="36"/>
  <c r="H46" i="36"/>
  <c r="H16" i="36"/>
  <c r="H33" i="36"/>
  <c r="H11" i="36"/>
  <c r="H20" i="36"/>
  <c r="H37" i="36"/>
  <c r="H54" i="36"/>
  <c r="H24" i="36"/>
  <c r="H41" i="36"/>
  <c r="H19" i="36"/>
  <c r="H28" i="36"/>
  <c r="H45" i="36"/>
  <c r="H15" i="36"/>
  <c r="H32" i="36"/>
  <c r="H49" i="36"/>
  <c r="J22" i="29" l="1"/>
  <c r="J19" i="29"/>
  <c r="I9" i="32" l="1"/>
  <c r="I8" i="32"/>
  <c r="I18" i="32"/>
  <c r="I17" i="32"/>
  <c r="I75" i="33" l="1"/>
  <c r="I76" i="33"/>
  <c r="I77" i="33"/>
  <c r="I78" i="33"/>
  <c r="I79" i="33"/>
  <c r="I80" i="33"/>
  <c r="I81" i="33"/>
  <c r="I82" i="33"/>
  <c r="I83" i="33"/>
  <c r="I84" i="33"/>
  <c r="I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42" i="33"/>
  <c r="D71" i="33"/>
  <c r="D69" i="33"/>
  <c r="D76" i="33"/>
  <c r="D73" i="33"/>
  <c r="D41" i="33"/>
  <c r="D82" i="33"/>
  <c r="D84" i="33"/>
  <c r="D58" i="33"/>
  <c r="D74" i="33"/>
  <c r="D60" i="33"/>
  <c r="D79" i="33"/>
  <c r="D57" i="33"/>
  <c r="D45" i="33"/>
  <c r="D47" i="33"/>
  <c r="D50" i="33"/>
  <c r="D55" i="33"/>
  <c r="D62" i="33"/>
  <c r="D70" i="33"/>
  <c r="D49" i="33"/>
  <c r="D65" i="33"/>
  <c r="D54" i="33"/>
  <c r="D52" i="33"/>
  <c r="D59" i="33"/>
  <c r="D81" i="33"/>
  <c r="D63" i="33"/>
  <c r="D51" i="33"/>
  <c r="D72" i="33"/>
  <c r="D75" i="33"/>
  <c r="D61" i="33"/>
  <c r="D68" i="33"/>
  <c r="D67" i="33"/>
  <c r="D43" i="33"/>
  <c r="D46" i="33"/>
  <c r="D44" i="33"/>
  <c r="D53" i="33"/>
  <c r="D77" i="33"/>
  <c r="D48" i="33"/>
  <c r="D80" i="33"/>
  <c r="D64" i="33"/>
  <c r="D78" i="33"/>
  <c r="D66" i="33"/>
  <c r="D56" i="33"/>
  <c r="D83" i="33"/>
  <c r="C9" i="33" l="1"/>
  <c r="C12" i="33"/>
  <c r="C13" i="33"/>
  <c r="C8" i="33"/>
  <c r="C14" i="33"/>
  <c r="C11" i="33"/>
  <c r="C10" i="33"/>
  <c r="A16" i="33"/>
  <c r="A26" i="33"/>
  <c r="A4" i="33"/>
  <c r="A3" i="32"/>
  <c r="A16" i="32"/>
  <c r="A26" i="32"/>
  <c r="A7" i="32"/>
  <c r="E83" i="33"/>
  <c r="E81" i="33"/>
  <c r="E47" i="33"/>
  <c r="E46" i="33"/>
  <c r="E60" i="33"/>
  <c r="E79" i="33"/>
  <c r="E55" i="33"/>
  <c r="E73" i="33"/>
  <c r="E57" i="33"/>
  <c r="E65" i="33"/>
  <c r="E58" i="33"/>
  <c r="E42" i="33"/>
  <c r="E53" i="33"/>
  <c r="E48" i="33"/>
  <c r="E64" i="33"/>
  <c r="E54" i="33"/>
  <c r="E44" i="33"/>
  <c r="E49" i="33"/>
  <c r="E61" i="33"/>
  <c r="E41" i="33"/>
  <c r="E75" i="33"/>
  <c r="E71" i="33"/>
  <c r="E45" i="33"/>
  <c r="E78" i="33"/>
  <c r="E43" i="33"/>
  <c r="E84" i="33"/>
  <c r="E63" i="33"/>
  <c r="E70" i="33"/>
  <c r="E80" i="33"/>
  <c r="E56" i="33"/>
  <c r="E74" i="33"/>
  <c r="E76" i="33"/>
  <c r="E66" i="33"/>
  <c r="E72" i="33"/>
  <c r="E59" i="33"/>
  <c r="E50" i="33"/>
  <c r="E62" i="33"/>
  <c r="E82" i="33"/>
  <c r="E51" i="33"/>
  <c r="E69" i="33"/>
  <c r="E68" i="33"/>
  <c r="E52" i="33"/>
  <c r="E77" i="33"/>
  <c r="E67" i="33"/>
  <c r="D25" i="32" l="1"/>
  <c r="C5" i="33"/>
  <c r="C3" i="33"/>
  <c r="C6" i="33"/>
  <c r="C4" i="33"/>
  <c r="C7" i="33"/>
  <c r="D15" i="32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D2" i="32"/>
  <c r="C20" i="33"/>
  <c r="C22" i="33"/>
  <c r="C21" i="33"/>
  <c r="C23" i="33"/>
  <c r="C18" i="33"/>
  <c r="C24" i="33"/>
  <c r="C16" i="33"/>
  <c r="C15" i="33"/>
  <c r="C19" i="33"/>
  <c r="C17" i="33"/>
  <c r="D6" i="32"/>
  <c r="D8" i="29"/>
  <c r="D6" i="29"/>
  <c r="D28" i="32"/>
  <c r="D32" i="33"/>
  <c r="O5" i="35"/>
  <c r="D24" i="33"/>
  <c r="D23" i="33"/>
  <c r="D15" i="33"/>
  <c r="D14" i="33"/>
  <c r="D4" i="33"/>
  <c r="D5" i="33"/>
  <c r="O3" i="35"/>
  <c r="D40" i="33"/>
  <c r="D11" i="33"/>
  <c r="D28" i="33"/>
  <c r="D35" i="33"/>
  <c r="D7" i="33"/>
  <c r="D27" i="33"/>
  <c r="O2" i="35"/>
  <c r="D33" i="33"/>
  <c r="D36" i="33"/>
  <c r="D29" i="33"/>
  <c r="D34" i="33"/>
  <c r="D25" i="33"/>
  <c r="D19" i="29"/>
  <c r="D18" i="33"/>
  <c r="D10" i="33"/>
  <c r="D6" i="33"/>
  <c r="O6" i="35"/>
  <c r="D30" i="33"/>
  <c r="D38" i="33"/>
  <c r="D16" i="33"/>
  <c r="D18" i="29"/>
  <c r="E14" i="32"/>
  <c r="E24" i="32"/>
  <c r="F48" i="32"/>
  <c r="D3" i="33"/>
  <c r="D13" i="33"/>
  <c r="O4" i="35"/>
  <c r="D17" i="33"/>
  <c r="E23" i="32"/>
  <c r="F37" i="32"/>
  <c r="E21" i="32"/>
  <c r="E13" i="32"/>
  <c r="D8" i="33"/>
  <c r="D20" i="33"/>
  <c r="D39" i="33"/>
  <c r="F46" i="32"/>
  <c r="F49" i="32"/>
  <c r="F38" i="32"/>
  <c r="D26" i="33"/>
  <c r="D37" i="33"/>
  <c r="D19" i="33"/>
  <c r="F34" i="32"/>
  <c r="F42" i="32"/>
  <c r="F10" i="34"/>
  <c r="B1" i="29"/>
  <c r="D9" i="33"/>
  <c r="D12" i="33"/>
  <c r="E12" i="32"/>
  <c r="D22" i="33"/>
  <c r="D21" i="33"/>
  <c r="D31" i="33"/>
  <c r="E27" i="32"/>
  <c r="F45" i="32"/>
  <c r="E19" i="32"/>
  <c r="F41" i="32"/>
  <c r="F44" i="32"/>
  <c r="F43" i="32"/>
  <c r="F35" i="32"/>
  <c r="F36" i="32"/>
  <c r="F39" i="32"/>
  <c r="F47" i="32"/>
  <c r="F40" i="32"/>
  <c r="E20" i="32"/>
  <c r="E22" i="32"/>
  <c r="E2" i="34" l="1"/>
  <c r="D2" i="35"/>
  <c r="K34" i="32"/>
  <c r="E25" i="32"/>
  <c r="N25" i="32" s="1"/>
  <c r="E15" i="32"/>
  <c r="N15" i="32" s="1"/>
  <c r="E6" i="32"/>
  <c r="N6" i="32" s="1"/>
  <c r="E5" i="32"/>
  <c r="E2" i="32"/>
  <c r="N2" i="32" s="1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I32" i="35"/>
  <c r="E38" i="33"/>
  <c r="I44" i="35"/>
  <c r="B38" i="32"/>
  <c r="E36" i="33"/>
  <c r="F25" i="32"/>
  <c r="E34" i="33"/>
  <c r="F4" i="34"/>
  <c r="F12" i="32"/>
  <c r="B39" i="32"/>
  <c r="E39" i="33"/>
  <c r="D20" i="29"/>
  <c r="E25" i="33"/>
  <c r="E22" i="33"/>
  <c r="B45" i="32"/>
  <c r="E24" i="33"/>
  <c r="E18" i="33"/>
  <c r="E31" i="33"/>
  <c r="F23" i="32"/>
  <c r="F6" i="34"/>
  <c r="E40" i="33"/>
  <c r="F15" i="32"/>
  <c r="E7" i="33"/>
  <c r="F5" i="32"/>
  <c r="E27" i="33"/>
  <c r="E26" i="33"/>
  <c r="E3" i="33"/>
  <c r="E29" i="33"/>
  <c r="F22" i="32"/>
  <c r="E23" i="33"/>
  <c r="B35" i="32"/>
  <c r="B43" i="32"/>
  <c r="B40" i="32"/>
  <c r="F5" i="34"/>
  <c r="F14" i="32"/>
  <c r="E17" i="33"/>
  <c r="F13" i="32"/>
  <c r="E35" i="33"/>
  <c r="F24" i="32"/>
  <c r="B44" i="32"/>
  <c r="F2" i="32"/>
  <c r="B42" i="32"/>
  <c r="E20" i="33"/>
  <c r="F20" i="32"/>
  <c r="F3" i="34"/>
  <c r="B46" i="32"/>
  <c r="B48" i="32"/>
  <c r="E19" i="33"/>
  <c r="I8" i="35"/>
  <c r="B49" i="32"/>
  <c r="E5" i="33"/>
  <c r="E21" i="33"/>
  <c r="E4" i="33"/>
  <c r="E16" i="33"/>
  <c r="B34" i="32"/>
  <c r="E37" i="33"/>
  <c r="D21" i="29"/>
  <c r="B36" i="32"/>
  <c r="I20" i="35"/>
  <c r="F21" i="32"/>
  <c r="E28" i="33"/>
  <c r="A10" i="32"/>
  <c r="I56" i="35"/>
  <c r="F19" i="32"/>
  <c r="E6" i="33"/>
  <c r="E15" i="33"/>
  <c r="B41" i="32"/>
  <c r="B37" i="32"/>
  <c r="B47" i="32"/>
  <c r="F6" i="32"/>
  <c r="E30" i="33"/>
  <c r="F2" i="34"/>
  <c r="F27" i="32"/>
  <c r="E32" i="33"/>
  <c r="E33" i="33"/>
  <c r="D10" i="32" l="1"/>
  <c r="A6" i="35"/>
  <c r="A5" i="35"/>
  <c r="A4" i="35"/>
  <c r="O19" i="32"/>
  <c r="T19" i="32" s="1"/>
  <c r="O24" i="32"/>
  <c r="U24" i="32" s="1"/>
  <c r="O22" i="32"/>
  <c r="T22" i="32" s="1"/>
  <c r="O13" i="32"/>
  <c r="U13" i="32" s="1"/>
  <c r="O27" i="32"/>
  <c r="P27" i="32" s="1"/>
  <c r="O2" i="32"/>
  <c r="P2" i="32" s="1"/>
  <c r="F4" i="32"/>
  <c r="O4" i="32" s="1"/>
  <c r="O15" i="32"/>
  <c r="T15" i="32" s="1"/>
  <c r="O25" i="32"/>
  <c r="T25" i="32" s="1"/>
  <c r="O21" i="32"/>
  <c r="U21" i="32" s="1"/>
  <c r="O20" i="32"/>
  <c r="U20" i="32" s="1"/>
  <c r="O12" i="32"/>
  <c r="T12" i="32" s="1"/>
  <c r="O14" i="32"/>
  <c r="U14" i="32" s="1"/>
  <c r="O23" i="32"/>
  <c r="P23" i="32" s="1"/>
  <c r="O6" i="32"/>
  <c r="A7" i="35"/>
  <c r="D7" i="32"/>
  <c r="T8" i="32"/>
  <c r="U8" i="32"/>
  <c r="P17" i="32"/>
  <c r="U17" i="32"/>
  <c r="T17" i="32"/>
  <c r="T9" i="32"/>
  <c r="U9" i="32"/>
  <c r="P18" i="32"/>
  <c r="U18" i="32"/>
  <c r="T18" i="32"/>
  <c r="C46" i="32"/>
  <c r="E10" i="32"/>
  <c r="B27" i="32"/>
  <c r="B24" i="32"/>
  <c r="B2" i="32"/>
  <c r="B19" i="32"/>
  <c r="B6" i="32"/>
  <c r="C48" i="32"/>
  <c r="B23" i="32"/>
  <c r="B21" i="32"/>
  <c r="B20" i="32"/>
  <c r="C43" i="32"/>
  <c r="C39" i="32"/>
  <c r="C36" i="32"/>
  <c r="B14" i="32"/>
  <c r="C34" i="32"/>
  <c r="B13" i="32"/>
  <c r="C47" i="32"/>
  <c r="C40" i="32"/>
  <c r="B22" i="32"/>
  <c r="C35" i="32"/>
  <c r="B25" i="32"/>
  <c r="C49" i="32"/>
  <c r="C41" i="32"/>
  <c r="B12" i="32"/>
  <c r="C38" i="32"/>
  <c r="C45" i="32"/>
  <c r="C44" i="32"/>
  <c r="C42" i="32"/>
  <c r="C37" i="32"/>
  <c r="B15" i="32"/>
  <c r="N10" i="32" l="1"/>
  <c r="U2" i="32"/>
  <c r="T2" i="32"/>
  <c r="U23" i="32"/>
  <c r="P22" i="32"/>
  <c r="U19" i="32"/>
  <c r="P19" i="32"/>
  <c r="T23" i="32"/>
  <c r="P15" i="32"/>
  <c r="U15" i="32"/>
  <c r="U12" i="32"/>
  <c r="U22" i="32"/>
  <c r="P25" i="32"/>
  <c r="U27" i="32"/>
  <c r="P20" i="32"/>
  <c r="U25" i="32"/>
  <c r="T27" i="32"/>
  <c r="T20" i="32"/>
  <c r="T13" i="32"/>
  <c r="P24" i="32"/>
  <c r="P21" i="32"/>
  <c r="U6" i="32"/>
  <c r="T24" i="32"/>
  <c r="T21" i="32"/>
  <c r="T6" i="32"/>
  <c r="T14" i="32"/>
  <c r="D7" i="35"/>
  <c r="F10" i="32"/>
  <c r="C19" i="32"/>
  <c r="C20" i="32"/>
  <c r="C5" i="35"/>
  <c r="C14" i="32"/>
  <c r="C7" i="35"/>
  <c r="C4" i="35"/>
  <c r="D4" i="35"/>
  <c r="C2" i="32"/>
  <c r="D5" i="35"/>
  <c r="B10" i="32"/>
  <c r="C15" i="32"/>
  <c r="C25" i="32"/>
  <c r="C24" i="32"/>
  <c r="C6" i="35"/>
  <c r="D6" i="35"/>
  <c r="C23" i="32"/>
  <c r="C22" i="32"/>
  <c r="C12" i="32"/>
  <c r="C27" i="32"/>
  <c r="A11" i="32"/>
  <c r="C21" i="32"/>
  <c r="C13" i="32"/>
  <c r="C6" i="32"/>
  <c r="O10" i="32" l="1"/>
  <c r="D11" i="32"/>
  <c r="D2" i="33"/>
  <c r="I52" i="35"/>
  <c r="I54" i="35"/>
  <c r="I31" i="35"/>
  <c r="I40" i="35"/>
  <c r="I55" i="35"/>
  <c r="C10" i="32"/>
  <c r="I16" i="35"/>
  <c r="I39" i="35"/>
  <c r="I50" i="35"/>
  <c r="I36" i="35"/>
  <c r="I38" i="35"/>
  <c r="I33" i="35"/>
  <c r="I30" i="35"/>
  <c r="I42" i="35"/>
  <c r="I49" i="35"/>
  <c r="I24" i="35"/>
  <c r="I6" i="35"/>
  <c r="I45" i="35"/>
  <c r="E11" i="32"/>
  <c r="I17" i="35"/>
  <c r="I3" i="35"/>
  <c r="I5" i="35"/>
  <c r="I23" i="35"/>
  <c r="I53" i="35"/>
  <c r="I22" i="35"/>
  <c r="I21" i="35"/>
  <c r="I46" i="35"/>
  <c r="I26" i="35"/>
  <c r="I4" i="35"/>
  <c r="I11" i="35"/>
  <c r="I27" i="35"/>
  <c r="I2" i="35"/>
  <c r="I15" i="35"/>
  <c r="I25" i="35"/>
  <c r="I51" i="35"/>
  <c r="I10" i="35"/>
  <c r="I47" i="35"/>
  <c r="I18" i="35"/>
  <c r="I48" i="35"/>
  <c r="I34" i="35"/>
  <c r="I14" i="35"/>
  <c r="I28" i="35"/>
  <c r="I12" i="35"/>
  <c r="I41" i="35"/>
  <c r="I13" i="35"/>
  <c r="I37" i="35"/>
  <c r="I9" i="35"/>
  <c r="I43" i="35"/>
  <c r="I19" i="35"/>
  <c r="I29" i="35"/>
  <c r="I35" i="35"/>
  <c r="N11" i="32" l="1"/>
  <c r="U10" i="32"/>
  <c r="T10" i="32"/>
  <c r="A3" i="35"/>
  <c r="E2" i="33"/>
  <c r="D40" i="29"/>
  <c r="D41" i="29"/>
  <c r="F11" i="32"/>
  <c r="D34" i="29"/>
  <c r="D38" i="29"/>
  <c r="D3" i="35"/>
  <c r="B11" i="32"/>
  <c r="C43" i="29"/>
  <c r="C3" i="35"/>
  <c r="C11" i="32"/>
  <c r="O11" i="32" l="1"/>
  <c r="U11" i="32"/>
  <c r="T11" i="32"/>
  <c r="C44" i="29"/>
  <c r="D36" i="29"/>
  <c r="G3" i="35"/>
  <c r="J30" i="35"/>
  <c r="H30" i="35" s="1"/>
  <c r="G23" i="35"/>
  <c r="J28" i="35"/>
  <c r="H28" i="35" s="1"/>
  <c r="J40" i="35"/>
  <c r="H40" i="35" s="1"/>
  <c r="G9" i="35"/>
  <c r="G31" i="35"/>
  <c r="G38" i="35"/>
  <c r="G43" i="35"/>
  <c r="J36" i="35"/>
  <c r="H36" i="35" s="1"/>
  <c r="G15" i="35"/>
  <c r="G55" i="35"/>
  <c r="J27" i="35"/>
  <c r="H27" i="35" s="1"/>
  <c r="J17" i="35"/>
  <c r="H17" i="35" s="1"/>
  <c r="G18" i="35"/>
  <c r="J47" i="35"/>
  <c r="H47" i="35" s="1"/>
  <c r="G20" i="35"/>
  <c r="G42" i="35"/>
  <c r="J54" i="35"/>
  <c r="H54" i="35" s="1"/>
  <c r="G29" i="35"/>
  <c r="G33" i="35"/>
  <c r="J53" i="35"/>
  <c r="H53" i="35" s="1"/>
  <c r="G10" i="35"/>
  <c r="J43" i="35"/>
  <c r="H43" i="35" s="1"/>
  <c r="G36" i="35"/>
  <c r="J34" i="35"/>
  <c r="H34" i="35" s="1"/>
  <c r="J3" i="35"/>
  <c r="H3" i="35" s="1"/>
  <c r="J35" i="35"/>
  <c r="H35" i="35" s="1"/>
  <c r="J2" i="35"/>
  <c r="H2" i="35" s="1"/>
  <c r="J4" i="35"/>
  <c r="H4" i="35" s="1"/>
  <c r="J31" i="35"/>
  <c r="H31" i="35" s="1"/>
  <c r="G5" i="35"/>
  <c r="G53" i="35"/>
  <c r="G49" i="35"/>
  <c r="G8" i="35"/>
  <c r="J42" i="35"/>
  <c r="H42" i="35" s="1"/>
  <c r="G2" i="35"/>
  <c r="J5" i="35"/>
  <c r="H5" i="35" s="1"/>
  <c r="J44" i="35"/>
  <c r="H44" i="35" s="1"/>
  <c r="G34" i="35"/>
  <c r="J19" i="35"/>
  <c r="H19" i="35" s="1"/>
  <c r="G35" i="35"/>
  <c r="J12" i="35"/>
  <c r="H12" i="35" s="1"/>
  <c r="G13" i="35"/>
  <c r="G11" i="35"/>
  <c r="G56" i="35"/>
  <c r="G41" i="35"/>
  <c r="G51" i="35"/>
  <c r="J52" i="35"/>
  <c r="H52" i="35" s="1"/>
  <c r="J33" i="35"/>
  <c r="H33" i="35" s="1"/>
  <c r="J18" i="35"/>
  <c r="H18" i="35" s="1"/>
  <c r="J32" i="35"/>
  <c r="H32" i="35" s="1"/>
  <c r="J56" i="35"/>
  <c r="H56" i="35" s="1"/>
  <c r="J6" i="35"/>
  <c r="H6" i="35" s="1"/>
  <c r="J29" i="35"/>
  <c r="H29" i="35" s="1"/>
  <c r="J20" i="35"/>
  <c r="H20" i="35" s="1"/>
  <c r="G47" i="35"/>
  <c r="J25" i="35"/>
  <c r="H25" i="35" s="1"/>
  <c r="J9" i="35"/>
  <c r="H9" i="35" s="1"/>
  <c r="J16" i="35"/>
  <c r="H16" i="35" s="1"/>
  <c r="J21" i="35"/>
  <c r="H21" i="35" s="1"/>
  <c r="J38" i="35"/>
  <c r="H38" i="35" s="1"/>
  <c r="G27" i="35"/>
  <c r="G25" i="35"/>
  <c r="G14" i="35"/>
  <c r="G46" i="35"/>
  <c r="J22" i="35"/>
  <c r="H22" i="35" s="1"/>
  <c r="G32" i="35"/>
  <c r="J24" i="35"/>
  <c r="H24" i="35" s="1"/>
  <c r="J51" i="35"/>
  <c r="H51" i="35" s="1"/>
  <c r="J26" i="35"/>
  <c r="H26" i="35" s="1"/>
  <c r="G48" i="35"/>
  <c r="G44" i="35"/>
  <c r="G22" i="35"/>
  <c r="J13" i="35"/>
  <c r="H13" i="35" s="1"/>
  <c r="J50" i="35"/>
  <c r="H50" i="35" s="1"/>
  <c r="G26" i="35"/>
  <c r="J11" i="35"/>
  <c r="H11" i="35" s="1"/>
  <c r="J45" i="35"/>
  <c r="H45" i="35" s="1"/>
  <c r="J39" i="35"/>
  <c r="H39" i="35" s="1"/>
  <c r="G17" i="35"/>
  <c r="G30" i="35"/>
  <c r="J48" i="35"/>
  <c r="H48" i="35" s="1"/>
  <c r="G16" i="35"/>
  <c r="G37" i="35"/>
  <c r="J49" i="35"/>
  <c r="H49" i="35" s="1"/>
  <c r="J10" i="35"/>
  <c r="H10" i="35" s="1"/>
  <c r="J8" i="35"/>
  <c r="H8" i="35" s="1"/>
  <c r="G40" i="35"/>
  <c r="J15" i="35"/>
  <c r="H15" i="35" s="1"/>
  <c r="G21" i="35"/>
  <c r="G19" i="35"/>
  <c r="J37" i="35"/>
  <c r="H37" i="35" s="1"/>
  <c r="J55" i="35"/>
  <c r="H55" i="35" s="1"/>
  <c r="G28" i="35"/>
  <c r="G52" i="35"/>
  <c r="G54" i="35"/>
  <c r="J23" i="35"/>
  <c r="H23" i="35" s="1"/>
  <c r="G4" i="35"/>
  <c r="G50" i="35"/>
  <c r="J46" i="35"/>
  <c r="H46" i="35" s="1"/>
  <c r="G24" i="35"/>
  <c r="G45" i="35"/>
  <c r="G6" i="35"/>
  <c r="G39" i="35"/>
  <c r="J14" i="35"/>
  <c r="H14" i="35" s="1"/>
  <c r="J41" i="35"/>
  <c r="H41" i="35" s="1"/>
  <c r="G12" i="35"/>
  <c r="C59" i="36"/>
  <c r="C58" i="36"/>
  <c r="C57" i="36"/>
  <c r="C56" i="36"/>
  <c r="C55" i="36"/>
  <c r="C54" i="36"/>
  <c r="C53" i="36"/>
  <c r="C52" i="36"/>
  <c r="C51" i="36"/>
  <c r="C50" i="36"/>
  <c r="C49" i="36"/>
  <c r="C48" i="36"/>
  <c r="C47" i="36"/>
  <c r="C46" i="36"/>
  <c r="C45" i="36"/>
  <c r="C44" i="36"/>
  <c r="C43" i="36"/>
  <c r="C42" i="36"/>
  <c r="C41" i="36"/>
  <c r="C40" i="36"/>
  <c r="C39" i="36"/>
  <c r="C38" i="36"/>
  <c r="C37" i="36"/>
  <c r="C36" i="36"/>
  <c r="C35" i="36"/>
  <c r="C34" i="36"/>
  <c r="C33" i="36"/>
  <c r="C32" i="36"/>
  <c r="C31" i="36"/>
  <c r="C30" i="36"/>
  <c r="C29" i="36"/>
  <c r="C28" i="36"/>
  <c r="C27" i="36"/>
  <c r="C26" i="36"/>
  <c r="C25" i="36"/>
  <c r="C24" i="36"/>
  <c r="C23" i="36"/>
  <c r="C22" i="36"/>
  <c r="C21" i="36"/>
  <c r="C20" i="36"/>
  <c r="C19" i="36"/>
  <c r="C18" i="36"/>
  <c r="C17" i="36"/>
  <c r="C16" i="36"/>
  <c r="C15" i="36"/>
  <c r="C14" i="36"/>
  <c r="C13" i="36"/>
  <c r="C12" i="36"/>
  <c r="C11" i="36"/>
  <c r="J20" i="29" l="1"/>
  <c r="J21" i="29"/>
  <c r="G3" i="36"/>
  <c r="G7" i="36"/>
  <c r="G6" i="36"/>
  <c r="G5" i="36"/>
  <c r="G4" i="36"/>
  <c r="G12" i="32"/>
  <c r="L2" i="34"/>
  <c r="B4" i="35"/>
  <c r="K2" i="34"/>
  <c r="G6" i="34"/>
  <c r="L39" i="32"/>
  <c r="H22" i="32"/>
  <c r="K3" i="35"/>
  <c r="K3" i="34"/>
  <c r="G10" i="32"/>
  <c r="H15" i="32"/>
  <c r="L5" i="34"/>
  <c r="E2" i="35" a="1"/>
  <c r="K5" i="35"/>
  <c r="G23" i="32"/>
  <c r="L36" i="32"/>
  <c r="L45" i="32"/>
  <c r="L47" i="32"/>
  <c r="G3" i="32"/>
  <c r="H13" i="32"/>
  <c r="H20" i="32"/>
  <c r="L41" i="32"/>
  <c r="B5" i="35"/>
  <c r="G25" i="32"/>
  <c r="L49" i="32"/>
  <c r="G6" i="32"/>
  <c r="G22" i="32"/>
  <c r="B3" i="35"/>
  <c r="H6" i="32"/>
  <c r="K4" i="34"/>
  <c r="G5" i="32"/>
  <c r="G2" i="34"/>
  <c r="H23" i="32"/>
  <c r="K2" i="35"/>
  <c r="K6" i="34"/>
  <c r="H21" i="32"/>
  <c r="G26" i="32"/>
  <c r="L6" i="34"/>
  <c r="L42" i="32"/>
  <c r="K5" i="34"/>
  <c r="G19" i="32"/>
  <c r="H12" i="32"/>
  <c r="L35" i="32"/>
  <c r="L4" i="34"/>
  <c r="H11" i="32"/>
  <c r="G2" i="32"/>
  <c r="L34" i="32"/>
  <c r="G27" i="32"/>
  <c r="G5" i="34"/>
  <c r="H10" i="32"/>
  <c r="H24" i="32"/>
  <c r="L43" i="32"/>
  <c r="H2" i="32"/>
  <c r="B6" i="35"/>
  <c r="K6" i="35"/>
  <c r="G11" i="32"/>
  <c r="G3" i="34"/>
  <c r="L38" i="32"/>
  <c r="G13" i="32"/>
  <c r="G7" i="32"/>
  <c r="G24" i="32"/>
  <c r="L48" i="32"/>
  <c r="H27" i="32"/>
  <c r="B7" i="35"/>
  <c r="H19" i="32"/>
  <c r="G20" i="32"/>
  <c r="L37" i="32"/>
  <c r="L3" i="34"/>
  <c r="L44" i="32"/>
  <c r="H25" i="32"/>
  <c r="G4" i="34"/>
  <c r="G16" i="32"/>
  <c r="G14" i="32"/>
  <c r="L40" i="32"/>
  <c r="G15" i="32"/>
  <c r="G21" i="32"/>
  <c r="H14" i="32"/>
  <c r="K4" i="35"/>
  <c r="L46" i="32"/>
  <c r="E26" i="32"/>
  <c r="E3" i="32"/>
  <c r="E16" i="32"/>
  <c r="E7" i="32"/>
  <c r="F26" i="32"/>
  <c r="F3" i="32"/>
  <c r="F16" i="32"/>
  <c r="F7" i="32"/>
  <c r="B26" i="32"/>
  <c r="C26" i="32" s="1"/>
  <c r="H26" i="32" s="1"/>
  <c r="B3" i="32"/>
  <c r="C3" i="32" s="1"/>
  <c r="H3" i="32" s="1"/>
  <c r="B16" i="32"/>
  <c r="C16" i="32" s="1"/>
  <c r="H16" i="32" s="1"/>
  <c r="B7" i="32"/>
  <c r="C7" i="32" s="1"/>
  <c r="H7" i="32" s="1"/>
  <c r="C5" i="36" l="1"/>
  <c r="E4" i="36"/>
  <c r="C4" i="36"/>
  <c r="C6" i="36"/>
  <c r="E5" i="36"/>
  <c r="D6" i="36"/>
  <c r="E7" i="36"/>
  <c r="D7" i="36"/>
  <c r="C3" i="36"/>
  <c r="D5" i="36"/>
  <c r="E6" i="36"/>
  <c r="D4" i="36"/>
  <c r="C7" i="36"/>
  <c r="D3" i="36"/>
  <c r="E3" i="36"/>
  <c r="O7" i="32"/>
  <c r="O16" i="32"/>
  <c r="O3" i="32"/>
  <c r="E4" i="32"/>
  <c r="O26" i="32"/>
  <c r="N7" i="32"/>
  <c r="N16" i="32"/>
  <c r="N3" i="32"/>
  <c r="N26" i="32"/>
  <c r="I21" i="32"/>
  <c r="I15" i="32"/>
  <c r="I14" i="32"/>
  <c r="I16" i="32"/>
  <c r="J16" i="32" s="1"/>
  <c r="I20" i="32"/>
  <c r="I24" i="32"/>
  <c r="I7" i="32"/>
  <c r="J7" i="32" s="1"/>
  <c r="I13" i="32"/>
  <c r="I11" i="32"/>
  <c r="I27" i="32"/>
  <c r="I2" i="32"/>
  <c r="I19" i="32"/>
  <c r="I26" i="32"/>
  <c r="J26" i="32" s="1"/>
  <c r="I22" i="32"/>
  <c r="I6" i="32"/>
  <c r="I25" i="32"/>
  <c r="I3" i="32"/>
  <c r="J3" i="32" s="1"/>
  <c r="I23" i="32"/>
  <c r="E126" i="35"/>
  <c r="E98" i="35"/>
  <c r="E13" i="35"/>
  <c r="E23" i="35"/>
  <c r="E91" i="35"/>
  <c r="E59" i="35"/>
  <c r="E104" i="35"/>
  <c r="E58" i="35"/>
  <c r="E106" i="35"/>
  <c r="E10" i="35"/>
  <c r="E86" i="35"/>
  <c r="E76" i="35"/>
  <c r="E80" i="35"/>
  <c r="E88" i="35"/>
  <c r="E82" i="35"/>
  <c r="E119" i="35"/>
  <c r="E77" i="35"/>
  <c r="E33" i="35"/>
  <c r="E78" i="35"/>
  <c r="E19" i="35"/>
  <c r="E28" i="35"/>
  <c r="E36" i="35"/>
  <c r="E70" i="35"/>
  <c r="E8" i="35"/>
  <c r="E112" i="35"/>
  <c r="E12" i="35"/>
  <c r="E75" i="35"/>
  <c r="E123" i="35"/>
  <c r="E101" i="35"/>
  <c r="E41" i="35"/>
  <c r="E27" i="35"/>
  <c r="E24" i="35"/>
  <c r="E116" i="35"/>
  <c r="E4" i="35"/>
  <c r="E100" i="35"/>
  <c r="E97" i="35"/>
  <c r="E72" i="35"/>
  <c r="E74" i="35"/>
  <c r="E16" i="35"/>
  <c r="E99" i="35"/>
  <c r="E51" i="35"/>
  <c r="E37" i="35"/>
  <c r="E85" i="35"/>
  <c r="E127" i="35"/>
  <c r="E95" i="35"/>
  <c r="E117" i="35"/>
  <c r="E43" i="35"/>
  <c r="E47" i="35"/>
  <c r="E73" i="35"/>
  <c r="E125" i="35"/>
  <c r="E83" i="35"/>
  <c r="E110" i="35"/>
  <c r="E21" i="35"/>
  <c r="E118" i="35"/>
  <c r="E93" i="35"/>
  <c r="E45" i="35"/>
  <c r="E48" i="35"/>
  <c r="E55" i="35"/>
  <c r="E89" i="35"/>
  <c r="E54" i="35"/>
  <c r="E115" i="35"/>
  <c r="E122" i="35"/>
  <c r="E103" i="35"/>
  <c r="E64" i="35"/>
  <c r="E69" i="35"/>
  <c r="E40" i="35"/>
  <c r="E17" i="35"/>
  <c r="E62" i="35"/>
  <c r="E14" i="35"/>
  <c r="E57" i="35"/>
  <c r="E7" i="35"/>
  <c r="E79" i="35"/>
  <c r="E3" i="35"/>
  <c r="E20" i="35"/>
  <c r="E107" i="35"/>
  <c r="E113" i="35"/>
  <c r="E87" i="35"/>
  <c r="E63" i="35"/>
  <c r="E124" i="35"/>
  <c r="E52" i="35"/>
  <c r="E11" i="35"/>
  <c r="E50" i="35"/>
  <c r="E61" i="35"/>
  <c r="E53" i="35"/>
  <c r="E30" i="35"/>
  <c r="E71" i="35"/>
  <c r="E120" i="35"/>
  <c r="E18" i="35"/>
  <c r="E90" i="35"/>
  <c r="E2" i="35"/>
  <c r="E121" i="35"/>
  <c r="E5" i="35"/>
  <c r="E9" i="35"/>
  <c r="E66" i="35"/>
  <c r="E56" i="35"/>
  <c r="E92" i="35"/>
  <c r="E6" i="35"/>
  <c r="E49" i="35"/>
  <c r="E67" i="35"/>
  <c r="E15" i="35"/>
  <c r="E42" i="35"/>
  <c r="E44" i="35"/>
  <c r="E94" i="35"/>
  <c r="E22" i="35"/>
  <c r="E38" i="35"/>
  <c r="E25" i="35"/>
  <c r="E32" i="35"/>
  <c r="E34" i="35"/>
  <c r="E102" i="35"/>
  <c r="E108" i="35"/>
  <c r="E29" i="35"/>
  <c r="E46" i="35"/>
  <c r="E39" i="35"/>
  <c r="E35" i="35"/>
  <c r="E31" i="35"/>
  <c r="E68" i="35"/>
  <c r="E105" i="35"/>
  <c r="E109" i="35"/>
  <c r="E84" i="35"/>
  <c r="E114" i="35"/>
  <c r="E111" i="35"/>
  <c r="E65" i="35"/>
  <c r="E81" i="35"/>
  <c r="E26" i="35"/>
  <c r="E96" i="35"/>
  <c r="E60" i="35"/>
  <c r="I10" i="32"/>
  <c r="I12" i="32"/>
  <c r="F5" i="36"/>
  <c r="F4" i="36"/>
  <c r="F6" i="36"/>
  <c r="F3" i="36"/>
  <c r="F7" i="36"/>
  <c r="B4" i="32"/>
  <c r="C4" i="32" s="1"/>
  <c r="H4" i="32" s="1"/>
  <c r="I31" i="32"/>
  <c r="H31" i="32"/>
  <c r="H32" i="32" l="1"/>
  <c r="I32" i="32"/>
  <c r="J24" i="32"/>
  <c r="J10" i="32"/>
  <c r="J23" i="32"/>
  <c r="J19" i="32"/>
  <c r="J20" i="32"/>
  <c r="J27" i="32"/>
  <c r="J14" i="32"/>
  <c r="U26" i="32"/>
  <c r="T26" i="32"/>
  <c r="P26" i="32"/>
  <c r="N4" i="32"/>
  <c r="J22" i="32"/>
  <c r="J11" i="32"/>
  <c r="J21" i="32"/>
  <c r="U3" i="32"/>
  <c r="P3" i="32"/>
  <c r="T3" i="32"/>
  <c r="G4" i="32"/>
  <c r="I4" i="32" s="1"/>
  <c r="J13" i="32"/>
  <c r="U16" i="32"/>
  <c r="P16" i="32"/>
  <c r="T16" i="32"/>
  <c r="J12" i="32"/>
  <c r="T7" i="32"/>
  <c r="U7" i="32"/>
  <c r="K10" i="32"/>
  <c r="L10" i="32" s="1"/>
  <c r="K14" i="32"/>
  <c r="L14" i="32" s="1"/>
  <c r="K11" i="32"/>
  <c r="L11" i="32" s="1"/>
  <c r="K13" i="32"/>
  <c r="L13" i="32" s="1"/>
  <c r="K12" i="32"/>
  <c r="L12" i="32" s="1"/>
  <c r="X9" i="32" a="1"/>
  <c r="AD9" i="32" a="1"/>
  <c r="Z9" i="32" a="1"/>
  <c r="K27" i="32"/>
  <c r="Y9" i="32" a="1"/>
  <c r="Z18" i="32" a="1"/>
  <c r="AD18" i="32" a="1"/>
  <c r="Y18" i="32" a="1"/>
  <c r="K24" i="32"/>
  <c r="L24" i="32" s="1"/>
  <c r="K23" i="32"/>
  <c r="L23" i="32" s="1"/>
  <c r="K19" i="32"/>
  <c r="K20" i="32"/>
  <c r="L20" i="32" s="1"/>
  <c r="K22" i="32"/>
  <c r="L22" i="32" s="1"/>
  <c r="K21" i="32"/>
  <c r="L21" i="32" s="1"/>
  <c r="X18" i="32" a="1"/>
  <c r="L19" i="32"/>
  <c r="X18" i="32" l="1"/>
  <c r="X19" i="32"/>
  <c r="X20" i="32"/>
  <c r="P31" i="32"/>
  <c r="Y19" i="32"/>
  <c r="Y20" i="32"/>
  <c r="Y18" i="32"/>
  <c r="AD19" i="32"/>
  <c r="AD18" i="32"/>
  <c r="AD20" i="32"/>
  <c r="Z18" i="32"/>
  <c r="Z19" i="32"/>
  <c r="Z20" i="32"/>
  <c r="Y10" i="32"/>
  <c r="Y11" i="32"/>
  <c r="Y9" i="32"/>
  <c r="K26" i="32"/>
  <c r="Q31" i="32" s="1"/>
  <c r="Z9" i="32"/>
  <c r="Z11" i="32"/>
  <c r="Z10" i="32"/>
  <c r="AD10" i="32"/>
  <c r="AD9" i="32"/>
  <c r="AD11" i="32"/>
  <c r="X10" i="32"/>
  <c r="X9" i="32"/>
  <c r="X11" i="32"/>
  <c r="P4" i="32"/>
  <c r="T4" i="32"/>
  <c r="U4" i="32"/>
  <c r="J4" i="32"/>
  <c r="K4" i="32"/>
  <c r="K3" i="32" l="1"/>
  <c r="N31" i="32"/>
  <c r="AF9" i="32" a="1"/>
  <c r="AF18" i="32" a="1"/>
  <c r="AG19" i="32" l="1"/>
  <c r="AF19" i="32"/>
  <c r="AH19" i="32"/>
  <c r="AF18" i="32"/>
  <c r="AH18" i="32"/>
  <c r="AG20" i="32"/>
  <c r="AG18" i="32"/>
  <c r="AH20" i="32"/>
  <c r="AF20" i="32"/>
  <c r="AF11" i="32"/>
  <c r="AG11" i="32"/>
  <c r="AH9" i="32"/>
  <c r="AF10" i="32"/>
  <c r="AH10" i="32"/>
  <c r="AG10" i="32"/>
  <c r="AH11" i="32"/>
  <c r="AF9" i="32"/>
  <c r="AG9" i="32"/>
  <c r="AB18" i="32" l="1" a="1"/>
  <c r="AB9" i="32" a="1"/>
  <c r="AB9" i="32" l="1"/>
  <c r="AB11" i="32"/>
  <c r="T32" i="32" s="1"/>
  <c r="AB10" i="32"/>
  <c r="T31" i="32" s="1"/>
  <c r="AB19" i="32"/>
  <c r="U31" i="32" s="1"/>
  <c r="AB18" i="32"/>
  <c r="AB20" i="32"/>
  <c r="U32" i="32" s="1"/>
  <c r="U30" i="32" l="1"/>
  <c r="AJ18" i="32" a="1"/>
  <c r="T30" i="32"/>
  <c r="AJ9" i="32" a="1"/>
  <c r="AJ11" i="32" l="1"/>
  <c r="AJ10" i="32"/>
  <c r="AJ9" i="32"/>
  <c r="AJ20" i="32"/>
  <c r="AJ18" i="32"/>
  <c r="AJ19" i="32"/>
  <c r="T36" i="32"/>
  <c r="O36" i="32" s="1"/>
  <c r="H36" i="32" s="1"/>
  <c r="J10" i="33" s="1"/>
  <c r="T38" i="32"/>
  <c r="O38" i="32" s="1"/>
  <c r="H38" i="32" s="1"/>
  <c r="J12" i="33" s="1"/>
  <c r="T35" i="32"/>
  <c r="O35" i="32" s="1"/>
  <c r="H35" i="32" s="1"/>
  <c r="J9" i="33" s="1"/>
  <c r="T34" i="32"/>
  <c r="O34" i="32" s="1"/>
  <c r="H34" i="32" s="1"/>
  <c r="J8" i="33" s="1"/>
  <c r="T39" i="32"/>
  <c r="O39" i="32" s="1"/>
  <c r="H39" i="32" s="1"/>
  <c r="J13" i="33" s="1"/>
  <c r="T40" i="32"/>
  <c r="O40" i="32" s="1"/>
  <c r="H40" i="32" s="1"/>
  <c r="J14" i="33" s="1"/>
  <c r="T37" i="32"/>
  <c r="O37" i="32" s="1"/>
  <c r="H37" i="32" s="1"/>
  <c r="J11" i="33" s="1"/>
  <c r="U34" i="32"/>
  <c r="P34" i="32" s="1"/>
  <c r="I34" i="32" s="1"/>
  <c r="J15" i="33" s="1"/>
  <c r="U36" i="32"/>
  <c r="P36" i="32" s="1"/>
  <c r="I36" i="32" s="1"/>
  <c r="J17" i="33" s="1"/>
  <c r="U39" i="32"/>
  <c r="P39" i="32" s="1"/>
  <c r="I39" i="32" s="1"/>
  <c r="J20" i="33" s="1"/>
  <c r="U40" i="32"/>
  <c r="P40" i="32" s="1"/>
  <c r="I40" i="32" s="1"/>
  <c r="J21" i="33" s="1"/>
  <c r="U37" i="32"/>
  <c r="P37" i="32" s="1"/>
  <c r="I37" i="32" s="1"/>
  <c r="J18" i="33" s="1"/>
  <c r="U42" i="32"/>
  <c r="P42" i="32" s="1"/>
  <c r="I42" i="32" s="1"/>
  <c r="J23" i="33" s="1"/>
  <c r="U43" i="32"/>
  <c r="P43" i="32" s="1"/>
  <c r="I43" i="32" s="1"/>
  <c r="J24" i="33" s="1"/>
  <c r="U35" i="32"/>
  <c r="P35" i="32" s="1"/>
  <c r="I35" i="32" s="1"/>
  <c r="J16" i="33" s="1"/>
  <c r="U38" i="32"/>
  <c r="P38" i="32" s="1"/>
  <c r="I38" i="32" s="1"/>
  <c r="J19" i="33" s="1"/>
  <c r="U41" i="32"/>
  <c r="P41" i="32" s="1"/>
  <c r="I41" i="32" s="1"/>
  <c r="J22" i="33" s="1"/>
  <c r="N3" i="33" a="1"/>
  <c r="N17" i="33"/>
  <c r="O17" i="33"/>
  <c r="N9" i="33"/>
  <c r="O9" i="33"/>
  <c r="N24" i="33"/>
  <c r="O24" i="33"/>
  <c r="N16" i="33"/>
  <c r="O16" i="33"/>
  <c r="N8" i="33"/>
  <c r="O8" i="33"/>
  <c r="N23" i="33"/>
  <c r="O23" i="33"/>
  <c r="N15" i="33"/>
  <c r="O15" i="33"/>
  <c r="N22" i="33"/>
  <c r="O22" i="33"/>
  <c r="N14" i="33"/>
  <c r="O14" i="33"/>
  <c r="N21" i="33"/>
  <c r="O21" i="33"/>
  <c r="N13" i="33"/>
  <c r="O13" i="33"/>
  <c r="N20" i="33"/>
  <c r="O20" i="33"/>
  <c r="N12" i="33"/>
  <c r="O12" i="33"/>
  <c r="N19" i="33"/>
  <c r="O19" i="33"/>
  <c r="N11" i="33"/>
  <c r="O11" i="33"/>
  <c r="N18" i="33"/>
  <c r="O18" i="33"/>
  <c r="N10" i="33"/>
  <c r="O10" i="33"/>
  <c r="P15" i="33"/>
  <c r="P8" i="33"/>
  <c r="L4" i="32"/>
  <c r="J31" i="32"/>
  <c r="D44" i="29"/>
  <c r="D43" i="29"/>
  <c r="L26" i="32"/>
  <c r="L27" i="32"/>
  <c r="G31" i="32"/>
  <c r="K18" i="32"/>
  <c r="L3" i="32"/>
  <c r="G32" i="32"/>
  <c r="J32" i="32"/>
  <c r="N32" i="32"/>
  <c r="Q32" i="32"/>
  <c r="L18" i="32"/>
  <c r="P32" i="32"/>
  <c r="Q48" i="32"/>
  <c r="J48" i="32"/>
  <c r="J39" i="33"/>
  <c r="Q39" i="32"/>
  <c r="J39" i="32"/>
  <c r="J30" i="33" s="1"/>
  <c r="Q41" i="32"/>
  <c r="J41" i="32" s="1"/>
  <c r="J32" i="33" s="1"/>
  <c r="Q37" i="32"/>
  <c r="J37" i="32" s="1"/>
  <c r="J28" i="33" s="1"/>
  <c r="Q40" i="32"/>
  <c r="J40" i="32" s="1"/>
  <c r="J31" i="33" s="1"/>
  <c r="Q38" i="32"/>
  <c r="J38" i="32" s="1"/>
  <c r="J29" i="33" s="1"/>
  <c r="Q49" i="32"/>
  <c r="J49" i="32" s="1"/>
  <c r="J40" i="33" s="1"/>
  <c r="Q42" i="32"/>
  <c r="J42" i="32" s="1"/>
  <c r="J33" i="33" s="1"/>
  <c r="N33" i="33" s="1"/>
  <c r="Q44" i="32"/>
  <c r="J44" i="32" s="1"/>
  <c r="J35" i="33" s="1"/>
  <c r="Q36" i="32"/>
  <c r="J36" i="32" s="1"/>
  <c r="J27" i="33" s="1"/>
  <c r="Q46" i="32"/>
  <c r="J46" i="32" s="1"/>
  <c r="J37" i="33" s="1"/>
  <c r="Q34" i="32"/>
  <c r="J34" i="32" s="1"/>
  <c r="J25" i="33" s="1"/>
  <c r="Q43" i="32"/>
  <c r="J43" i="32" s="1"/>
  <c r="J34" i="33" s="1"/>
  <c r="Q47" i="32"/>
  <c r="J47" i="32" s="1"/>
  <c r="J38" i="33" s="1"/>
  <c r="Q45" i="32"/>
  <c r="J45" i="32" s="1"/>
  <c r="J36" i="33" s="1"/>
  <c r="Q35" i="32"/>
  <c r="J35" i="32" s="1"/>
  <c r="J26" i="33" s="1"/>
  <c r="N37" i="32"/>
  <c r="G37" i="32" s="1"/>
  <c r="J6" i="33" s="1"/>
  <c r="N35" i="32"/>
  <c r="G35" i="32" s="1"/>
  <c r="J4" i="33" s="1"/>
  <c r="N36" i="32"/>
  <c r="G36" i="32" s="1"/>
  <c r="J5" i="33" s="1"/>
  <c r="N34" i="32"/>
  <c r="G34" i="32" s="1"/>
  <c r="J3" i="33" s="1"/>
  <c r="N38" i="32"/>
  <c r="G38" i="32" s="1"/>
  <c r="J7" i="33" s="1"/>
  <c r="O33" i="33"/>
  <c r="N25" i="33" l="1"/>
  <c r="O25" i="33"/>
  <c r="N40" i="33"/>
  <c r="O40" i="33"/>
  <c r="N32" i="33"/>
  <c r="O32" i="33"/>
  <c r="N39" i="33"/>
  <c r="O39" i="33"/>
  <c r="N31" i="33"/>
  <c r="O31" i="33"/>
  <c r="N7" i="33"/>
  <c r="O7" i="33"/>
  <c r="N38" i="33"/>
  <c r="O38" i="33"/>
  <c r="N30" i="33"/>
  <c r="O30" i="33"/>
  <c r="N6" i="33"/>
  <c r="O6" i="33"/>
  <c r="N37" i="33"/>
  <c r="O37" i="33"/>
  <c r="N29" i="33"/>
  <c r="O29" i="33"/>
  <c r="N5" i="33"/>
  <c r="O5" i="33"/>
  <c r="N36" i="33"/>
  <c r="O36" i="33"/>
  <c r="N28" i="33"/>
  <c r="O28" i="33"/>
  <c r="N4" i="33"/>
  <c r="O4" i="33"/>
  <c r="N35" i="33"/>
  <c r="O35" i="33"/>
  <c r="N27" i="33"/>
  <c r="O27" i="33"/>
  <c r="N3" i="33"/>
  <c r="O3" i="33"/>
  <c r="N34" i="33"/>
  <c r="O34" i="33"/>
  <c r="N26" i="33"/>
  <c r="O26" i="33"/>
  <c r="P2" i="33"/>
  <c r="P25" i="33"/>
  <c r="L6" i="35"/>
  <c r="G59" i="36"/>
  <c r="G58" i="36"/>
  <c r="G57" i="36"/>
  <c r="G56" i="36"/>
  <c r="G55" i="36"/>
  <c r="G54" i="36"/>
  <c r="G53" i="36"/>
  <c r="G52" i="36"/>
  <c r="G51" i="36"/>
  <c r="G50" i="36"/>
  <c r="G49" i="36"/>
  <c r="G48" i="36"/>
  <c r="G47" i="36"/>
  <c r="G46" i="36"/>
  <c r="G45" i="36"/>
  <c r="G44" i="36"/>
  <c r="G43" i="36"/>
  <c r="G42" i="36"/>
  <c r="G41" i="36"/>
  <c r="G40" i="36"/>
  <c r="G39" i="36"/>
  <c r="G38" i="36"/>
  <c r="G37" i="36"/>
  <c r="G36" i="36"/>
  <c r="G35" i="36"/>
  <c r="G34" i="36"/>
  <c r="G33" i="36"/>
  <c r="G32" i="36"/>
  <c r="G31" i="36"/>
  <c r="G30" i="36"/>
  <c r="G29" i="36"/>
  <c r="G28" i="36"/>
  <c r="G27" i="36"/>
  <c r="G26" i="36"/>
  <c r="G25" i="36"/>
  <c r="G24" i="36"/>
  <c r="G23" i="36"/>
  <c r="G22" i="36"/>
  <c r="G21" i="36"/>
  <c r="G20" i="36"/>
  <c r="G19" i="36"/>
  <c r="G18" i="36"/>
  <c r="G17" i="36"/>
  <c r="G16" i="36"/>
  <c r="G15" i="36"/>
  <c r="G14" i="36"/>
  <c r="G13" i="36"/>
  <c r="G12" i="36"/>
  <c r="G11" i="36"/>
  <c r="H7" i="36" l="1"/>
  <c r="I11" i="36"/>
  <c r="I12" i="36"/>
  <c r="I13" i="36"/>
  <c r="I14" i="36"/>
  <c r="I15" i="36"/>
  <c r="I16" i="36"/>
  <c r="I17" i="36"/>
  <c r="I18" i="36"/>
  <c r="I19" i="36"/>
  <c r="I20" i="36"/>
  <c r="I21" i="36"/>
  <c r="I22" i="36"/>
  <c r="I23" i="36"/>
  <c r="I24" i="36"/>
  <c r="I25" i="36"/>
  <c r="I26" i="36"/>
  <c r="I27" i="36"/>
  <c r="I28" i="36"/>
  <c r="I29" i="36"/>
  <c r="I30" i="36"/>
  <c r="I31" i="36"/>
  <c r="I32" i="36"/>
  <c r="I33" i="36"/>
  <c r="I34" i="36"/>
  <c r="I35" i="36"/>
  <c r="I36" i="36"/>
  <c r="I37" i="36"/>
  <c r="I38" i="36"/>
  <c r="I39" i="36"/>
  <c r="I40" i="36"/>
  <c r="I41" i="36"/>
  <c r="I42" i="36"/>
  <c r="I43" i="36"/>
  <c r="I44" i="36"/>
  <c r="I45" i="36"/>
  <c r="I46" i="36"/>
  <c r="I47" i="36"/>
  <c r="I48" i="36"/>
  <c r="I49" i="36"/>
  <c r="I50" i="36"/>
  <c r="I51" i="36"/>
  <c r="I52" i="36"/>
  <c r="I53" i="36"/>
  <c r="I54" i="36"/>
  <c r="I55" i="36"/>
  <c r="I56" i="36"/>
  <c r="I57" i="36"/>
  <c r="I58" i="36"/>
  <c r="I59" i="36"/>
  <c r="M6" i="35"/>
  <c r="I7" i="36" s="1"/>
  <c r="J7" i="36" s="1"/>
  <c r="P6" i="35"/>
  <c r="L5" i="35"/>
  <c r="H6" i="36" l="1"/>
  <c r="M5" i="35"/>
  <c r="I6" i="36" s="1"/>
  <c r="J6" i="36" s="1"/>
  <c r="P5" i="35"/>
  <c r="L4" i="35"/>
  <c r="H5" i="36" l="1"/>
  <c r="M4" i="35"/>
  <c r="I5" i="36" s="1"/>
  <c r="J5" i="36" s="1"/>
  <c r="P4" i="35"/>
  <c r="L3" i="35"/>
  <c r="H4" i="36" l="1"/>
  <c r="M3" i="35"/>
  <c r="I4" i="36" s="1"/>
  <c r="J4" i="36" s="1"/>
  <c r="P3" i="35"/>
  <c r="L2" i="35"/>
  <c r="H3" i="36" l="1"/>
  <c r="M2" i="35"/>
  <c r="I3" i="36" s="1"/>
  <c r="J3" i="36" s="1"/>
  <c r="P2" i="35"/>
  <c r="L18" i="35"/>
  <c r="M18" i="35"/>
  <c r="L11" i="35"/>
  <c r="M11" i="35"/>
  <c r="N11" i="35"/>
  <c r="J14" i="36" s="1"/>
  <c r="L8" i="35"/>
  <c r="M8" i="35"/>
  <c r="N8" i="35"/>
  <c r="J11" i="36" s="1"/>
  <c r="L33" i="35"/>
  <c r="M33" i="35"/>
  <c r="N33" i="35"/>
  <c r="J36" i="36" s="1"/>
  <c r="L24" i="35"/>
  <c r="M24" i="35"/>
  <c r="N24" i="35"/>
  <c r="J27" i="36" s="1"/>
  <c r="L48" i="35"/>
  <c r="M48" i="35"/>
  <c r="N48" i="35"/>
  <c r="J51" i="36" s="1"/>
  <c r="L49" i="35"/>
  <c r="M49" i="35"/>
  <c r="L9" i="35"/>
  <c r="M9" i="35"/>
  <c r="N9" i="35"/>
  <c r="J12" i="36" s="1"/>
  <c r="N49" i="35"/>
  <c r="J52" i="36" s="1"/>
  <c r="J78" i="33"/>
  <c r="N78" i="33" s="1"/>
  <c r="J77" i="33"/>
  <c r="N77" i="33"/>
  <c r="J63" i="33"/>
  <c r="N63" i="33" s="1"/>
  <c r="J43" i="33"/>
  <c r="N43" i="33" s="1"/>
  <c r="J55" i="33"/>
  <c r="N55" i="33" s="1"/>
  <c r="N18" i="35"/>
  <c r="J21" i="36" s="1"/>
  <c r="O78" i="33"/>
  <c r="O43" i="33"/>
  <c r="O63" i="33"/>
  <c r="O77" i="33"/>
  <c r="O55" i="33"/>
  <c r="L10" i="35"/>
  <c r="M10" i="35"/>
  <c r="J50" i="33" l="1"/>
  <c r="N50" i="33" s="1"/>
  <c r="J41" i="33"/>
  <c r="N41" i="33" s="1"/>
  <c r="N10" i="35"/>
  <c r="J13" i="36" s="1"/>
  <c r="O41" i="33"/>
  <c r="O50" i="33"/>
  <c r="L12" i="35"/>
  <c r="M12" i="35"/>
  <c r="J42" i="33" l="1"/>
  <c r="N42" i="33" s="1"/>
  <c r="N12" i="35"/>
  <c r="J15" i="36" s="1"/>
  <c r="O42" i="33"/>
  <c r="L13" i="35"/>
  <c r="M13" i="35"/>
  <c r="J44" i="33" l="1"/>
  <c r="N44" i="33" s="1"/>
  <c r="N13" i="35"/>
  <c r="J16" i="36" s="1"/>
  <c r="O44" i="33"/>
  <c r="L15" i="35"/>
  <c r="M15" i="35"/>
  <c r="J45" i="33" l="1"/>
  <c r="N45" i="33" s="1"/>
  <c r="N15" i="35"/>
  <c r="J18" i="36" s="1"/>
  <c r="O45" i="33"/>
  <c r="L16" i="35"/>
  <c r="M16" i="35"/>
  <c r="J47" i="33" l="1"/>
  <c r="N47" i="33" s="1"/>
  <c r="N16" i="35"/>
  <c r="J19" i="36" s="1"/>
  <c r="O47" i="33"/>
  <c r="L22" i="35"/>
  <c r="M22" i="35"/>
  <c r="J48" i="33" l="1"/>
  <c r="N48" i="33" s="1"/>
  <c r="N22" i="35"/>
  <c r="J25" i="36" s="1"/>
  <c r="O48" i="33"/>
  <c r="L23" i="35"/>
  <c r="M23" i="35"/>
  <c r="J53" i="33" l="1"/>
  <c r="N53" i="33" s="1"/>
  <c r="N23" i="35"/>
  <c r="J26" i="36" s="1"/>
  <c r="O53" i="33"/>
  <c r="L25" i="35"/>
  <c r="M25" i="35"/>
  <c r="J54" i="33" l="1"/>
  <c r="N54" i="33" s="1"/>
  <c r="N25" i="35"/>
  <c r="J28" i="36" s="1"/>
  <c r="O54" i="33"/>
  <c r="L26" i="35"/>
  <c r="M26" i="35"/>
  <c r="J56" i="33" l="1"/>
  <c r="N56" i="33" s="1"/>
  <c r="N26" i="35"/>
  <c r="J29" i="36" s="1"/>
  <c r="O56" i="33"/>
  <c r="L29" i="35"/>
  <c r="M29" i="35"/>
  <c r="J57" i="33" l="1"/>
  <c r="N57" i="33" s="1"/>
  <c r="N29" i="35"/>
  <c r="J32" i="36" s="1"/>
  <c r="O57" i="33"/>
  <c r="L30" i="35"/>
  <c r="M30" i="35"/>
  <c r="J60" i="33" l="1"/>
  <c r="N60" i="33" s="1"/>
  <c r="N30" i="35"/>
  <c r="J33" i="36" s="1"/>
  <c r="O60" i="33"/>
  <c r="L31" i="35"/>
  <c r="M31" i="35"/>
  <c r="J61" i="33" l="1"/>
  <c r="N61" i="33" s="1"/>
  <c r="N31" i="35"/>
  <c r="J34" i="36" s="1"/>
  <c r="O61" i="33"/>
  <c r="L35" i="35"/>
  <c r="M35" i="35"/>
  <c r="J62" i="33" l="1"/>
  <c r="N62" i="33" s="1"/>
  <c r="N35" i="35"/>
  <c r="J38" i="36" s="1"/>
  <c r="O62" i="33"/>
  <c r="L36" i="35"/>
  <c r="M36" i="35"/>
  <c r="J65" i="33" l="1"/>
  <c r="N65" i="33" s="1"/>
  <c r="N36" i="35"/>
  <c r="J39" i="36" s="1"/>
  <c r="O65" i="33"/>
  <c r="L37" i="35"/>
  <c r="M37" i="35"/>
  <c r="J66" i="33" l="1"/>
  <c r="N66" i="33" s="1"/>
  <c r="N37" i="35"/>
  <c r="J40" i="36" s="1"/>
  <c r="O66" i="33"/>
  <c r="L38" i="35"/>
  <c r="M38" i="35"/>
  <c r="J67" i="33" l="1"/>
  <c r="N67" i="33" s="1"/>
  <c r="N38" i="35"/>
  <c r="J41" i="36" s="1"/>
  <c r="O67" i="33"/>
  <c r="L39" i="35"/>
  <c r="M39" i="35"/>
  <c r="J68" i="33" l="1"/>
  <c r="N68" i="33" s="1"/>
  <c r="N39" i="35"/>
  <c r="J42" i="36" s="1"/>
  <c r="O68" i="33"/>
  <c r="L40" i="35"/>
  <c r="M40" i="35"/>
  <c r="J69" i="33" l="1"/>
  <c r="N69" i="33" s="1"/>
  <c r="N40" i="35"/>
  <c r="J43" i="36" s="1"/>
  <c r="O69" i="33"/>
  <c r="L41" i="35"/>
  <c r="M41" i="35"/>
  <c r="J70" i="33" l="1"/>
  <c r="N70" i="33" s="1"/>
  <c r="N41" i="35"/>
  <c r="J44" i="36" s="1"/>
  <c r="O70" i="33"/>
  <c r="L45" i="35"/>
  <c r="M45" i="35"/>
  <c r="J71" i="33" l="1"/>
  <c r="N71" i="33" s="1"/>
  <c r="N45" i="35"/>
  <c r="J48" i="36" s="1"/>
  <c r="O71" i="33"/>
  <c r="L47" i="35"/>
  <c r="M47" i="35"/>
  <c r="J74" i="33" l="1"/>
  <c r="N74" i="33" s="1"/>
  <c r="N47" i="35"/>
  <c r="J50" i="36" s="1"/>
  <c r="O74" i="33"/>
  <c r="L51" i="35"/>
  <c r="M51" i="35"/>
  <c r="J76" i="33" l="1"/>
  <c r="N76" i="33" s="1"/>
  <c r="N51" i="35"/>
  <c r="J54" i="36" s="1"/>
  <c r="O76" i="33"/>
  <c r="L53" i="35"/>
  <c r="M53" i="35"/>
  <c r="J80" i="33" l="1"/>
  <c r="N80" i="33" s="1"/>
  <c r="N53" i="35"/>
  <c r="J56" i="36" s="1"/>
  <c r="O80" i="33"/>
  <c r="L54" i="35"/>
  <c r="M54" i="35"/>
  <c r="J82" i="33" l="1"/>
  <c r="N82" i="33" s="1"/>
  <c r="N54" i="35"/>
  <c r="J57" i="36" s="1"/>
  <c r="O82" i="33"/>
  <c r="L55" i="35"/>
  <c r="M55" i="35"/>
  <c r="J83" i="33" l="1"/>
  <c r="N83" i="33" s="1"/>
  <c r="N55" i="35"/>
  <c r="J58" i="36" s="1"/>
  <c r="O83" i="33"/>
  <c r="L32" i="35"/>
  <c r="M32" i="35"/>
  <c r="J84" i="33" l="1"/>
  <c r="N84" i="33" s="1"/>
  <c r="N32" i="35"/>
  <c r="J35" i="36" s="1"/>
  <c r="O84" i="33"/>
  <c r="L20" i="35"/>
  <c r="M20" i="35"/>
  <c r="N20" i="35"/>
  <c r="J23" i="36" s="1"/>
  <c r="L44" i="35"/>
  <c r="M44" i="35"/>
  <c r="N44" i="35"/>
  <c r="J47" i="36" s="1"/>
  <c r="L56" i="35"/>
  <c r="M56" i="35"/>
  <c r="L43" i="35"/>
  <c r="M43" i="35"/>
  <c r="L50" i="35"/>
  <c r="M50" i="35"/>
  <c r="L27" i="35"/>
  <c r="M27" i="35"/>
  <c r="L14" i="35"/>
  <c r="M14" i="35"/>
  <c r="N14" i="35"/>
  <c r="J17" i="36" s="1"/>
  <c r="J46" i="33"/>
  <c r="N46" i="33"/>
  <c r="O46" i="33"/>
  <c r="L17" i="35"/>
  <c r="M17" i="35"/>
  <c r="N17" i="35"/>
  <c r="J20" i="36" s="1"/>
  <c r="L19" i="35"/>
  <c r="M19" i="35"/>
  <c r="J49" i="33" l="1"/>
  <c r="N49" i="33" s="1"/>
  <c r="N19" i="35"/>
  <c r="J22" i="36" s="1"/>
  <c r="O49" i="33"/>
  <c r="L21" i="35"/>
  <c r="M21" i="35"/>
  <c r="J51" i="33" l="1"/>
  <c r="N51" i="33" s="1"/>
  <c r="N21" i="35"/>
  <c r="J24" i="36" s="1"/>
  <c r="N27" i="35"/>
  <c r="J30" i="36" s="1"/>
  <c r="O51" i="33"/>
  <c r="L28" i="35"/>
  <c r="M28" i="35"/>
  <c r="J58" i="33" l="1"/>
  <c r="N58" i="33" s="1"/>
  <c r="J52" i="33"/>
  <c r="N52" i="33" s="1"/>
  <c r="N28" i="35"/>
  <c r="J31" i="36" s="1"/>
  <c r="O58" i="33"/>
  <c r="O52" i="33"/>
  <c r="L34" i="35"/>
  <c r="M34" i="35"/>
  <c r="J59" i="33" l="1"/>
  <c r="N59" i="33" s="1"/>
  <c r="N34" i="35"/>
  <c r="J37" i="36" s="1"/>
  <c r="O59" i="33"/>
  <c r="L42" i="35"/>
  <c r="M42" i="35"/>
  <c r="J64" i="33" l="1"/>
  <c r="N64" i="33" s="1"/>
  <c r="N42" i="35"/>
  <c r="J45" i="36" s="1"/>
  <c r="N43" i="35"/>
  <c r="J46" i="36" s="1"/>
  <c r="J73" i="33"/>
  <c r="N73" i="33" s="1"/>
  <c r="O64" i="33"/>
  <c r="O73" i="33"/>
  <c r="L46" i="35"/>
  <c r="M46" i="35"/>
  <c r="J72" i="33" l="1"/>
  <c r="N72" i="33" s="1"/>
  <c r="N46" i="35"/>
  <c r="J49" i="36" s="1"/>
  <c r="N50" i="35"/>
  <c r="J53" i="36" s="1"/>
  <c r="J79" i="33"/>
  <c r="N79" i="33"/>
  <c r="O72" i="33"/>
  <c r="O79" i="33"/>
  <c r="L52" i="35"/>
  <c r="M52" i="35"/>
  <c r="J75" i="33" l="1"/>
  <c r="N75" i="33" s="1"/>
  <c r="N52" i="35"/>
  <c r="J55" i="36" s="1"/>
  <c r="J81" i="33"/>
  <c r="N81" i="33"/>
  <c r="O75" i="33"/>
  <c r="O81" i="33"/>
  <c r="P41" i="33"/>
  <c r="N56" i="35"/>
  <c r="J59" i="36" s="1"/>
  <c r="K9" i="32"/>
  <c r="L9" i="32"/>
  <c r="O31" i="32"/>
  <c r="O32" i="32"/>
  <c r="AD78" i="32" s="1"/>
  <c r="AD30" i="32"/>
  <c r="AD38" i="32"/>
  <c r="AD46" i="32"/>
  <c r="AD54" i="32"/>
  <c r="AD62" i="32"/>
  <c r="AD70" i="32"/>
  <c r="AD94" i="32"/>
  <c r="AD49" i="32"/>
  <c r="AD66" i="32"/>
  <c r="AD90" i="32"/>
  <c r="AD67" i="32"/>
  <c r="AD91" i="32"/>
  <c r="AD52" i="32"/>
  <c r="AD76" i="32"/>
  <c r="AD45" i="32"/>
  <c r="AD85" i="32"/>
  <c r="AD31" i="32"/>
  <c r="AD39" i="32"/>
  <c r="AD47" i="32"/>
  <c r="AD63" i="32"/>
  <c r="AD71" i="32"/>
  <c r="AD79" i="32"/>
  <c r="AD87" i="32"/>
  <c r="AD41" i="32"/>
  <c r="AD89" i="32"/>
  <c r="AD43" i="32"/>
  <c r="AD59" i="32"/>
  <c r="AD83" i="32"/>
  <c r="AD68" i="32"/>
  <c r="AD92" i="32"/>
  <c r="AD53" i="32"/>
  <c r="AD93" i="32"/>
  <c r="AD32" i="32"/>
  <c r="AD40" i="32"/>
  <c r="AD48" i="32"/>
  <c r="AD56" i="32"/>
  <c r="AD64" i="32"/>
  <c r="AD72" i="32"/>
  <c r="AD88" i="32"/>
  <c r="AD81" i="32"/>
  <c r="AD82" i="32"/>
  <c r="AD35" i="32"/>
  <c r="AD36" i="32"/>
  <c r="AD84" i="32"/>
  <c r="AD77" i="32"/>
  <c r="AD33" i="32"/>
  <c r="AD57" i="32"/>
  <c r="AD34" i="32"/>
  <c r="AD42" i="32"/>
  <c r="AD58" i="32"/>
  <c r="AD69" i="32"/>
  <c r="AD61" i="32" l="1"/>
  <c r="AD60" i="32"/>
  <c r="AD96" i="32"/>
  <c r="AD95" i="32"/>
  <c r="AD73" i="32"/>
  <c r="AD86" i="32"/>
  <c r="AD50" i="32"/>
  <c r="AD37" i="32"/>
  <c r="AD75" i="32"/>
  <c r="AD65" i="32"/>
  <c r="AD80" i="32"/>
  <c r="AD44" i="32"/>
  <c r="AD74" i="32"/>
  <c r="AD55" i="32"/>
  <c r="AD51" i="32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<sst xmlns="http://schemas.openxmlformats.org/spreadsheetml/2006/main" count="302" uniqueCount="161">
  <si>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</si>
  <si>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</si>
  <si>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</si>
  <si>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</si>
  <si>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</si>
  <si>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</si>
  <si>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</si>
  <si>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</si>
  <si>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</si>
  <si>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</si>
  <si>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</si>
  <si>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</si>
  <si>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</si>
  <si>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OisCurve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</si>
  <si>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</si>
  <si>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</si>
  <si>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</si>
  <si>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</si>
  <si>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</si>
  <si>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</si>
  <si>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</si>
  <si>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</si>
  <si>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</si>
  <si>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</si>
  <si>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</si>
  <si>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</si>
  <si>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</si>
  <si>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</si>
  <si>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</si>
  <si>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</si>
  <si>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</si>
  <si>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</si>
  <si>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</si>
  <si>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</si>
  <si>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</si>
  <si>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</si>
  <si>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</si>
  <si>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</si>
  <si>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</si>
  <si>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</si>
  <si>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</si>
  <si>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</si>
  <si>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</si>
  <si>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</si>
  <si>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</si>
  <si>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</si>
  <si>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</si>
  <si>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</si>
  <si>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</si>
  <si>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</si>
  <si>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</si>
  <si>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</si>
  <si>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</si>
  <si>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</si>
  <si>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</si>
  <si>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</si>
  <si>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</si>
  <si>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</si>
  <si>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</si>
  <si>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</si>
  <si>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</si>
  <si>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</si>
  <si>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</si>
  <si>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</si>
  <si>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</si>
  <si>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</si>
  <si>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</si>
  <si>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</si>
  <si>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</si>
  <si>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</si>
  <si>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</si>
  <si>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</si>
  <si>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</si>
  <si>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</si>
  <si>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</si>
  <si>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</si>
  <si>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</si>
  <si>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</si>
  <si>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</si>
  <si>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</si>
  <si>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</si>
  <si>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</si>
  <si>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</si>
  <si>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</si>
  <si>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</si>
  <si>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</si>
  <si>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</si>
  <si>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</si>
  <si>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</si>
  <si>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</si>
  <si>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</si>
  <si>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</si>
  <si>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</si>
  <si>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</si>
  <si>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</si>
  <si>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</si>
  <si>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</si>
  <si>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</si>
  <si>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</si>
  <si>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</si>
  <si>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</si>
  <si>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</si>
  <si>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</si>
  <si>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</si>
  <si>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</si>
  <si>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</si>
  <si>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</si>
  <si>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</si>
  <si>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</si>
  <si>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</si>
  <si>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</si>
  <si>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</si>
  <si>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</si>
  <si>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</si>
  <si>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</si>
  <si>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</si>
  <si>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</si>
  <si>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</si>
  <si>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</si>
  <si>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</si>
  <si>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</si>
  <si>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</si>
  <si>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</si>
  <si>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</si>
  <si>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</si>
  <si>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</si>
  <si>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</si>
  <si>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</si>
  <si>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</si>
  <si>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</si>
  <si>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</si>
  <si>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</si>
  <si>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</si>
  <si>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</si>
  <si>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</si>
  <si>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</si>
  <si>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</si>
  <si>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</si>
  <si>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</si>
  <si>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</si>
  <si>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</si>
  <si>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</si>
  <si>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Synt FRA</t>
  </si>
  <si>
    <t>Linear</t>
  </si>
  <si>
    <t>Quadratic</t>
  </si>
  <si>
    <t>EURFUT3MQ4_Quote</t>
  </si>
  <si>
    <t>EURFUT3MU4_Quote</t>
  </si>
  <si>
    <t>Euribor3M LastFixing</t>
  </si>
  <si>
    <t>Instruments</t>
  </si>
  <si>
    <t>Basis</t>
  </si>
  <si>
    <t>FRA 12x24</t>
  </si>
  <si>
    <t>IRS 3Y (vs 12M Euribor)</t>
  </si>
  <si>
    <t>IRS 4Y (vs 12M Euribor)</t>
  </si>
  <si>
    <t>IRS 5Y (vs 12M Euribor)</t>
  </si>
  <si>
    <t>Implied FRA</t>
  </si>
  <si>
    <t>Fixing 12M</t>
  </si>
  <si>
    <t>Fixing Euribor 3M</t>
  </si>
  <si>
    <t>α, β, γ</t>
  </si>
  <si>
    <t>quadratic</t>
  </si>
  <si>
    <t>linear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</si>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</sst>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  <numFmt numFmtId="180" formatCode="0.E+00"/>
    <numFmt numFmtId="185" formatCode="0.0000E+00"/>
  </numFmts>
  <fonts count="27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  <font>
      <sz val="10"/>
      <name val="Courier New"/>
      <family val="3"/>
    </font>
    <font>
      <sz val="10"/>
      <color theme="0"/>
      <name val="Courier New"/>
      <family val="3"/>
    </font>
    <font>
      <sz val="8"/>
      <color theme="0"/>
      <name val="Courier New"/>
      <family val="3"/>
    </font>
    <font>
      <b/>
      <i/>
      <sz val="8"/>
      <name val="Courier New"/>
      <family val="3"/>
    </font>
    <font>
      <sz val="12"/>
      <name val="Calibri"/>
      <family val="2"/>
    </font>
  </fonts>
  <fills count="16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166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8" fillId="0" borderId="0"/>
    <xf numFmtId="165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" fillId="0" borderId="0"/>
    <xf numFmtId="0" fontId="3" fillId="0" borderId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11" fillId="0" borderId="0"/>
    <xf numFmtId="9" fontId="11" fillId="0" borderId="0" applyFont="0" applyFill="0" applyBorder="0" applyAlignment="0" applyProtection="0"/>
    <xf numFmtId="0" fontId="5" fillId="0" borderId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475">
    <xf numFmtId="0" fontId="0" fillId="0" borderId="0" xfId="0"/>
    <xf numFmtId="0" fontId="10" fillId="3" borderId="0" xfId="15" applyFont="1" applyFill="1"/>
    <xf numFmtId="0" fontId="10" fillId="5" borderId="4" xfId="15" applyFont="1" applyFill="1" applyBorder="1"/>
    <xf numFmtId="0" fontId="10" fillId="5" borderId="0" xfId="15" applyFont="1" applyFill="1" applyBorder="1"/>
    <xf numFmtId="0" fontId="10" fillId="5" borderId="5" xfId="15" applyFont="1" applyFill="1" applyBorder="1"/>
    <xf numFmtId="0" fontId="10" fillId="6" borderId="6" xfId="15" applyFont="1" applyFill="1" applyBorder="1" applyAlignment="1">
      <alignment horizontal="right"/>
    </xf>
    <xf numFmtId="0" fontId="10" fillId="5" borderId="6" xfId="15" applyFont="1" applyFill="1" applyBorder="1" applyAlignment="1">
      <alignment horizontal="center"/>
    </xf>
    <xf numFmtId="168" fontId="10" fillId="5" borderId="6" xfId="15" applyNumberFormat="1" applyFont="1" applyFill="1" applyBorder="1" applyAlignment="1">
      <alignment horizontal="center"/>
    </xf>
    <xf numFmtId="0" fontId="10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0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0" fillId="5" borderId="7" xfId="17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0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0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10" fillId="5" borderId="10" xfId="15" applyFont="1" applyFill="1" applyBorder="1"/>
    <xf numFmtId="0" fontId="10" fillId="5" borderId="11" xfId="15" applyFont="1" applyFill="1" applyBorder="1"/>
    <xf numFmtId="0" fontId="10" fillId="5" borderId="12" xfId="15" applyFont="1" applyFill="1" applyBorder="1"/>
    <xf numFmtId="0" fontId="10" fillId="3" borderId="0" xfId="15" applyFont="1" applyFill="1" applyBorder="1"/>
    <xf numFmtId="0" fontId="10" fillId="5" borderId="0" xfId="0" applyFont="1" applyFill="1" applyBorder="1"/>
    <xf numFmtId="0" fontId="10" fillId="0" borderId="0" xfId="0" applyFont="1"/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169" fontId="10" fillId="0" borderId="21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22" xfId="0" applyFont="1" applyBorder="1"/>
    <xf numFmtId="0" fontId="10" fillId="0" borderId="18" xfId="0" applyFont="1" applyBorder="1"/>
    <xf numFmtId="0" fontId="10" fillId="8" borderId="22" xfId="0" applyFont="1" applyFill="1" applyBorder="1" applyAlignment="1"/>
    <xf numFmtId="171" fontId="10" fillId="8" borderId="23" xfId="0" applyNumberFormat="1" applyFont="1" applyFill="1" applyBorder="1" applyAlignment="1"/>
    <xf numFmtId="171" fontId="10" fillId="8" borderId="18" xfId="0" applyNumberFormat="1" applyFont="1" applyFill="1" applyBorder="1" applyAlignment="1"/>
    <xf numFmtId="172" fontId="10" fillId="8" borderId="22" xfId="0" applyNumberFormat="1" applyFont="1" applyFill="1" applyBorder="1" applyAlignment="1"/>
    <xf numFmtId="172" fontId="10" fillId="8" borderId="23" xfId="17" applyNumberFormat="1" applyFont="1" applyFill="1" applyBorder="1"/>
    <xf numFmtId="172" fontId="10" fillId="8" borderId="18" xfId="0" applyNumberFormat="1" applyFont="1" applyFill="1" applyBorder="1"/>
    <xf numFmtId="0" fontId="10" fillId="8" borderId="0" xfId="0" applyFont="1" applyFill="1"/>
    <xf numFmtId="0" fontId="10" fillId="8" borderId="0" xfId="0" applyFont="1" applyFill="1" applyBorder="1"/>
    <xf numFmtId="0" fontId="10" fillId="8" borderId="0" xfId="0" applyNumberFormat="1" applyFont="1" applyFill="1" applyBorder="1"/>
    <xf numFmtId="2" fontId="10" fillId="8" borderId="0" xfId="0" applyNumberFormat="1" applyFont="1" applyFill="1"/>
    <xf numFmtId="0" fontId="10" fillId="0" borderId="13" xfId="0" applyFont="1" applyFill="1" applyBorder="1"/>
    <xf numFmtId="0" fontId="10" fillId="0" borderId="9" xfId="0" applyFont="1" applyBorder="1"/>
    <xf numFmtId="0" fontId="10" fillId="8" borderId="13" xfId="0" applyFont="1" applyFill="1" applyBorder="1" applyAlignment="1"/>
    <xf numFmtId="171" fontId="10" fillId="8" borderId="0" xfId="0" applyNumberFormat="1" applyFont="1" applyFill="1" applyBorder="1" applyAlignment="1"/>
    <xf numFmtId="171" fontId="10" fillId="8" borderId="9" xfId="0" applyNumberFormat="1" applyFont="1" applyFill="1" applyBorder="1" applyAlignment="1"/>
    <xf numFmtId="172" fontId="10" fillId="8" borderId="13" xfId="0" applyNumberFormat="1" applyFont="1" applyFill="1" applyBorder="1" applyAlignment="1"/>
    <xf numFmtId="172" fontId="10" fillId="8" borderId="0" xfId="17" applyNumberFormat="1" applyFont="1" applyFill="1" applyBorder="1"/>
    <xf numFmtId="172" fontId="10" fillId="8" borderId="9" xfId="0" applyNumberFormat="1" applyFont="1" applyFill="1" applyBorder="1"/>
    <xf numFmtId="172" fontId="10" fillId="8" borderId="0" xfId="0" applyNumberFormat="1" applyFont="1" applyFill="1" applyBorder="1"/>
    <xf numFmtId="0" fontId="10" fillId="0" borderId="13" xfId="0" applyFont="1" applyBorder="1" applyAlignment="1"/>
    <xf numFmtId="171" fontId="10" fillId="0" borderId="0" xfId="0" applyNumberFormat="1" applyFont="1" applyBorder="1" applyAlignment="1"/>
    <xf numFmtId="171" fontId="10" fillId="0" borderId="9" xfId="0" applyNumberFormat="1" applyFont="1" applyBorder="1" applyAlignment="1"/>
    <xf numFmtId="172" fontId="10" fillId="0" borderId="13" xfId="0" applyNumberFormat="1" applyFont="1" applyBorder="1" applyAlignment="1"/>
    <xf numFmtId="172" fontId="10" fillId="0" borderId="0" xfId="17" applyNumberFormat="1" applyFont="1" applyBorder="1"/>
    <xf numFmtId="172" fontId="10" fillId="0" borderId="9" xfId="0" applyNumberFormat="1" applyFont="1" applyBorder="1"/>
    <xf numFmtId="0" fontId="10" fillId="0" borderId="0" xfId="0" applyFont="1" applyBorder="1"/>
    <xf numFmtId="0" fontId="10" fillId="0" borderId="0" xfId="0" applyNumberFormat="1" applyFont="1" applyBorder="1"/>
    <xf numFmtId="2" fontId="10" fillId="0" borderId="0" xfId="0" applyNumberFormat="1" applyFont="1"/>
    <xf numFmtId="0" fontId="10" fillId="0" borderId="14" xfId="0" applyFont="1" applyBorder="1" applyAlignment="1"/>
    <xf numFmtId="172" fontId="10" fillId="0" borderId="13" xfId="17" applyNumberFormat="1" applyFont="1" applyBorder="1" applyAlignment="1"/>
    <xf numFmtId="172" fontId="10" fillId="0" borderId="0" xfId="17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6" fillId="0" borderId="0" xfId="0" applyNumberFormat="1" applyFont="1" applyBorder="1"/>
    <xf numFmtId="0" fontId="10" fillId="8" borderId="0" xfId="0" quotePrefix="1" applyFont="1" applyFill="1" applyBorder="1"/>
    <xf numFmtId="0" fontId="10" fillId="0" borderId="13" xfId="0" applyFont="1" applyBorder="1"/>
    <xf numFmtId="172" fontId="10" fillId="8" borderId="13" xfId="17" applyNumberFormat="1" applyFont="1" applyFill="1" applyBorder="1" applyAlignment="1"/>
    <xf numFmtId="2" fontId="10" fillId="0" borderId="22" xfId="0" applyNumberFormat="1" applyFont="1" applyBorder="1"/>
    <xf numFmtId="2" fontId="10" fillId="0" borderId="13" xfId="0" applyNumberFormat="1" applyFont="1" applyBorder="1"/>
    <xf numFmtId="2" fontId="10" fillId="0" borderId="14" xfId="0" applyNumberFormat="1" applyFont="1" applyBorder="1"/>
    <xf numFmtId="2" fontId="10" fillId="0" borderId="23" xfId="0" applyNumberFormat="1" applyFont="1" applyBorder="1"/>
    <xf numFmtId="2" fontId="10" fillId="0" borderId="0" xfId="0" applyNumberFormat="1" applyFont="1" applyBorder="1"/>
    <xf numFmtId="2" fontId="10" fillId="0" borderId="15" xfId="0" applyNumberFormat="1" applyFont="1" applyBorder="1"/>
    <xf numFmtId="2" fontId="10" fillId="0" borderId="18" xfId="0" applyNumberFormat="1" applyFont="1" applyBorder="1"/>
    <xf numFmtId="2" fontId="10" fillId="0" borderId="9" xfId="0" applyNumberFormat="1" applyFont="1" applyBorder="1"/>
    <xf numFmtId="2" fontId="10" fillId="0" borderId="16" xfId="0" applyNumberFormat="1" applyFont="1" applyBorder="1"/>
    <xf numFmtId="172" fontId="10" fillId="0" borderId="17" xfId="0" applyNumberFormat="1" applyFont="1" applyBorder="1"/>
    <xf numFmtId="172" fontId="10" fillId="0" borderId="8" xfId="0" applyNumberFormat="1" applyFont="1" applyBorder="1"/>
    <xf numFmtId="172" fontId="10" fillId="0" borderId="19" xfId="0" applyNumberFormat="1" applyFont="1" applyBorder="1"/>
    <xf numFmtId="175" fontId="10" fillId="0" borderId="22" xfId="0" applyNumberFormat="1" applyFont="1" applyBorder="1"/>
    <xf numFmtId="175" fontId="10" fillId="0" borderId="23" xfId="0" applyNumberFormat="1" applyFont="1" applyBorder="1"/>
    <xf numFmtId="175" fontId="10" fillId="0" borderId="18" xfId="0" applyNumberFormat="1" applyFont="1" applyBorder="1"/>
    <xf numFmtId="175" fontId="10" fillId="0" borderId="13" xfId="0" applyNumberFormat="1" applyFont="1" applyBorder="1"/>
    <xf numFmtId="175" fontId="10" fillId="0" borderId="0" xfId="0" applyNumberFormat="1" applyFont="1" applyBorder="1"/>
    <xf numFmtId="175" fontId="10" fillId="0" borderId="9" xfId="0" applyNumberFormat="1" applyFont="1" applyBorder="1"/>
    <xf numFmtId="175" fontId="10" fillId="0" borderId="14" xfId="0" applyNumberFormat="1" applyFont="1" applyBorder="1"/>
    <xf numFmtId="175" fontId="10" fillId="0" borderId="15" xfId="0" applyNumberFormat="1" applyFont="1" applyBorder="1"/>
    <xf numFmtId="175" fontId="10" fillId="0" borderId="16" xfId="0" applyNumberFormat="1" applyFont="1" applyBorder="1"/>
    <xf numFmtId="175" fontId="10" fillId="0" borderId="17" xfId="0" applyNumberFormat="1" applyFont="1" applyBorder="1"/>
    <xf numFmtId="175" fontId="10" fillId="0" borderId="8" xfId="0" applyNumberFormat="1" applyFont="1" applyBorder="1"/>
    <xf numFmtId="175" fontId="10" fillId="0" borderId="19" xfId="0" applyNumberFormat="1" applyFont="1" applyBorder="1"/>
    <xf numFmtId="172" fontId="10" fillId="0" borderId="0" xfId="0" applyNumberFormat="1" applyFont="1"/>
    <xf numFmtId="0" fontId="10" fillId="0" borderId="23" xfId="0" applyFont="1" applyBorder="1"/>
    <xf numFmtId="169" fontId="10" fillId="0" borderId="23" xfId="0" applyNumberFormat="1" applyFont="1" applyBorder="1" applyAlignment="1"/>
    <xf numFmtId="172" fontId="10" fillId="0" borderId="23" xfId="0" applyNumberFormat="1" applyFont="1" applyBorder="1" applyAlignment="1"/>
    <xf numFmtId="172" fontId="10" fillId="0" borderId="0" xfId="17" applyNumberFormat="1" applyFont="1"/>
    <xf numFmtId="169" fontId="10" fillId="0" borderId="0" xfId="0" applyNumberFormat="1" applyFont="1" applyBorder="1" applyAlignment="1"/>
    <xf numFmtId="0" fontId="10" fillId="0" borderId="17" xfId="0" applyFont="1" applyBorder="1" applyAlignment="1">
      <alignment horizontal="center"/>
    </xf>
    <xf numFmtId="172" fontId="10" fillId="0" borderId="23" xfId="0" applyNumberFormat="1" applyFont="1" applyBorder="1"/>
    <xf numFmtId="172" fontId="10" fillId="0" borderId="18" xfId="0" applyNumberFormat="1" applyFont="1" applyBorder="1"/>
    <xf numFmtId="172" fontId="10" fillId="0" borderId="20" xfId="0" applyNumberFormat="1" applyFont="1" applyBorder="1"/>
    <xf numFmtId="172" fontId="10" fillId="0" borderId="21" xfId="0" applyNumberFormat="1" applyFont="1" applyBorder="1"/>
    <xf numFmtId="172" fontId="10" fillId="0" borderId="7" xfId="0" applyNumberFormat="1" applyFont="1" applyBorder="1"/>
    <xf numFmtId="0" fontId="10" fillId="0" borderId="8" xfId="0" applyFont="1" applyBorder="1" applyAlignment="1">
      <alignment horizontal="center"/>
    </xf>
    <xf numFmtId="172" fontId="10" fillId="0" borderId="0" xfId="0" applyNumberFormat="1" applyFont="1" applyBorder="1"/>
    <xf numFmtId="0" fontId="10" fillId="0" borderId="6" xfId="0" applyFont="1" applyBorder="1"/>
    <xf numFmtId="0" fontId="10" fillId="0" borderId="22" xfId="0" applyFont="1" applyBorder="1" applyAlignment="1">
      <alignment horizontal="right"/>
    </xf>
    <xf numFmtId="171" fontId="10" fillId="0" borderId="23" xfId="0" applyNumberFormat="1" applyFont="1" applyBorder="1" applyAlignment="1"/>
    <xf numFmtId="171" fontId="10" fillId="0" borderId="18" xfId="0" applyNumberFormat="1" applyFont="1" applyBorder="1"/>
    <xf numFmtId="172" fontId="16" fillId="0" borderId="0" xfId="17" applyNumberFormat="1" applyFont="1" applyBorder="1"/>
    <xf numFmtId="0" fontId="10" fillId="0" borderId="17" xfId="0" applyFont="1" applyBorder="1"/>
    <xf numFmtId="172" fontId="10" fillId="0" borderId="17" xfId="17" applyNumberFormat="1" applyFont="1" applyBorder="1"/>
    <xf numFmtId="172" fontId="10" fillId="0" borderId="13" xfId="0" applyNumberFormat="1" applyFont="1" applyBorder="1"/>
    <xf numFmtId="0" fontId="10" fillId="0" borderId="17" xfId="0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171" fontId="10" fillId="0" borderId="9" xfId="0" applyNumberFormat="1" applyFont="1" applyBorder="1"/>
    <xf numFmtId="0" fontId="10" fillId="0" borderId="8" xfId="0" applyFont="1" applyBorder="1"/>
    <xf numFmtId="172" fontId="10" fillId="0" borderId="8" xfId="17" applyNumberFormat="1" applyFont="1" applyBorder="1"/>
    <xf numFmtId="0" fontId="10" fillId="0" borderId="8" xfId="0" applyFont="1" applyBorder="1" applyAlignment="1">
      <alignment horizontal="right"/>
    </xf>
    <xf numFmtId="0" fontId="10" fillId="0" borderId="14" xfId="0" applyFont="1" applyBorder="1"/>
    <xf numFmtId="0" fontId="10" fillId="0" borderId="15" xfId="0" applyFont="1" applyBorder="1"/>
    <xf numFmtId="0" fontId="10" fillId="0" borderId="14" xfId="0" applyFont="1" applyBorder="1" applyAlignment="1">
      <alignment horizontal="right"/>
    </xf>
    <xf numFmtId="171" fontId="10" fillId="0" borderId="15" xfId="0" applyNumberFormat="1" applyFont="1" applyBorder="1" applyAlignment="1"/>
    <xf numFmtId="171" fontId="10" fillId="0" borderId="16" xfId="0" applyNumberFormat="1" applyFont="1" applyBorder="1"/>
    <xf numFmtId="172" fontId="16" fillId="0" borderId="15" xfId="17" applyNumberFormat="1" applyFont="1" applyBorder="1"/>
    <xf numFmtId="0" fontId="10" fillId="0" borderId="19" xfId="0" applyFont="1" applyBorder="1"/>
    <xf numFmtId="172" fontId="10" fillId="0" borderId="19" xfId="17" applyNumberFormat="1" applyFont="1" applyBorder="1"/>
    <xf numFmtId="172" fontId="10" fillId="0" borderId="14" xfId="0" applyNumberFormat="1" applyFont="1" applyBorder="1"/>
    <xf numFmtId="172" fontId="10" fillId="0" borderId="15" xfId="0" applyNumberFormat="1" applyFont="1" applyBorder="1"/>
    <xf numFmtId="172" fontId="10" fillId="0" borderId="16" xfId="0" applyNumberFormat="1" applyFont="1" applyBorder="1"/>
    <xf numFmtId="0" fontId="10" fillId="0" borderId="19" xfId="0" applyFont="1" applyBorder="1" applyAlignment="1">
      <alignment horizontal="right"/>
    </xf>
    <xf numFmtId="172" fontId="16" fillId="0" borderId="23" xfId="17" applyNumberFormat="1" applyFont="1" applyBorder="1"/>
    <xf numFmtId="172" fontId="16" fillId="9" borderId="17" xfId="17" applyNumberFormat="1" applyFont="1" applyFill="1" applyBorder="1" applyAlignment="1"/>
    <xf numFmtId="172" fontId="16" fillId="9" borderId="8" xfId="17" applyNumberFormat="1" applyFont="1" applyFill="1" applyBorder="1" applyAlignment="1"/>
    <xf numFmtId="172" fontId="16" fillId="9" borderId="13" xfId="17" applyNumberFormat="1" applyFont="1" applyFill="1" applyBorder="1" applyAlignment="1"/>
    <xf numFmtId="172" fontId="16" fillId="9" borderId="18" xfId="17" applyNumberFormat="1" applyFont="1" applyFill="1" applyBorder="1"/>
    <xf numFmtId="172" fontId="16" fillId="9" borderId="9" xfId="17" applyNumberFormat="1" applyFont="1" applyFill="1" applyBorder="1"/>
    <xf numFmtId="0" fontId="10" fillId="0" borderId="13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172" fontId="16" fillId="9" borderId="16" xfId="17" applyNumberFormat="1" applyFont="1" applyFill="1" applyBorder="1"/>
    <xf numFmtId="172" fontId="16" fillId="9" borderId="0" xfId="17" applyNumberFormat="1" applyFont="1" applyFill="1" applyBorder="1"/>
    <xf numFmtId="172" fontId="16" fillId="10" borderId="13" xfId="17" applyNumberFormat="1" applyFont="1" applyFill="1" applyBorder="1" applyAlignment="1">
      <alignment horizontal="left"/>
    </xf>
    <xf numFmtId="172" fontId="16" fillId="10" borderId="0" xfId="17" applyNumberFormat="1" applyFont="1" applyFill="1" applyBorder="1"/>
    <xf numFmtId="172" fontId="16" fillId="10" borderId="13" xfId="17" applyNumberFormat="1" applyFont="1" applyFill="1" applyBorder="1" applyAlignment="1"/>
    <xf numFmtId="172" fontId="16" fillId="10" borderId="0" xfId="17" applyNumberFormat="1" applyFont="1" applyFill="1" applyBorder="1" applyAlignment="1">
      <alignment horizontal="center"/>
    </xf>
    <xf numFmtId="172" fontId="16" fillId="10" borderId="9" xfId="17" applyNumberFormat="1" applyFont="1" applyFill="1" applyBorder="1"/>
    <xf numFmtId="172" fontId="16" fillId="10" borderId="9" xfId="17" applyNumberFormat="1" applyFont="1" applyFill="1" applyBorder="1" applyAlignment="1">
      <alignment horizontal="right"/>
    </xf>
    <xf numFmtId="172" fontId="16" fillId="9" borderId="14" xfId="17" applyNumberFormat="1" applyFont="1" applyFill="1" applyBorder="1" applyAlignment="1"/>
    <xf numFmtId="172" fontId="16" fillId="9" borderId="15" xfId="17" applyNumberFormat="1" applyFont="1" applyFill="1" applyBorder="1"/>
    <xf numFmtId="176" fontId="10" fillId="0" borderId="0" xfId="0" applyNumberFormat="1" applyFont="1"/>
    <xf numFmtId="0" fontId="10" fillId="5" borderId="24" xfId="14" applyFont="1" applyFill="1" applyBorder="1"/>
    <xf numFmtId="0" fontId="10" fillId="5" borderId="25" xfId="14" applyFont="1" applyFill="1" applyBorder="1"/>
    <xf numFmtId="0" fontId="10" fillId="5" borderId="26" xfId="14" applyFont="1" applyFill="1" applyBorder="1"/>
    <xf numFmtId="0" fontId="10" fillId="0" borderId="0" xfId="14" applyFont="1"/>
    <xf numFmtId="0" fontId="10" fillId="5" borderId="24" xfId="20" applyFont="1" applyFill="1" applyBorder="1" applyAlignment="1">
      <alignment horizontal="center"/>
    </xf>
    <xf numFmtId="0" fontId="10" fillId="5" borderId="25" xfId="20" applyFont="1" applyFill="1" applyBorder="1"/>
    <xf numFmtId="0" fontId="10" fillId="5" borderId="25" xfId="20" applyFont="1" applyFill="1" applyBorder="1" applyAlignment="1">
      <alignment horizontal="center"/>
    </xf>
    <xf numFmtId="0" fontId="10" fillId="5" borderId="26" xfId="18" applyFont="1" applyFill="1" applyBorder="1"/>
    <xf numFmtId="0" fontId="11" fillId="0" borderId="0" xfId="14" applyFont="1"/>
    <xf numFmtId="0" fontId="10" fillId="5" borderId="5" xfId="14" applyFont="1" applyFill="1" applyBorder="1" applyAlignment="1">
      <alignment horizontal="center"/>
    </xf>
    <xf numFmtId="0" fontId="10" fillId="5" borderId="4" xfId="20" applyFont="1" applyFill="1" applyBorder="1" applyAlignment="1">
      <alignment horizontal="center"/>
    </xf>
    <xf numFmtId="0" fontId="10" fillId="5" borderId="0" xfId="20" applyFont="1" applyFill="1" applyBorder="1" applyAlignment="1">
      <alignment horizontal="center"/>
    </xf>
    <xf numFmtId="0" fontId="10" fillId="5" borderId="5" xfId="18" applyFont="1" applyFill="1" applyBorder="1"/>
    <xf numFmtId="0" fontId="10" fillId="5" borderId="17" xfId="14" applyNumberFormat="1" applyFont="1" applyFill="1" applyBorder="1" applyAlignment="1"/>
    <xf numFmtId="0" fontId="10" fillId="5" borderId="0" xfId="20" quotePrefix="1" applyFont="1" applyFill="1" applyBorder="1" applyAlignment="1">
      <alignment horizontal="center"/>
    </xf>
    <xf numFmtId="0" fontId="10" fillId="5" borderId="8" xfId="14" applyNumberFormat="1" applyFont="1" applyFill="1" applyBorder="1" applyAlignment="1"/>
    <xf numFmtId="0" fontId="11" fillId="5" borderId="4" xfId="14" applyFont="1" applyFill="1" applyBorder="1" applyAlignment="1">
      <alignment horizontal="center"/>
    </xf>
    <xf numFmtId="0" fontId="11" fillId="5" borderId="5" xfId="14" applyFont="1" applyFill="1" applyBorder="1" applyAlignment="1">
      <alignment horizontal="center"/>
    </xf>
    <xf numFmtId="0" fontId="10" fillId="5" borderId="4" xfId="0" applyFont="1" applyFill="1" applyBorder="1"/>
    <xf numFmtId="0" fontId="10" fillId="5" borderId="0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5" borderId="0" xfId="0" quotePrefix="1" applyFont="1" applyFill="1" applyBorder="1" applyAlignment="1">
      <alignment horizontal="center"/>
    </xf>
    <xf numFmtId="0" fontId="10" fillId="5" borderId="5" xfId="0" applyFont="1" applyFill="1" applyBorder="1"/>
    <xf numFmtId="0" fontId="10" fillId="5" borderId="10" xfId="0" applyFont="1" applyFill="1" applyBorder="1"/>
    <xf numFmtId="0" fontId="10" fillId="5" borderId="11" xfId="0" applyFont="1" applyFill="1" applyBorder="1"/>
    <xf numFmtId="0" fontId="10" fillId="5" borderId="12" xfId="0" applyFont="1" applyFill="1" applyBorder="1"/>
    <xf numFmtId="0" fontId="4" fillId="5" borderId="5" xfId="14" applyFont="1" applyFill="1" applyBorder="1"/>
    <xf numFmtId="0" fontId="11" fillId="5" borderId="10" xfId="14" applyFont="1" applyFill="1" applyBorder="1" applyAlignment="1">
      <alignment horizontal="center"/>
    </xf>
    <xf numFmtId="0" fontId="4" fillId="5" borderId="12" xfId="14" applyFont="1" applyFill="1" applyBorder="1"/>
    <xf numFmtId="0" fontId="17" fillId="10" borderId="21" xfId="8" applyFont="1" applyFill="1" applyBorder="1" applyAlignment="1">
      <alignment horizontal="center" vertical="center" wrapText="1"/>
    </xf>
    <xf numFmtId="0" fontId="17" fillId="10" borderId="7" xfId="8" applyFont="1" applyFill="1" applyBorder="1" applyAlignment="1">
      <alignment horizontal="center" vertical="center" wrapText="1"/>
    </xf>
    <xf numFmtId="0" fontId="10" fillId="0" borderId="0" xfId="8" applyFont="1"/>
    <xf numFmtId="0" fontId="17" fillId="5" borderId="14" xfId="8" applyFont="1" applyFill="1" applyBorder="1" applyAlignment="1">
      <alignment vertical="center" textRotation="90"/>
    </xf>
    <xf numFmtId="0" fontId="10" fillId="5" borderId="15" xfId="8" applyNumberFormat="1" applyFont="1" applyFill="1" applyBorder="1" applyAlignment="1"/>
    <xf numFmtId="0" fontId="10" fillId="5" borderId="15" xfId="8" applyFont="1" applyFill="1" applyBorder="1" applyAlignment="1"/>
    <xf numFmtId="172" fontId="10" fillId="5" borderId="15" xfId="11" applyNumberFormat="1" applyFont="1" applyFill="1" applyBorder="1" applyAlignment="1">
      <alignment horizontal="right"/>
    </xf>
    <xf numFmtId="0" fontId="10" fillId="5" borderId="15" xfId="8" applyFont="1" applyFill="1" applyBorder="1" applyAlignment="1">
      <alignment horizontal="center"/>
    </xf>
    <xf numFmtId="169" fontId="10" fillId="5" borderId="15" xfId="8" applyNumberFormat="1" applyFont="1" applyFill="1" applyBorder="1" applyAlignment="1">
      <alignment horizontal="right"/>
    </xf>
    <xf numFmtId="169" fontId="10" fillId="5" borderId="16" xfId="8" applyNumberFormat="1" applyFont="1" applyFill="1" applyBorder="1" applyAlignment="1">
      <alignment horizontal="right"/>
    </xf>
    <xf numFmtId="0" fontId="10" fillId="5" borderId="20" xfId="8" applyNumberFormat="1" applyFont="1" applyFill="1" applyBorder="1" applyAlignment="1"/>
    <xf numFmtId="0" fontId="10" fillId="5" borderId="21" xfId="8" applyNumberFormat="1" applyFont="1" applyFill="1" applyBorder="1" applyAlignment="1"/>
    <xf numFmtId="172" fontId="10" fillId="5" borderId="21" xfId="11" applyNumberFormat="1" applyFont="1" applyFill="1" applyBorder="1" applyAlignment="1">
      <alignment horizontal="right"/>
    </xf>
    <xf numFmtId="0" fontId="10" fillId="5" borderId="21" xfId="8" applyFont="1" applyFill="1" applyBorder="1" applyAlignment="1">
      <alignment horizontal="center"/>
    </xf>
    <xf numFmtId="169" fontId="10" fillId="5" borderId="21" xfId="8" applyNumberFormat="1" applyFont="1" applyFill="1" applyBorder="1" applyAlignment="1">
      <alignment horizontal="right"/>
    </xf>
    <xf numFmtId="169" fontId="10" fillId="5" borderId="7" xfId="8" applyNumberFormat="1" applyFont="1" applyFill="1" applyBorder="1" applyAlignment="1">
      <alignment horizontal="right"/>
    </xf>
    <xf numFmtId="172" fontId="10" fillId="0" borderId="0" xfId="8" applyNumberFormat="1" applyFont="1"/>
    <xf numFmtId="0" fontId="10" fillId="5" borderId="22" xfId="8" applyNumberFormat="1" applyFont="1" applyFill="1" applyBorder="1" applyAlignment="1"/>
    <xf numFmtId="0" fontId="10" fillId="5" borderId="23" xfId="8" applyNumberFormat="1" applyFont="1" applyFill="1" applyBorder="1" applyAlignment="1"/>
    <xf numFmtId="0" fontId="10" fillId="5" borderId="23" xfId="8" applyFont="1" applyFill="1" applyBorder="1" applyAlignment="1"/>
    <xf numFmtId="172" fontId="10" fillId="5" borderId="23" xfId="11" applyNumberFormat="1" applyFont="1" applyFill="1" applyBorder="1" applyAlignment="1">
      <alignment horizontal="right"/>
    </xf>
    <xf numFmtId="0" fontId="10" fillId="5" borderId="23" xfId="8" applyFont="1" applyFill="1" applyBorder="1" applyAlignment="1">
      <alignment horizontal="center"/>
    </xf>
    <xf numFmtId="169" fontId="10" fillId="5" borderId="23" xfId="8" applyNumberFormat="1" applyFont="1" applyFill="1" applyBorder="1" applyAlignment="1">
      <alignment horizontal="right"/>
    </xf>
    <xf numFmtId="169" fontId="10" fillId="5" borderId="18" xfId="8" applyNumberFormat="1" applyFont="1" applyFill="1" applyBorder="1" applyAlignment="1">
      <alignment horizontal="right"/>
    </xf>
    <xf numFmtId="0" fontId="10" fillId="5" borderId="13" xfId="8" applyNumberFormat="1" applyFont="1" applyFill="1" applyBorder="1" applyAlignment="1"/>
    <xf numFmtId="0" fontId="10" fillId="5" borderId="0" xfId="8" applyNumberFormat="1" applyFont="1" applyFill="1" applyBorder="1" applyAlignment="1"/>
    <xf numFmtId="0" fontId="10" fillId="5" borderId="0" xfId="8" applyFont="1" applyFill="1" applyBorder="1" applyAlignment="1"/>
    <xf numFmtId="172" fontId="10" fillId="5" borderId="0" xfId="11" applyNumberFormat="1" applyFont="1" applyFill="1" applyBorder="1" applyAlignment="1">
      <alignment horizontal="right"/>
    </xf>
    <xf numFmtId="0" fontId="10" fillId="5" borderId="0" xfId="8" applyFont="1" applyFill="1" applyBorder="1" applyAlignment="1">
      <alignment horizontal="center"/>
    </xf>
    <xf numFmtId="169" fontId="10" fillId="5" borderId="0" xfId="8" applyNumberFormat="1" applyFont="1" applyFill="1" applyBorder="1" applyAlignment="1">
      <alignment horizontal="right"/>
    </xf>
    <xf numFmtId="169" fontId="10" fillId="5" borderId="9" xfId="8" applyNumberFormat="1" applyFont="1" applyFill="1" applyBorder="1" applyAlignment="1">
      <alignment horizontal="right"/>
    </xf>
    <xf numFmtId="0" fontId="10" fillId="5" borderId="14" xfId="8" applyNumberFormat="1" applyFont="1" applyFill="1" applyBorder="1" applyAlignment="1"/>
    <xf numFmtId="0" fontId="10" fillId="0" borderId="0" xfId="8" applyFont="1" applyAlignment="1">
      <alignment horizontal="left"/>
    </xf>
    <xf numFmtId="0" fontId="17" fillId="10" borderId="20" xfId="8" applyFont="1" applyFill="1" applyBorder="1" applyAlignment="1">
      <alignment horizontal="center" vertical="center" wrapText="1"/>
    </xf>
    <xf numFmtId="0" fontId="10" fillId="0" borderId="0" xfId="8" applyFont="1" applyAlignment="1">
      <alignment horizontal="center" vertical="center" wrapText="1"/>
    </xf>
    <xf numFmtId="0" fontId="10" fillId="9" borderId="20" xfId="8" applyFont="1" applyFill="1" applyBorder="1"/>
    <xf numFmtId="0" fontId="10" fillId="9" borderId="21" xfId="8" applyFont="1" applyFill="1" applyBorder="1"/>
    <xf numFmtId="171" fontId="10" fillId="9" borderId="7" xfId="8" applyNumberFormat="1" applyFont="1" applyFill="1" applyBorder="1"/>
    <xf numFmtId="171" fontId="10" fillId="5" borderId="9" xfId="8" applyNumberFormat="1" applyFont="1" applyFill="1" applyBorder="1" applyAlignment="1"/>
    <xf numFmtId="172" fontId="10" fillId="0" borderId="0" xfId="11" applyNumberFormat="1" applyFont="1"/>
    <xf numFmtId="171" fontId="10" fillId="0" borderId="0" xfId="8" applyNumberFormat="1" applyFont="1"/>
    <xf numFmtId="0" fontId="10" fillId="5" borderId="13" xfId="8" applyFont="1" applyFill="1" applyBorder="1" applyAlignment="1"/>
    <xf numFmtId="172" fontId="10" fillId="5" borderId="0" xfId="8" applyNumberFormat="1" applyFont="1" applyFill="1" applyBorder="1" applyAlignment="1"/>
    <xf numFmtId="171" fontId="10" fillId="5" borderId="0" xfId="8" applyNumberFormat="1" applyFont="1" applyFill="1" applyBorder="1" applyAlignment="1"/>
    <xf numFmtId="0" fontId="10" fillId="5" borderId="14" xfId="8" applyFont="1" applyFill="1" applyBorder="1" applyAlignment="1"/>
    <xf numFmtId="172" fontId="10" fillId="5" borderId="15" xfId="8" applyNumberFormat="1" applyFont="1" applyFill="1" applyBorder="1" applyAlignment="1"/>
    <xf numFmtId="171" fontId="10" fillId="5" borderId="15" xfId="8" applyNumberFormat="1" applyFont="1" applyFill="1" applyBorder="1" applyAlignment="1"/>
    <xf numFmtId="171" fontId="10" fillId="5" borderId="16" xfId="8" applyNumberFormat="1" applyFont="1" applyFill="1" applyBorder="1" applyAlignment="1"/>
    <xf numFmtId="0" fontId="10" fillId="5" borderId="0" xfId="19" quotePrefix="1" applyFont="1" applyFill="1" applyBorder="1" applyAlignment="1">
      <alignment horizontal="center"/>
    </xf>
    <xf numFmtId="0" fontId="10" fillId="5" borderId="0" xfId="19" applyFont="1" applyFill="1" applyBorder="1" applyAlignment="1">
      <alignment horizontal="center"/>
    </xf>
    <xf numFmtId="0" fontId="10" fillId="11" borderId="4" xfId="15" applyFont="1" applyFill="1" applyBorder="1"/>
    <xf numFmtId="0" fontId="10" fillId="11" borderId="0" xfId="15" applyFont="1" applyFill="1" applyBorder="1" applyAlignment="1">
      <alignment horizontal="right"/>
    </xf>
    <xf numFmtId="171" fontId="10" fillId="11" borderId="0" xfId="17" applyNumberFormat="1" applyFont="1" applyFill="1" applyBorder="1" applyAlignment="1">
      <alignment horizontal="center"/>
    </xf>
    <xf numFmtId="0" fontId="10" fillId="11" borderId="0" xfId="15" applyFont="1" applyFill="1" applyBorder="1"/>
    <xf numFmtId="0" fontId="10" fillId="11" borderId="5" xfId="15" applyFont="1" applyFill="1" applyBorder="1"/>
    <xf numFmtId="168" fontId="11" fillId="5" borderId="6" xfId="15" applyNumberFormat="1" applyFont="1" applyFill="1" applyBorder="1" applyAlignment="1">
      <alignment horizontal="center"/>
    </xf>
    <xf numFmtId="1" fontId="10" fillId="5" borderId="6" xfId="15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10" fillId="6" borderId="6" xfId="15" applyFont="1" applyFill="1" applyBorder="1" applyAlignment="1">
      <alignment horizontal="right" vertical="center"/>
    </xf>
    <xf numFmtId="169" fontId="10" fillId="12" borderId="6" xfId="11" applyNumberFormat="1" applyFont="1" applyFill="1" applyBorder="1" applyAlignment="1">
      <alignment horizontal="center"/>
    </xf>
    <xf numFmtId="0" fontId="10" fillId="5" borderId="6" xfId="0" applyNumberFormat="1" applyFont="1" applyFill="1" applyBorder="1" applyAlignment="1">
      <alignment horizontal="center"/>
    </xf>
    <xf numFmtId="169" fontId="10" fillId="5" borderId="17" xfId="0" applyNumberFormat="1" applyFont="1" applyFill="1" applyBorder="1" applyAlignment="1">
      <alignment horizontal="right"/>
    </xf>
    <xf numFmtId="178" fontId="10" fillId="5" borderId="18" xfId="0" applyNumberFormat="1" applyFont="1" applyFill="1" applyBorder="1" applyAlignment="1">
      <alignment horizontal="center"/>
    </xf>
    <xf numFmtId="169" fontId="10" fillId="5" borderId="19" xfId="0" applyNumberFormat="1" applyFont="1" applyFill="1" applyBorder="1" applyAlignment="1">
      <alignment horizontal="right"/>
    </xf>
    <xf numFmtId="0" fontId="10" fillId="5" borderId="16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right"/>
    </xf>
    <xf numFmtId="179" fontId="10" fillId="7" borderId="18" xfId="0" quotePrefix="1" applyNumberFormat="1" applyFont="1" applyFill="1" applyBorder="1" applyAlignment="1">
      <alignment horizontal="center"/>
    </xf>
    <xf numFmtId="0" fontId="17" fillId="6" borderId="19" xfId="0" applyFont="1" applyFill="1" applyBorder="1" applyAlignment="1">
      <alignment horizontal="right"/>
    </xf>
    <xf numFmtId="1" fontId="16" fillId="7" borderId="16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1" fillId="5" borderId="11" xfId="14" applyNumberFormat="1" applyFont="1" applyFill="1" applyBorder="1" applyAlignment="1"/>
    <xf numFmtId="0" fontId="10" fillId="11" borderId="15" xfId="8" applyFont="1" applyFill="1" applyBorder="1"/>
    <xf numFmtId="0" fontId="10" fillId="11" borderId="21" xfId="8" applyFont="1" applyFill="1" applyBorder="1"/>
    <xf numFmtId="0" fontId="10" fillId="11" borderId="23" xfId="8" applyFont="1" applyFill="1" applyBorder="1"/>
    <xf numFmtId="0" fontId="10" fillId="11" borderId="0" xfId="8" applyFont="1" applyFill="1" applyBorder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1" fontId="10" fillId="0" borderId="17" xfId="0" applyNumberFormat="1" applyFont="1" applyBorder="1"/>
    <xf numFmtId="0" fontId="10" fillId="7" borderId="30" xfId="14" applyNumberFormat="1" applyFont="1" applyFill="1" applyBorder="1" applyAlignment="1" applyProtection="1"/>
    <xf numFmtId="0" fontId="10" fillId="5" borderId="32" xfId="14" applyNumberFormat="1" applyFont="1" applyFill="1" applyBorder="1" applyAlignment="1"/>
    <xf numFmtId="172" fontId="17" fillId="0" borderId="29" xfId="21" applyNumberFormat="1" applyFont="1" applyFill="1" applyBorder="1" applyAlignment="1">
      <alignment horizontal="center" vertical="center" wrapText="1"/>
    </xf>
    <xf numFmtId="173" fontId="17" fillId="0" borderId="30" xfId="21" applyNumberFormat="1" applyFont="1" applyFill="1" applyBorder="1" applyAlignment="1">
      <alignment horizontal="center" vertical="center" wrapText="1"/>
    </xf>
    <xf numFmtId="0" fontId="10" fillId="0" borderId="4" xfId="21" applyNumberFormat="1" applyFont="1" applyFill="1" applyBorder="1" applyAlignment="1">
      <alignment vertical="center"/>
    </xf>
    <xf numFmtId="172" fontId="10" fillId="0" borderId="5" xfId="21" quotePrefix="1" applyNumberFormat="1" applyFont="1" applyFill="1" applyBorder="1" applyAlignment="1"/>
    <xf numFmtId="0" fontId="10" fillId="0" borderId="34" xfId="21" applyNumberFormat="1" applyFont="1" applyFill="1" applyBorder="1" applyAlignment="1">
      <alignment vertical="center"/>
    </xf>
    <xf numFmtId="172" fontId="10" fillId="0" borderId="35" xfId="21" quotePrefix="1" applyNumberFormat="1" applyFont="1" applyFill="1" applyBorder="1" applyAlignment="1"/>
    <xf numFmtId="0" fontId="10" fillId="0" borderId="10" xfId="21" applyNumberFormat="1" applyFont="1" applyFill="1" applyBorder="1" applyAlignment="1">
      <alignment vertical="center"/>
    </xf>
    <xf numFmtId="172" fontId="10" fillId="0" borderId="12" xfId="21" quotePrefix="1" applyNumberFormat="1" applyFont="1" applyFill="1" applyBorder="1" applyAlignment="1"/>
    <xf numFmtId="172" fontId="17" fillId="0" borderId="27" xfId="21" applyNumberFormat="1" applyFont="1" applyFill="1" applyBorder="1" applyAlignment="1">
      <alignment horizontal="center" vertical="center" wrapText="1"/>
    </xf>
    <xf numFmtId="172" fontId="10" fillId="0" borderId="36" xfId="21" applyNumberFormat="1" applyFont="1" applyBorder="1" applyAlignment="1"/>
    <xf numFmtId="172" fontId="10" fillId="0" borderId="37" xfId="21" applyNumberFormat="1" applyFont="1" applyBorder="1" applyAlignment="1"/>
    <xf numFmtId="172" fontId="10" fillId="0" borderId="38" xfId="21" applyNumberFormat="1" applyFont="1" applyBorder="1" applyAlignment="1"/>
    <xf numFmtId="172" fontId="17" fillId="0" borderId="30" xfId="21" applyNumberFormat="1" applyFont="1" applyFill="1" applyBorder="1" applyAlignment="1">
      <alignment horizontal="center" vertical="center" wrapText="1"/>
    </xf>
    <xf numFmtId="172" fontId="10" fillId="0" borderId="4" xfId="21" applyNumberFormat="1" applyFont="1" applyFill="1" applyBorder="1" applyAlignment="1"/>
    <xf numFmtId="172" fontId="10" fillId="0" borderId="5" xfId="21" applyNumberFormat="1" applyFont="1" applyFill="1" applyBorder="1" applyAlignment="1"/>
    <xf numFmtId="172" fontId="10" fillId="0" borderId="34" xfId="21" applyNumberFormat="1" applyFont="1" applyFill="1" applyBorder="1" applyAlignment="1"/>
    <xf numFmtId="172" fontId="10" fillId="0" borderId="35" xfId="21" applyNumberFormat="1" applyFont="1" applyFill="1" applyBorder="1" applyAlignment="1"/>
    <xf numFmtId="172" fontId="10" fillId="0" borderId="10" xfId="21" applyNumberFormat="1" applyFont="1" applyFill="1" applyBorder="1" applyAlignment="1"/>
    <xf numFmtId="172" fontId="10" fillId="0" borderId="12" xfId="21" applyNumberFormat="1" applyFont="1" applyFill="1" applyBorder="1" applyAlignment="1"/>
    <xf numFmtId="0" fontId="10" fillId="0" borderId="4" xfId="21" applyNumberFormat="1" applyFont="1" applyFill="1" applyBorder="1" applyAlignment="1"/>
    <xf numFmtId="0" fontId="10" fillId="0" borderId="34" xfId="21" applyNumberFormat="1" applyFont="1" applyFill="1" applyBorder="1" applyAlignment="1"/>
    <xf numFmtId="0" fontId="10" fillId="0" borderId="10" xfId="21" applyNumberFormat="1" applyFont="1" applyFill="1" applyBorder="1" applyAlignment="1"/>
    <xf numFmtId="0" fontId="10" fillId="5" borderId="36" xfId="20" applyFont="1" applyFill="1" applyBorder="1" applyAlignment="1">
      <alignment horizontal="center"/>
    </xf>
    <xf numFmtId="0" fontId="10" fillId="5" borderId="36" xfId="20" quotePrefix="1" applyFont="1" applyFill="1" applyBorder="1" applyAlignment="1">
      <alignment horizontal="center"/>
    </xf>
    <xf numFmtId="0" fontId="10" fillId="0" borderId="24" xfId="21" applyNumberFormat="1" applyFont="1" applyFill="1" applyBorder="1" applyAlignment="1"/>
    <xf numFmtId="172" fontId="10" fillId="0" borderId="26" xfId="21" quotePrefix="1" applyNumberFormat="1" applyFont="1" applyFill="1" applyBorder="1" applyAlignment="1"/>
    <xf numFmtId="172" fontId="10" fillId="0" borderId="39" xfId="21" applyNumberFormat="1" applyFont="1" applyBorder="1" applyAlignment="1"/>
    <xf numFmtId="172" fontId="10" fillId="0" borderId="24" xfId="21" applyNumberFormat="1" applyFont="1" applyFill="1" applyBorder="1" applyAlignment="1"/>
    <xf numFmtId="172" fontId="10" fillId="0" borderId="26" xfId="21" applyNumberFormat="1" applyFont="1" applyFill="1" applyBorder="1" applyAlignment="1"/>
    <xf numFmtId="0" fontId="10" fillId="0" borderId="24" xfId="21" applyNumberFormat="1" applyFont="1" applyFill="1" applyBorder="1" applyAlignment="1">
      <alignment horizontal="left"/>
    </xf>
    <xf numFmtId="0" fontId="10" fillId="0" borderId="4" xfId="21" applyNumberFormat="1" applyFont="1" applyFill="1" applyBorder="1" applyAlignment="1">
      <alignment horizontal="left"/>
    </xf>
    <xf numFmtId="0" fontId="10" fillId="0" borderId="34" xfId="21" applyNumberFormat="1" applyFont="1" applyFill="1" applyBorder="1" applyAlignment="1">
      <alignment horizontal="left"/>
    </xf>
    <xf numFmtId="0" fontId="10" fillId="0" borderId="4" xfId="19" applyFont="1" applyBorder="1" applyAlignment="1">
      <alignment horizontal="left"/>
    </xf>
    <xf numFmtId="172" fontId="10" fillId="0" borderId="5" xfId="19" quotePrefix="1" applyNumberFormat="1" applyFont="1" applyFill="1" applyBorder="1"/>
    <xf numFmtId="0" fontId="10" fillId="0" borderId="10" xfId="19" applyFont="1" applyBorder="1" applyAlignment="1">
      <alignment horizontal="left"/>
    </xf>
    <xf numFmtId="172" fontId="10" fillId="0" borderId="12" xfId="19" quotePrefix="1" applyNumberFormat="1" applyFont="1" applyFill="1" applyBorder="1"/>
    <xf numFmtId="172" fontId="10" fillId="0" borderId="36" xfId="11" applyNumberFormat="1" applyFont="1" applyBorder="1" applyAlignment="1"/>
    <xf numFmtId="172" fontId="10" fillId="0" borderId="38" xfId="11" applyNumberFormat="1" applyFont="1" applyBorder="1" applyAlignment="1"/>
    <xf numFmtId="172" fontId="10" fillId="0" borderId="4" xfId="11" applyNumberFormat="1" applyFont="1" applyBorder="1"/>
    <xf numFmtId="172" fontId="10" fillId="0" borderId="5" xfId="11" applyNumberFormat="1" applyFont="1" applyFill="1" applyBorder="1" applyAlignment="1"/>
    <xf numFmtId="0" fontId="10" fillId="11" borderId="43" xfId="14" applyFont="1" applyFill="1" applyBorder="1"/>
    <xf numFmtId="0" fontId="10" fillId="11" borderId="44" xfId="14" applyFont="1" applyFill="1" applyBorder="1"/>
    <xf numFmtId="0" fontId="10" fillId="5" borderId="45" xfId="14" applyFont="1" applyFill="1" applyBorder="1" applyAlignment="1">
      <alignment horizontal="left"/>
    </xf>
    <xf numFmtId="0" fontId="10" fillId="5" borderId="20" xfId="14" applyFont="1" applyFill="1" applyBorder="1" applyAlignment="1">
      <alignment horizontal="left"/>
    </xf>
    <xf numFmtId="177" fontId="10" fillId="7" borderId="41" xfId="14" applyNumberFormat="1" applyFont="1" applyFill="1" applyBorder="1" applyAlignment="1" applyProtection="1">
      <alignment horizontal="left"/>
    </xf>
    <xf numFmtId="177" fontId="10" fillId="7" borderId="5" xfId="14" applyNumberFormat="1" applyFont="1" applyFill="1" applyBorder="1" applyAlignment="1" applyProtection="1">
      <alignment horizontal="left"/>
    </xf>
    <xf numFmtId="177" fontId="14" fillId="7" borderId="5" xfId="14" applyNumberFormat="1" applyFont="1" applyFill="1" applyBorder="1" applyAlignment="1" applyProtection="1">
      <alignment horizontal="left"/>
    </xf>
    <xf numFmtId="177" fontId="14" fillId="7" borderId="12" xfId="14" applyNumberFormat="1" applyFont="1" applyFill="1" applyBorder="1" applyAlignment="1" applyProtection="1">
      <alignment horizontal="left"/>
    </xf>
    <xf numFmtId="0" fontId="17" fillId="5" borderId="24" xfId="14" applyFont="1" applyFill="1" applyBorder="1" applyAlignment="1"/>
    <xf numFmtId="0" fontId="10" fillId="5" borderId="28" xfId="14" applyNumberFormat="1" applyFont="1" applyFill="1" applyBorder="1" applyAlignment="1"/>
    <xf numFmtId="0" fontId="10" fillId="5" borderId="26" xfId="14" applyNumberFormat="1" applyFont="1" applyFill="1" applyBorder="1" applyAlignment="1"/>
    <xf numFmtId="0" fontId="17" fillId="5" borderId="4" xfId="14" applyFont="1" applyFill="1" applyBorder="1" applyAlignment="1"/>
    <xf numFmtId="0" fontId="10" fillId="5" borderId="5" xfId="14" applyNumberFormat="1" applyFont="1" applyFill="1" applyBorder="1" applyAlignment="1"/>
    <xf numFmtId="0" fontId="10" fillId="5" borderId="31" xfId="14" applyNumberFormat="1" applyFont="1" applyFill="1" applyBorder="1" applyAlignment="1"/>
    <xf numFmtId="0" fontId="17" fillId="5" borderId="10" xfId="14" applyFont="1" applyFill="1" applyBorder="1" applyAlignment="1"/>
    <xf numFmtId="0" fontId="10" fillId="5" borderId="33" xfId="14" applyNumberFormat="1" applyFont="1" applyFill="1" applyBorder="1" applyAlignment="1"/>
    <xf numFmtId="177" fontId="10" fillId="7" borderId="12" xfId="14" applyNumberFormat="1" applyFont="1" applyFill="1" applyBorder="1" applyAlignment="1" applyProtection="1">
      <alignment horizontal="left"/>
    </xf>
    <xf numFmtId="0" fontId="19" fillId="5" borderId="28" xfId="14" applyFont="1" applyFill="1" applyBorder="1" applyAlignment="1">
      <alignment horizontal="left"/>
    </xf>
    <xf numFmtId="0" fontId="10" fillId="7" borderId="28" xfId="14" applyNumberFormat="1" applyFont="1" applyFill="1" applyBorder="1" applyAlignment="1" applyProtection="1">
      <alignment horizontal="center"/>
    </xf>
    <xf numFmtId="0" fontId="17" fillId="5" borderId="46" xfId="14" applyFont="1" applyFill="1" applyBorder="1" applyAlignment="1"/>
    <xf numFmtId="0" fontId="10" fillId="5" borderId="27" xfId="14" applyFont="1" applyFill="1" applyBorder="1" applyAlignment="1">
      <alignment horizontal="left"/>
    </xf>
    <xf numFmtId="0" fontId="10" fillId="5" borderId="47" xfId="14" applyFont="1" applyFill="1" applyBorder="1" applyAlignment="1">
      <alignment horizontal="left"/>
    </xf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17" fillId="5" borderId="48" xfId="14" applyFont="1" applyFill="1" applyBorder="1" applyAlignment="1"/>
    <xf numFmtId="0" fontId="17" fillId="5" borderId="40" xfId="14" applyFont="1" applyFill="1" applyBorder="1" applyAlignment="1"/>
    <xf numFmtId="0" fontId="10" fillId="5" borderId="12" xfId="14" applyNumberFormat="1" applyFont="1" applyFill="1" applyBorder="1" applyAlignment="1"/>
    <xf numFmtId="0" fontId="11" fillId="0" borderId="36" xfId="14" applyFont="1" applyBorder="1"/>
    <xf numFmtId="0" fontId="11" fillId="5" borderId="36" xfId="14" applyFont="1" applyFill="1" applyBorder="1" applyAlignment="1">
      <alignment horizontal="center"/>
    </xf>
    <xf numFmtId="0" fontId="11" fillId="5" borderId="38" xfId="14" applyFont="1" applyFill="1" applyBorder="1" applyAlignment="1">
      <alignment horizontal="center"/>
    </xf>
    <xf numFmtId="0" fontId="10" fillId="5" borderId="41" xfId="14" applyNumberFormat="1" applyFont="1" applyFill="1" applyBorder="1" applyAlignment="1"/>
    <xf numFmtId="0" fontId="17" fillId="5" borderId="42" xfId="14" applyFont="1" applyFill="1" applyBorder="1" applyAlignment="1"/>
    <xf numFmtId="0" fontId="11" fillId="5" borderId="36" xfId="14" applyFont="1" applyFill="1" applyBorder="1"/>
    <xf numFmtId="0" fontId="4" fillId="5" borderId="36" xfId="14" applyFont="1" applyFill="1" applyBorder="1"/>
    <xf numFmtId="0" fontId="11" fillId="5" borderId="37" xfId="14" applyFont="1" applyFill="1" applyBorder="1" applyAlignment="1">
      <alignment horizontal="center"/>
    </xf>
    <xf numFmtId="0" fontId="10" fillId="0" borderId="10" xfId="21" applyNumberFormat="1" applyFont="1" applyFill="1" applyBorder="1" applyAlignment="1">
      <alignment horizontal="left"/>
    </xf>
    <xf numFmtId="172" fontId="10" fillId="0" borderId="10" xfId="11" applyNumberFormat="1" applyFont="1" applyBorder="1"/>
    <xf numFmtId="172" fontId="10" fillId="0" borderId="12" xfId="11" applyNumberFormat="1" applyFont="1" applyFill="1" applyBorder="1" applyAlignment="1"/>
    <xf numFmtId="0" fontId="10" fillId="0" borderId="36" xfId="20" applyFont="1" applyFill="1" applyBorder="1" applyAlignment="1">
      <alignment horizontal="center"/>
    </xf>
    <xf numFmtId="0" fontId="10" fillId="5" borderId="5" xfId="18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1" fillId="5" borderId="0" xfId="17" applyNumberFormat="1" applyFont="1" applyFill="1" applyBorder="1" applyAlignment="1">
      <alignment horizontal="center" vertical="center"/>
    </xf>
    <xf numFmtId="0" fontId="12" fillId="4" borderId="1" xfId="16" applyFont="1" applyFill="1" applyBorder="1" applyAlignment="1">
      <alignment horizontal="centerContinuous" vertical="center"/>
    </xf>
    <xf numFmtId="0" fontId="12" fillId="4" borderId="49" xfId="16" applyFont="1" applyFill="1" applyBorder="1" applyAlignment="1">
      <alignment horizontal="centerContinuous" vertical="center"/>
    </xf>
    <xf numFmtId="171" fontId="10" fillId="5" borderId="6" xfId="15" applyNumberFormat="1" applyFont="1" applyFill="1" applyBorder="1" applyAlignment="1">
      <alignment horizontal="center"/>
    </xf>
    <xf numFmtId="1" fontId="10" fillId="5" borderId="6" xfId="17" applyNumberFormat="1" applyFont="1" applyFill="1" applyBorder="1" applyAlignment="1">
      <alignment horizontal="center"/>
    </xf>
    <xf numFmtId="1" fontId="10" fillId="5" borderId="7" xfId="17" applyNumberFormat="1" applyFont="1" applyFill="1" applyBorder="1" applyAlignment="1">
      <alignment horizontal="center"/>
    </xf>
    <xf numFmtId="0" fontId="10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0" fontId="13" fillId="4" borderId="1" xfId="14" applyFont="1" applyFill="1" applyBorder="1" applyAlignment="1">
      <alignment horizontal="centerContinuous"/>
    </xf>
    <xf numFmtId="0" fontId="13" fillId="4" borderId="2" xfId="14" applyFont="1" applyFill="1" applyBorder="1" applyAlignment="1">
      <alignment horizontal="centerContinuous"/>
    </xf>
    <xf numFmtId="0" fontId="13" fillId="4" borderId="3" xfId="14" applyFont="1" applyFill="1" applyBorder="1" applyAlignment="1">
      <alignment horizontal="centerContinuous"/>
    </xf>
    <xf numFmtId="180" fontId="10" fillId="0" borderId="0" xfId="8" applyNumberFormat="1" applyFont="1"/>
    <xf numFmtId="0" fontId="10" fillId="13" borderId="0" xfId="8" applyFont="1" applyFill="1"/>
    <xf numFmtId="171" fontId="10" fillId="13" borderId="0" xfId="8" applyNumberFormat="1" applyFont="1" applyFill="1"/>
    <xf numFmtId="172" fontId="10" fillId="13" borderId="0" xfId="11" applyNumberFormat="1" applyFont="1" applyFill="1"/>
    <xf numFmtId="172" fontId="10" fillId="13" borderId="0" xfId="8" applyNumberFormat="1" applyFont="1" applyFill="1"/>
    <xf numFmtId="0" fontId="10" fillId="14" borderId="0" xfId="8" applyFont="1" applyFill="1"/>
    <xf numFmtId="171" fontId="10" fillId="14" borderId="0" xfId="8" applyNumberFormat="1" applyFont="1" applyFill="1"/>
    <xf numFmtId="172" fontId="10" fillId="14" borderId="0" xfId="11" applyNumberFormat="1" applyFont="1" applyFill="1"/>
    <xf numFmtId="172" fontId="10" fillId="14" borderId="0" xfId="8" applyNumberFormat="1" applyFont="1" applyFill="1"/>
    <xf numFmtId="171" fontId="10" fillId="0" borderId="0" xfId="0" applyNumberFormat="1" applyFont="1"/>
    <xf numFmtId="0" fontId="23" fillId="15" borderId="51" xfId="0" applyFont="1" applyFill="1" applyBorder="1" applyAlignment="1">
      <alignment horizontal="center" vertical="center" wrapText="1"/>
    </xf>
    <xf numFmtId="0" fontId="23" fillId="15" borderId="52" xfId="0" applyFont="1" applyFill="1" applyBorder="1" applyAlignment="1">
      <alignment horizontal="center" vertical="center" wrapText="1"/>
    </xf>
    <xf numFmtId="0" fontId="10" fillId="11" borderId="0" xfId="0" applyFont="1" applyFill="1"/>
    <xf numFmtId="0" fontId="22" fillId="11" borderId="48" xfId="0" applyFont="1" applyFill="1" applyBorder="1"/>
    <xf numFmtId="171" fontId="22" fillId="11" borderId="28" xfId="0" applyNumberFormat="1" applyFont="1" applyFill="1" applyBorder="1"/>
    <xf numFmtId="172" fontId="22" fillId="11" borderId="28" xfId="0" applyNumberFormat="1" applyFont="1" applyFill="1" applyBorder="1"/>
    <xf numFmtId="172" fontId="22" fillId="11" borderId="50" xfId="0" applyNumberFormat="1" applyFont="1" applyFill="1" applyBorder="1"/>
    <xf numFmtId="0" fontId="22" fillId="11" borderId="40" xfId="0" applyFont="1" applyFill="1" applyBorder="1"/>
    <xf numFmtId="171" fontId="22" fillId="11" borderId="8" xfId="0" applyNumberFormat="1" applyFont="1" applyFill="1" applyBorder="1"/>
    <xf numFmtId="172" fontId="22" fillId="11" borderId="8" xfId="0" applyNumberFormat="1" applyFont="1" applyFill="1" applyBorder="1"/>
    <xf numFmtId="172" fontId="22" fillId="11" borderId="31" xfId="0" applyNumberFormat="1" applyFont="1" applyFill="1" applyBorder="1"/>
    <xf numFmtId="0" fontId="22" fillId="11" borderId="46" xfId="0" applyFont="1" applyFill="1" applyBorder="1"/>
    <xf numFmtId="171" fontId="22" fillId="11" borderId="32" xfId="0" applyNumberFormat="1" applyFont="1" applyFill="1" applyBorder="1"/>
    <xf numFmtId="172" fontId="22" fillId="11" borderId="32" xfId="0" applyNumberFormat="1" applyFont="1" applyFill="1" applyBorder="1"/>
    <xf numFmtId="172" fontId="22" fillId="11" borderId="33" xfId="0" applyNumberFormat="1" applyFont="1" applyFill="1" applyBorder="1"/>
    <xf numFmtId="0" fontId="17" fillId="10" borderId="20" xfId="8" applyFont="1" applyFill="1" applyBorder="1" applyAlignment="1">
      <alignment horizontal="center" vertical="center" wrapText="1"/>
    </xf>
    <xf numFmtId="0" fontId="17" fillId="10" borderId="21" xfId="8" applyFont="1" applyFill="1" applyBorder="1" applyAlignment="1">
      <alignment horizontal="center" vertical="center" wrapText="1"/>
    </xf>
    <xf numFmtId="0" fontId="24" fillId="15" borderId="51" xfId="23" applyFont="1" applyFill="1" applyBorder="1" applyAlignment="1">
      <alignment horizontal="center" vertical="center" wrapText="1"/>
    </xf>
    <xf numFmtId="0" fontId="24" fillId="15" borderId="52" xfId="23" applyFont="1" applyFill="1" applyBorder="1" applyAlignment="1">
      <alignment horizontal="center" vertical="center" wrapText="1"/>
    </xf>
    <xf numFmtId="0" fontId="24" fillId="15" borderId="53" xfId="23" applyFont="1" applyFill="1" applyBorder="1" applyAlignment="1">
      <alignment horizontal="center" vertical="center" wrapText="1"/>
    </xf>
    <xf numFmtId="171" fontId="10" fillId="11" borderId="40" xfId="23" applyNumberFormat="1" applyFont="1" applyFill="1" applyBorder="1"/>
    <xf numFmtId="171" fontId="10" fillId="11" borderId="8" xfId="23" applyNumberFormat="1" applyFont="1" applyFill="1" applyBorder="1"/>
    <xf numFmtId="172" fontId="10" fillId="11" borderId="8" xfId="23" applyNumberFormat="1" applyFont="1" applyFill="1" applyBorder="1" applyAlignment="1">
      <alignment horizontal="center" vertical="center"/>
    </xf>
    <xf numFmtId="172" fontId="10" fillId="11" borderId="31" xfId="23" applyNumberFormat="1" applyFont="1" applyFill="1" applyBorder="1" applyAlignment="1">
      <alignment horizontal="center" vertical="center"/>
    </xf>
    <xf numFmtId="0" fontId="10" fillId="11" borderId="4" xfId="8" applyFont="1" applyFill="1" applyBorder="1"/>
    <xf numFmtId="0" fontId="10" fillId="11" borderId="5" xfId="8" applyFont="1" applyFill="1" applyBorder="1"/>
    <xf numFmtId="0" fontId="10" fillId="11" borderId="10" xfId="8" applyFont="1" applyFill="1" applyBorder="1"/>
    <xf numFmtId="0" fontId="25" fillId="11" borderId="38" xfId="8" applyFont="1" applyFill="1" applyBorder="1"/>
    <xf numFmtId="0" fontId="25" fillId="11" borderId="4" xfId="8" applyFont="1" applyFill="1" applyBorder="1"/>
    <xf numFmtId="171" fontId="25" fillId="11" borderId="42" xfId="23" applyNumberFormat="1" applyFont="1" applyFill="1" applyBorder="1"/>
    <xf numFmtId="171" fontId="25" fillId="11" borderId="19" xfId="23" applyNumberFormat="1" applyFont="1" applyFill="1" applyBorder="1"/>
    <xf numFmtId="172" fontId="25" fillId="11" borderId="19" xfId="23" applyNumberFormat="1" applyFont="1" applyFill="1" applyBorder="1" applyAlignment="1">
      <alignment horizontal="center" vertical="center"/>
    </xf>
    <xf numFmtId="172" fontId="25" fillId="11" borderId="54" xfId="23" applyNumberFormat="1" applyFont="1" applyFill="1" applyBorder="1" applyAlignment="1">
      <alignment horizontal="center" vertical="center"/>
    </xf>
    <xf numFmtId="171" fontId="25" fillId="11" borderId="40" xfId="23" applyNumberFormat="1" applyFont="1" applyFill="1" applyBorder="1"/>
    <xf numFmtId="171" fontId="25" fillId="11" borderId="8" xfId="23" applyNumberFormat="1" applyFont="1" applyFill="1" applyBorder="1"/>
    <xf numFmtId="172" fontId="25" fillId="11" borderId="8" xfId="23" applyNumberFormat="1" applyFont="1" applyFill="1" applyBorder="1" applyAlignment="1">
      <alignment horizontal="center" vertical="center"/>
    </xf>
    <xf numFmtId="172" fontId="25" fillId="11" borderId="31" xfId="23" applyNumberFormat="1" applyFont="1" applyFill="1" applyBorder="1" applyAlignment="1">
      <alignment horizontal="center" vertical="center"/>
    </xf>
    <xf numFmtId="171" fontId="25" fillId="11" borderId="48" xfId="23" applyNumberFormat="1" applyFont="1" applyFill="1" applyBorder="1"/>
    <xf numFmtId="171" fontId="25" fillId="11" borderId="28" xfId="23" applyNumberFormat="1" applyFont="1" applyFill="1" applyBorder="1"/>
    <xf numFmtId="172" fontId="25" fillId="11" borderId="28" xfId="23" applyNumberFormat="1" applyFont="1" applyFill="1" applyBorder="1" applyAlignment="1">
      <alignment horizontal="center" vertical="center"/>
    </xf>
    <xf numFmtId="172" fontId="25" fillId="11" borderId="50" xfId="23" applyNumberFormat="1" applyFont="1" applyFill="1" applyBorder="1" applyAlignment="1">
      <alignment horizontal="center" vertical="center"/>
    </xf>
    <xf numFmtId="0" fontId="24" fillId="15" borderId="55" xfId="23" applyFont="1" applyFill="1" applyBorder="1" applyAlignment="1">
      <alignment horizontal="center" vertical="center" wrapText="1"/>
    </xf>
    <xf numFmtId="172" fontId="25" fillId="11" borderId="28" xfId="23" applyNumberFormat="1" applyFont="1" applyFill="1" applyBorder="1"/>
    <xf numFmtId="172" fontId="10" fillId="11" borderId="8" xfId="23" applyNumberFormat="1" applyFont="1" applyFill="1" applyBorder="1"/>
    <xf numFmtId="172" fontId="25" fillId="11" borderId="8" xfId="23" applyNumberFormat="1" applyFont="1" applyFill="1" applyBorder="1"/>
    <xf numFmtId="172" fontId="25" fillId="11" borderId="19" xfId="23" applyNumberFormat="1" applyFont="1" applyFill="1" applyBorder="1"/>
    <xf numFmtId="0" fontId="10" fillId="11" borderId="13" xfId="8" applyFont="1" applyFill="1" applyBorder="1"/>
    <xf numFmtId="180" fontId="10" fillId="11" borderId="0" xfId="8" applyNumberFormat="1" applyFont="1" applyFill="1" applyBorder="1"/>
    <xf numFmtId="172" fontId="10" fillId="11" borderId="0" xfId="0" applyNumberFormat="1" applyFont="1" applyFill="1"/>
    <xf numFmtId="171" fontId="10" fillId="11" borderId="32" xfId="23" applyNumberFormat="1" applyFont="1" applyFill="1" applyBorder="1"/>
    <xf numFmtId="172" fontId="10" fillId="11" borderId="32" xfId="23" applyNumberFormat="1" applyFont="1" applyFill="1" applyBorder="1"/>
    <xf numFmtId="172" fontId="10" fillId="11" borderId="33" xfId="23" applyNumberFormat="1" applyFont="1" applyFill="1" applyBorder="1" applyAlignment="1">
      <alignment horizontal="center" vertical="center"/>
    </xf>
    <xf numFmtId="0" fontId="24" fillId="15" borderId="49" xfId="23" applyFont="1" applyFill="1" applyBorder="1" applyAlignment="1">
      <alignment horizontal="center" vertical="center" wrapText="1"/>
    </xf>
    <xf numFmtId="172" fontId="10" fillId="11" borderId="36" xfId="23" applyNumberFormat="1" applyFont="1" applyFill="1" applyBorder="1" applyAlignment="1">
      <alignment horizontal="center" vertical="center"/>
    </xf>
    <xf numFmtId="172" fontId="10" fillId="11" borderId="38" xfId="23" applyNumberFormat="1" applyFont="1" applyFill="1" applyBorder="1" applyAlignment="1">
      <alignment horizontal="center" vertical="center"/>
    </xf>
    <xf numFmtId="0" fontId="0" fillId="11" borderId="0" xfId="0" applyFill="1"/>
    <xf numFmtId="172" fontId="10" fillId="11" borderId="5" xfId="0" applyNumberFormat="1" applyFont="1" applyFill="1" applyBorder="1"/>
    <xf numFmtId="172" fontId="10" fillId="11" borderId="12" xfId="0" applyNumberFormat="1" applyFont="1" applyFill="1" applyBorder="1"/>
    <xf numFmtId="0" fontId="10" fillId="11" borderId="40" xfId="0" applyFont="1" applyFill="1" applyBorder="1" applyAlignment="1"/>
    <xf numFmtId="171" fontId="10" fillId="11" borderId="8" xfId="0" applyNumberFormat="1" applyFont="1" applyFill="1" applyBorder="1" applyAlignment="1"/>
    <xf numFmtId="172" fontId="10" fillId="11" borderId="8" xfId="0" applyNumberFormat="1" applyFont="1" applyFill="1" applyBorder="1" applyAlignment="1"/>
    <xf numFmtId="172" fontId="10" fillId="11" borderId="8" xfId="17" applyNumberFormat="1" applyFont="1" applyFill="1" applyBorder="1"/>
    <xf numFmtId="172" fontId="10" fillId="11" borderId="31" xfId="0" applyNumberFormat="1" applyFont="1" applyFill="1" applyBorder="1"/>
    <xf numFmtId="0" fontId="10" fillId="11" borderId="46" xfId="0" applyFont="1" applyFill="1" applyBorder="1" applyAlignment="1"/>
    <xf numFmtId="171" fontId="10" fillId="11" borderId="32" xfId="0" applyNumberFormat="1" applyFont="1" applyFill="1" applyBorder="1" applyAlignment="1"/>
    <xf numFmtId="172" fontId="10" fillId="11" borderId="32" xfId="0" applyNumberFormat="1" applyFont="1" applyFill="1" applyBorder="1" applyAlignment="1"/>
    <xf numFmtId="172" fontId="10" fillId="11" borderId="32" xfId="17" applyNumberFormat="1" applyFont="1" applyFill="1" applyBorder="1"/>
    <xf numFmtId="172" fontId="10" fillId="11" borderId="33" xfId="0" applyNumberFormat="1" applyFont="1" applyFill="1" applyBorder="1"/>
    <xf numFmtId="0" fontId="24" fillId="15" borderId="56" xfId="0" applyFont="1" applyFill="1" applyBorder="1" applyAlignment="1">
      <alignment horizontal="center" vertical="center" wrapText="1"/>
    </xf>
    <xf numFmtId="0" fontId="24" fillId="15" borderId="57" xfId="0" applyFont="1" applyFill="1" applyBorder="1" applyAlignment="1">
      <alignment horizontal="center" vertical="center" wrapText="1"/>
    </xf>
    <xf numFmtId="0" fontId="24" fillId="15" borderId="58" xfId="0" applyFont="1" applyFill="1" applyBorder="1" applyAlignment="1">
      <alignment horizontal="center" vertical="center" wrapText="1"/>
    </xf>
    <xf numFmtId="2" fontId="10" fillId="11" borderId="0" xfId="0" applyNumberFormat="1" applyFont="1" applyFill="1" applyBorder="1"/>
    <xf numFmtId="0" fontId="10" fillId="11" borderId="0" xfId="0" applyFont="1" applyFill="1" applyBorder="1" applyAlignment="1">
      <alignment horizontal="center"/>
    </xf>
    <xf numFmtId="172" fontId="10" fillId="11" borderId="0" xfId="0" applyNumberFormat="1" applyFont="1" applyFill="1" applyBorder="1"/>
    <xf numFmtId="0" fontId="10" fillId="11" borderId="0" xfId="0" applyFont="1" applyFill="1" applyBorder="1"/>
    <xf numFmtId="0" fontId="26" fillId="11" borderId="0" xfId="0" applyFont="1" applyFill="1" applyAlignment="1">
      <alignment horizontal="center" vertical="center"/>
    </xf>
    <xf numFmtId="2" fontId="0" fillId="11" borderId="0" xfId="0" applyNumberFormat="1" applyFill="1"/>
    <xf numFmtId="0" fontId="0" fillId="11" borderId="0" xfId="0" applyFill="1" applyAlignment="1">
      <alignment horizontal="center"/>
    </xf>
    <xf numFmtId="0" fontId="10" fillId="11" borderId="0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171" fontId="10" fillId="11" borderId="0" xfId="0" applyNumberFormat="1" applyFont="1" applyFill="1"/>
    <xf numFmtId="171" fontId="10" fillId="11" borderId="4" xfId="0" applyNumberFormat="1" applyFont="1" applyFill="1" applyBorder="1"/>
    <xf numFmtId="171" fontId="10" fillId="11" borderId="10" xfId="0" applyNumberFormat="1" applyFont="1" applyFill="1" applyBorder="1"/>
    <xf numFmtId="172" fontId="10" fillId="11" borderId="11" xfId="0" applyNumberFormat="1" applyFont="1" applyFill="1" applyBorder="1"/>
    <xf numFmtId="185" fontId="0" fillId="11" borderId="0" xfId="0" applyNumberFormat="1" applyFill="1"/>
    <xf numFmtId="0" fontId="10" fillId="11" borderId="9" xfId="0" applyFon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2" fontId="10" fillId="11" borderId="13" xfId="0" applyNumberFormat="1" applyFont="1" applyFill="1" applyBorder="1" applyAlignment="1">
      <alignment horizontal="center" vertical="center"/>
    </xf>
    <xf numFmtId="2" fontId="10" fillId="11" borderId="0" xfId="0" applyNumberFormat="1" applyFont="1" applyFill="1" applyBorder="1" applyAlignment="1">
      <alignment horizontal="center" vertical="center"/>
    </xf>
    <xf numFmtId="2" fontId="10" fillId="11" borderId="9" xfId="0" applyNumberFormat="1" applyFont="1" applyFill="1" applyBorder="1" applyAlignment="1">
      <alignment horizontal="center" vertical="center"/>
    </xf>
    <xf numFmtId="2" fontId="10" fillId="11" borderId="8" xfId="0" applyNumberFormat="1" applyFont="1" applyFill="1" applyBorder="1" applyAlignment="1">
      <alignment horizontal="center" vertical="center"/>
    </xf>
    <xf numFmtId="172" fontId="10" fillId="11" borderId="8" xfId="0" applyNumberFormat="1" applyFont="1" applyFill="1" applyBorder="1" applyAlignment="1">
      <alignment vertical="center"/>
    </xf>
    <xf numFmtId="2" fontId="10" fillId="11" borderId="0" xfId="0" applyNumberFormat="1" applyFont="1" applyFill="1" applyBorder="1" applyAlignment="1"/>
    <xf numFmtId="0" fontId="10" fillId="11" borderId="0" xfId="0" applyFont="1" applyFill="1" applyAlignment="1">
      <alignment vertical="center"/>
    </xf>
    <xf numFmtId="0" fontId="10" fillId="11" borderId="0" xfId="0" applyFont="1" applyFill="1" applyAlignment="1"/>
  </cellXfs>
  <cellStyles count="42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21303587051618"/>
          <c:y val="5.1400554097404488E-2"/>
          <c:w val="0.83818328958880128"/>
          <c:h val="0.76329323417906092"/>
        </c:manualLayout>
      </c:layout>
      <c:lineChart>
        <c:grouping val="standard"/>
        <c:varyColors val="0"/>
        <c:ser>
          <c:idx val="0"/>
          <c:order val="0"/>
          <c:tx>
            <c:strRef>
              <c:f>SynthDepo!$AC$29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41855</c:v>
                </c:pt>
                <c:pt idx="1">
                  <c:v>41856</c:v>
                </c:pt>
                <c:pt idx="2">
                  <c:v>41857</c:v>
                </c:pt>
                <c:pt idx="3">
                  <c:v>41858</c:v>
                </c:pt>
                <c:pt idx="4">
                  <c:v>41859</c:v>
                </c:pt>
                <c:pt idx="5">
                  <c:v>41862</c:v>
                </c:pt>
                <c:pt idx="6">
                  <c:v>41863</c:v>
                </c:pt>
                <c:pt idx="7">
                  <c:v>41864</c:v>
                </c:pt>
                <c:pt idx="8">
                  <c:v>41865</c:v>
                </c:pt>
                <c:pt idx="9">
                  <c:v>41866</c:v>
                </c:pt>
                <c:pt idx="10">
                  <c:v>41869</c:v>
                </c:pt>
                <c:pt idx="11">
                  <c:v>41870</c:v>
                </c:pt>
                <c:pt idx="12">
                  <c:v>41871</c:v>
                </c:pt>
                <c:pt idx="13">
                  <c:v>41872</c:v>
                </c:pt>
                <c:pt idx="14">
                  <c:v>41873</c:v>
                </c:pt>
                <c:pt idx="15">
                  <c:v>41876</c:v>
                </c:pt>
                <c:pt idx="16">
                  <c:v>41877</c:v>
                </c:pt>
                <c:pt idx="17">
                  <c:v>41878</c:v>
                </c:pt>
                <c:pt idx="18">
                  <c:v>41879</c:v>
                </c:pt>
                <c:pt idx="19">
                  <c:v>41880</c:v>
                </c:pt>
                <c:pt idx="20">
                  <c:v>41883</c:v>
                </c:pt>
                <c:pt idx="21">
                  <c:v>41884</c:v>
                </c:pt>
                <c:pt idx="22">
                  <c:v>41885</c:v>
                </c:pt>
                <c:pt idx="23">
                  <c:v>41886</c:v>
                </c:pt>
                <c:pt idx="24">
                  <c:v>41887</c:v>
                </c:pt>
                <c:pt idx="25">
                  <c:v>41890</c:v>
                </c:pt>
                <c:pt idx="26">
                  <c:v>41891</c:v>
                </c:pt>
                <c:pt idx="27">
                  <c:v>41892</c:v>
                </c:pt>
                <c:pt idx="28">
                  <c:v>41893</c:v>
                </c:pt>
                <c:pt idx="29">
                  <c:v>41894</c:v>
                </c:pt>
                <c:pt idx="30">
                  <c:v>41897</c:v>
                </c:pt>
                <c:pt idx="31">
                  <c:v>41898</c:v>
                </c:pt>
                <c:pt idx="32">
                  <c:v>41899</c:v>
                </c:pt>
                <c:pt idx="33">
                  <c:v>41900</c:v>
                </c:pt>
                <c:pt idx="34">
                  <c:v>41901</c:v>
                </c:pt>
                <c:pt idx="35">
                  <c:v>41904</c:v>
                </c:pt>
                <c:pt idx="36">
                  <c:v>41905</c:v>
                </c:pt>
                <c:pt idx="37">
                  <c:v>41906</c:v>
                </c:pt>
                <c:pt idx="38">
                  <c:v>41907</c:v>
                </c:pt>
                <c:pt idx="39">
                  <c:v>41908</c:v>
                </c:pt>
                <c:pt idx="40">
                  <c:v>41911</c:v>
                </c:pt>
                <c:pt idx="41">
                  <c:v>41912</c:v>
                </c:pt>
                <c:pt idx="42">
                  <c:v>41913</c:v>
                </c:pt>
                <c:pt idx="43">
                  <c:v>41914</c:v>
                </c:pt>
                <c:pt idx="44">
                  <c:v>41915</c:v>
                </c:pt>
                <c:pt idx="45">
                  <c:v>41918</c:v>
                </c:pt>
                <c:pt idx="46">
                  <c:v>41919</c:v>
                </c:pt>
                <c:pt idx="47">
                  <c:v>41920</c:v>
                </c:pt>
                <c:pt idx="48">
                  <c:v>41921</c:v>
                </c:pt>
                <c:pt idx="49">
                  <c:v>41922</c:v>
                </c:pt>
                <c:pt idx="50">
                  <c:v>41925</c:v>
                </c:pt>
                <c:pt idx="51">
                  <c:v>41926</c:v>
                </c:pt>
                <c:pt idx="52">
                  <c:v>41927</c:v>
                </c:pt>
                <c:pt idx="53">
                  <c:v>41928</c:v>
                </c:pt>
                <c:pt idx="54">
                  <c:v>41929</c:v>
                </c:pt>
                <c:pt idx="55">
                  <c:v>41932</c:v>
                </c:pt>
                <c:pt idx="56">
                  <c:v>41933</c:v>
                </c:pt>
                <c:pt idx="57">
                  <c:v>41934</c:v>
                </c:pt>
                <c:pt idx="58">
                  <c:v>41935</c:v>
                </c:pt>
                <c:pt idx="59">
                  <c:v>41936</c:v>
                </c:pt>
                <c:pt idx="60">
                  <c:v>41939</c:v>
                </c:pt>
                <c:pt idx="61">
                  <c:v>41940</c:v>
                </c:pt>
                <c:pt idx="62">
                  <c:v>41941</c:v>
                </c:pt>
                <c:pt idx="63">
                  <c:v>41942</c:v>
                </c:pt>
                <c:pt idx="64">
                  <c:v>41943</c:v>
                </c:pt>
                <c:pt idx="65">
                  <c:v>41946</c:v>
                </c:pt>
                <c:pt idx="66">
                  <c:v>41947</c:v>
                </c:pt>
              </c:numCache>
            </c:numRef>
          </c:cat>
          <c:val>
            <c:numRef>
              <c:f>SynthDepo!$AC$30:$AC$128</c:f>
              <c:numCache>
                <c:formatCode>0.0000%</c:formatCode>
                <c:ptCount val="99"/>
                <c:pt idx="0">
                  <c:v>1.4200000002550551E-3</c:v>
                </c:pt>
                <c:pt idx="1">
                  <c:v>1.4200000002550551E-3</c:v>
                </c:pt>
                <c:pt idx="2">
                  <c:v>1.4200000002550551E-3</c:v>
                </c:pt>
                <c:pt idx="3">
                  <c:v>1.4200000002550551E-3</c:v>
                </c:pt>
                <c:pt idx="4">
                  <c:v>1.4200000002550551E-3</c:v>
                </c:pt>
                <c:pt idx="5">
                  <c:v>1.4200000002550551E-3</c:v>
                </c:pt>
                <c:pt idx="6">
                  <c:v>1.4200000002550551E-3</c:v>
                </c:pt>
                <c:pt idx="7">
                  <c:v>1.4200000002550551E-3</c:v>
                </c:pt>
                <c:pt idx="8">
                  <c:v>1.4200000002550551E-3</c:v>
                </c:pt>
                <c:pt idx="9">
                  <c:v>1.4200000002550551E-3</c:v>
                </c:pt>
                <c:pt idx="10">
                  <c:v>1.4200000002550551E-3</c:v>
                </c:pt>
                <c:pt idx="11">
                  <c:v>1.4200000002550551E-3</c:v>
                </c:pt>
                <c:pt idx="12">
                  <c:v>1.4200000002550551E-3</c:v>
                </c:pt>
                <c:pt idx="13">
                  <c:v>1.4200000002550551E-3</c:v>
                </c:pt>
                <c:pt idx="14">
                  <c:v>1.4200000002550551E-3</c:v>
                </c:pt>
                <c:pt idx="15">
                  <c:v>1.4200000002550551E-3</c:v>
                </c:pt>
                <c:pt idx="16">
                  <c:v>1.4200000002550551E-3</c:v>
                </c:pt>
                <c:pt idx="17">
                  <c:v>1.4200000002550551E-3</c:v>
                </c:pt>
                <c:pt idx="18">
                  <c:v>1.4200000002550551E-3</c:v>
                </c:pt>
                <c:pt idx="19">
                  <c:v>1.4200000002550551E-3</c:v>
                </c:pt>
                <c:pt idx="20">
                  <c:v>1.4200000002550551E-3</c:v>
                </c:pt>
                <c:pt idx="21">
                  <c:v>1.4200000002550551E-3</c:v>
                </c:pt>
                <c:pt idx="22">
                  <c:v>1.4200000002550551E-3</c:v>
                </c:pt>
                <c:pt idx="23">
                  <c:v>1.4200000002550551E-3</c:v>
                </c:pt>
                <c:pt idx="24">
                  <c:v>1.4200000002550551E-3</c:v>
                </c:pt>
                <c:pt idx="25">
                  <c:v>1.4200000002550551E-3</c:v>
                </c:pt>
                <c:pt idx="26">
                  <c:v>1.4200000002550551E-3</c:v>
                </c:pt>
                <c:pt idx="27">
                  <c:v>1.4200000002550551E-3</c:v>
                </c:pt>
                <c:pt idx="28">
                  <c:v>1.4200000002550551E-3</c:v>
                </c:pt>
                <c:pt idx="29">
                  <c:v>1.4200000002550551E-3</c:v>
                </c:pt>
                <c:pt idx="30">
                  <c:v>1.4200000002550551E-3</c:v>
                </c:pt>
                <c:pt idx="31">
                  <c:v>1.4200000002550551E-3</c:v>
                </c:pt>
                <c:pt idx="32">
                  <c:v>1.4200000002550551E-3</c:v>
                </c:pt>
                <c:pt idx="33">
                  <c:v>1.4200000002550551E-3</c:v>
                </c:pt>
                <c:pt idx="34">
                  <c:v>1.4200000002550551E-3</c:v>
                </c:pt>
                <c:pt idx="35">
                  <c:v>1.4200000002550551E-3</c:v>
                </c:pt>
                <c:pt idx="36">
                  <c:v>1.4200000002550551E-3</c:v>
                </c:pt>
                <c:pt idx="37">
                  <c:v>1.4200000002550551E-3</c:v>
                </c:pt>
                <c:pt idx="38">
                  <c:v>1.4200000002550551E-3</c:v>
                </c:pt>
                <c:pt idx="39">
                  <c:v>1.4200000002550551E-3</c:v>
                </c:pt>
                <c:pt idx="40">
                  <c:v>1.4200000002550551E-3</c:v>
                </c:pt>
                <c:pt idx="41">
                  <c:v>1.4200000002550551E-3</c:v>
                </c:pt>
                <c:pt idx="42">
                  <c:v>1.4200000002550551E-3</c:v>
                </c:pt>
                <c:pt idx="43">
                  <c:v>1.4200000002550551E-3</c:v>
                </c:pt>
                <c:pt idx="44">
                  <c:v>1.4200000002550551E-3</c:v>
                </c:pt>
                <c:pt idx="45">
                  <c:v>1.4200000002550551E-3</c:v>
                </c:pt>
                <c:pt idx="46">
                  <c:v>1.4200000002550551E-3</c:v>
                </c:pt>
                <c:pt idx="47">
                  <c:v>1.4200000002550551E-3</c:v>
                </c:pt>
                <c:pt idx="48">
                  <c:v>1.4200000002550551E-3</c:v>
                </c:pt>
                <c:pt idx="49">
                  <c:v>1.4200000002550551E-3</c:v>
                </c:pt>
                <c:pt idx="50">
                  <c:v>1.4200000002550551E-3</c:v>
                </c:pt>
                <c:pt idx="51">
                  <c:v>1.4200000002550551E-3</c:v>
                </c:pt>
                <c:pt idx="52">
                  <c:v>1.4200000002550551E-3</c:v>
                </c:pt>
                <c:pt idx="53">
                  <c:v>1.4200000002550551E-3</c:v>
                </c:pt>
                <c:pt idx="54">
                  <c:v>1.4200000002550551E-3</c:v>
                </c:pt>
                <c:pt idx="55">
                  <c:v>1.4200000002550551E-3</c:v>
                </c:pt>
                <c:pt idx="56">
                  <c:v>1.4200000002550551E-3</c:v>
                </c:pt>
                <c:pt idx="57">
                  <c:v>1.4200000002550551E-3</c:v>
                </c:pt>
                <c:pt idx="58">
                  <c:v>1.4200000002550551E-3</c:v>
                </c:pt>
                <c:pt idx="59">
                  <c:v>1.4200000002550551E-3</c:v>
                </c:pt>
                <c:pt idx="60">
                  <c:v>1.4200000002550551E-3</c:v>
                </c:pt>
                <c:pt idx="61">
                  <c:v>1.4200000002550551E-3</c:v>
                </c:pt>
                <c:pt idx="62">
                  <c:v>1.4200000002550551E-3</c:v>
                </c:pt>
                <c:pt idx="63">
                  <c:v>1.4200000002550551E-3</c:v>
                </c:pt>
                <c:pt idx="64">
                  <c:v>1.4200000002550551E-3</c:v>
                </c:pt>
                <c:pt idx="65">
                  <c:v>1.4200000002550551E-3</c:v>
                </c:pt>
                <c:pt idx="66">
                  <c:v>1.4200000002550551E-3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SynthDepo!$AD$29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41855</c:v>
                </c:pt>
                <c:pt idx="1">
                  <c:v>41856</c:v>
                </c:pt>
                <c:pt idx="2">
                  <c:v>41857</c:v>
                </c:pt>
                <c:pt idx="3">
                  <c:v>41858</c:v>
                </c:pt>
                <c:pt idx="4">
                  <c:v>41859</c:v>
                </c:pt>
                <c:pt idx="5">
                  <c:v>41862</c:v>
                </c:pt>
                <c:pt idx="6">
                  <c:v>41863</c:v>
                </c:pt>
                <c:pt idx="7">
                  <c:v>41864</c:v>
                </c:pt>
                <c:pt idx="8">
                  <c:v>41865</c:v>
                </c:pt>
                <c:pt idx="9">
                  <c:v>41866</c:v>
                </c:pt>
                <c:pt idx="10">
                  <c:v>41869</c:v>
                </c:pt>
                <c:pt idx="11">
                  <c:v>41870</c:v>
                </c:pt>
                <c:pt idx="12">
                  <c:v>41871</c:v>
                </c:pt>
                <c:pt idx="13">
                  <c:v>41872</c:v>
                </c:pt>
                <c:pt idx="14">
                  <c:v>41873</c:v>
                </c:pt>
                <c:pt idx="15">
                  <c:v>41876</c:v>
                </c:pt>
                <c:pt idx="16">
                  <c:v>41877</c:v>
                </c:pt>
                <c:pt idx="17">
                  <c:v>41878</c:v>
                </c:pt>
                <c:pt idx="18">
                  <c:v>41879</c:v>
                </c:pt>
                <c:pt idx="19">
                  <c:v>41880</c:v>
                </c:pt>
                <c:pt idx="20">
                  <c:v>41883</c:v>
                </c:pt>
                <c:pt idx="21">
                  <c:v>41884</c:v>
                </c:pt>
                <c:pt idx="22">
                  <c:v>41885</c:v>
                </c:pt>
                <c:pt idx="23">
                  <c:v>41886</c:v>
                </c:pt>
                <c:pt idx="24">
                  <c:v>41887</c:v>
                </c:pt>
                <c:pt idx="25">
                  <c:v>41890</c:v>
                </c:pt>
                <c:pt idx="26">
                  <c:v>41891</c:v>
                </c:pt>
                <c:pt idx="27">
                  <c:v>41892</c:v>
                </c:pt>
                <c:pt idx="28">
                  <c:v>41893</c:v>
                </c:pt>
                <c:pt idx="29">
                  <c:v>41894</c:v>
                </c:pt>
                <c:pt idx="30">
                  <c:v>41897</c:v>
                </c:pt>
                <c:pt idx="31">
                  <c:v>41898</c:v>
                </c:pt>
                <c:pt idx="32">
                  <c:v>41899</c:v>
                </c:pt>
                <c:pt idx="33">
                  <c:v>41900</c:v>
                </c:pt>
                <c:pt idx="34">
                  <c:v>41901</c:v>
                </c:pt>
                <c:pt idx="35">
                  <c:v>41904</c:v>
                </c:pt>
                <c:pt idx="36">
                  <c:v>41905</c:v>
                </c:pt>
                <c:pt idx="37">
                  <c:v>41906</c:v>
                </c:pt>
                <c:pt idx="38">
                  <c:v>41907</c:v>
                </c:pt>
                <c:pt idx="39">
                  <c:v>41908</c:v>
                </c:pt>
                <c:pt idx="40">
                  <c:v>41911</c:v>
                </c:pt>
                <c:pt idx="41">
                  <c:v>41912</c:v>
                </c:pt>
                <c:pt idx="42">
                  <c:v>41913</c:v>
                </c:pt>
                <c:pt idx="43">
                  <c:v>41914</c:v>
                </c:pt>
                <c:pt idx="44">
                  <c:v>41915</c:v>
                </c:pt>
                <c:pt idx="45">
                  <c:v>41918</c:v>
                </c:pt>
                <c:pt idx="46">
                  <c:v>41919</c:v>
                </c:pt>
                <c:pt idx="47">
                  <c:v>41920</c:v>
                </c:pt>
                <c:pt idx="48">
                  <c:v>41921</c:v>
                </c:pt>
                <c:pt idx="49">
                  <c:v>41922</c:v>
                </c:pt>
                <c:pt idx="50">
                  <c:v>41925</c:v>
                </c:pt>
                <c:pt idx="51">
                  <c:v>41926</c:v>
                </c:pt>
                <c:pt idx="52">
                  <c:v>41927</c:v>
                </c:pt>
                <c:pt idx="53">
                  <c:v>41928</c:v>
                </c:pt>
                <c:pt idx="54">
                  <c:v>41929</c:v>
                </c:pt>
                <c:pt idx="55">
                  <c:v>41932</c:v>
                </c:pt>
                <c:pt idx="56">
                  <c:v>41933</c:v>
                </c:pt>
                <c:pt idx="57">
                  <c:v>41934</c:v>
                </c:pt>
                <c:pt idx="58">
                  <c:v>41935</c:v>
                </c:pt>
                <c:pt idx="59">
                  <c:v>41936</c:v>
                </c:pt>
                <c:pt idx="60">
                  <c:v>41939</c:v>
                </c:pt>
                <c:pt idx="61">
                  <c:v>41940</c:v>
                </c:pt>
                <c:pt idx="62">
                  <c:v>41941</c:v>
                </c:pt>
                <c:pt idx="63">
                  <c:v>41942</c:v>
                </c:pt>
                <c:pt idx="64">
                  <c:v>41943</c:v>
                </c:pt>
                <c:pt idx="65">
                  <c:v>41946</c:v>
                </c:pt>
                <c:pt idx="66">
                  <c:v>41947</c:v>
                </c:pt>
              </c:numCache>
            </c:numRef>
          </c:cat>
          <c:val>
            <c:numRef>
              <c:f>SynthDepo!$AD$30:$AD$128</c:f>
              <c:numCache>
                <c:formatCode>0.0000%</c:formatCode>
                <c:ptCount val="99"/>
                <c:pt idx="0">
                  <c:v>1.4593287510561985E-3</c:v>
                </c:pt>
                <c:pt idx="1">
                  <c:v>1.458901264634447E-3</c:v>
                </c:pt>
                <c:pt idx="2">
                  <c:v>1.4584737782126955E-3</c:v>
                </c:pt>
                <c:pt idx="3">
                  <c:v>1.4580462917909438E-3</c:v>
                </c:pt>
                <c:pt idx="4">
                  <c:v>1.4576188053691923E-3</c:v>
                </c:pt>
                <c:pt idx="5">
                  <c:v>1.4563363461039375E-3</c:v>
                </c:pt>
                <c:pt idx="6">
                  <c:v>1.455908859682186E-3</c:v>
                </c:pt>
                <c:pt idx="7">
                  <c:v>1.4554813732604345E-3</c:v>
                </c:pt>
                <c:pt idx="8">
                  <c:v>1.455053886838683E-3</c:v>
                </c:pt>
                <c:pt idx="9">
                  <c:v>1.4546264004169315E-3</c:v>
                </c:pt>
                <c:pt idx="10">
                  <c:v>1.4533439411516767E-3</c:v>
                </c:pt>
                <c:pt idx="11">
                  <c:v>1.4529164547299252E-3</c:v>
                </c:pt>
                <c:pt idx="12">
                  <c:v>1.4524889683081737E-3</c:v>
                </c:pt>
                <c:pt idx="13">
                  <c:v>1.452061481886422E-3</c:v>
                </c:pt>
                <c:pt idx="14">
                  <c:v>1.4516339954646705E-3</c:v>
                </c:pt>
                <c:pt idx="15">
                  <c:v>1.4503515361994157E-3</c:v>
                </c:pt>
                <c:pt idx="16">
                  <c:v>1.4499240497776642E-3</c:v>
                </c:pt>
                <c:pt idx="17">
                  <c:v>1.4494965633559127E-3</c:v>
                </c:pt>
                <c:pt idx="18">
                  <c:v>1.4490690769341612E-3</c:v>
                </c:pt>
                <c:pt idx="19">
                  <c:v>1.4486415905124097E-3</c:v>
                </c:pt>
                <c:pt idx="20">
                  <c:v>1.4473591312471549E-3</c:v>
                </c:pt>
                <c:pt idx="21">
                  <c:v>1.4469316448254034E-3</c:v>
                </c:pt>
                <c:pt idx="22">
                  <c:v>1.4465041584036519E-3</c:v>
                </c:pt>
                <c:pt idx="23">
                  <c:v>1.4460766719819002E-3</c:v>
                </c:pt>
                <c:pt idx="24">
                  <c:v>1.4456491855601486E-3</c:v>
                </c:pt>
                <c:pt idx="25">
                  <c:v>1.4443667262948939E-3</c:v>
                </c:pt>
                <c:pt idx="26">
                  <c:v>1.4439392398731424E-3</c:v>
                </c:pt>
                <c:pt idx="27">
                  <c:v>1.4435117534513909E-3</c:v>
                </c:pt>
                <c:pt idx="28">
                  <c:v>1.4430842670296394E-3</c:v>
                </c:pt>
                <c:pt idx="29">
                  <c:v>1.4426567806078879E-3</c:v>
                </c:pt>
                <c:pt idx="30">
                  <c:v>1.4413743213426331E-3</c:v>
                </c:pt>
                <c:pt idx="31">
                  <c:v>1.4409468349208816E-3</c:v>
                </c:pt>
                <c:pt idx="32">
                  <c:v>1.4405193484991301E-3</c:v>
                </c:pt>
                <c:pt idx="33">
                  <c:v>1.4400918620773783E-3</c:v>
                </c:pt>
                <c:pt idx="34">
                  <c:v>1.4396643756556268E-3</c:v>
                </c:pt>
                <c:pt idx="35">
                  <c:v>1.4383819163903721E-3</c:v>
                </c:pt>
                <c:pt idx="36">
                  <c:v>1.4379544299686206E-3</c:v>
                </c:pt>
                <c:pt idx="37">
                  <c:v>1.4375269435468691E-3</c:v>
                </c:pt>
                <c:pt idx="38">
                  <c:v>1.4370994571251175E-3</c:v>
                </c:pt>
                <c:pt idx="39">
                  <c:v>1.436671970703366E-3</c:v>
                </c:pt>
                <c:pt idx="40">
                  <c:v>1.4353895114381113E-3</c:v>
                </c:pt>
                <c:pt idx="41">
                  <c:v>1.4349620250163598E-3</c:v>
                </c:pt>
                <c:pt idx="42">
                  <c:v>1.434534538594608E-3</c:v>
                </c:pt>
                <c:pt idx="43">
                  <c:v>1.4341070521728565E-3</c:v>
                </c:pt>
                <c:pt idx="44">
                  <c:v>1.433679565751105E-3</c:v>
                </c:pt>
                <c:pt idx="45">
                  <c:v>1.4323971064858503E-3</c:v>
                </c:pt>
                <c:pt idx="46">
                  <c:v>1.4319696200640988E-3</c:v>
                </c:pt>
                <c:pt idx="47">
                  <c:v>1.4315421336423472E-3</c:v>
                </c:pt>
                <c:pt idx="48">
                  <c:v>1.4311146472205957E-3</c:v>
                </c:pt>
                <c:pt idx="49">
                  <c:v>1.4306871607988442E-3</c:v>
                </c:pt>
                <c:pt idx="50">
                  <c:v>1.4294047015335895E-3</c:v>
                </c:pt>
                <c:pt idx="51">
                  <c:v>1.428977215111838E-3</c:v>
                </c:pt>
                <c:pt idx="52">
                  <c:v>1.4285497286900862E-3</c:v>
                </c:pt>
                <c:pt idx="53">
                  <c:v>1.4281222422683347E-3</c:v>
                </c:pt>
                <c:pt idx="54">
                  <c:v>1.4276947558465832E-3</c:v>
                </c:pt>
                <c:pt idx="55">
                  <c:v>1.4264122965813285E-3</c:v>
                </c:pt>
                <c:pt idx="56">
                  <c:v>1.4259848101595769E-3</c:v>
                </c:pt>
                <c:pt idx="57">
                  <c:v>1.4255573237378254E-3</c:v>
                </c:pt>
                <c:pt idx="58">
                  <c:v>1.4251298373160739E-3</c:v>
                </c:pt>
                <c:pt idx="59">
                  <c:v>1.4247023508943224E-3</c:v>
                </c:pt>
                <c:pt idx="60">
                  <c:v>1.4234198916290677E-3</c:v>
                </c:pt>
                <c:pt idx="61">
                  <c:v>1.4229924052073161E-3</c:v>
                </c:pt>
                <c:pt idx="62">
                  <c:v>1.4225649187855644E-3</c:v>
                </c:pt>
                <c:pt idx="63">
                  <c:v>1.4221374323638129E-3</c:v>
                </c:pt>
                <c:pt idx="64">
                  <c:v>1.4217099459420614E-3</c:v>
                </c:pt>
                <c:pt idx="65">
                  <c:v>1.4204274866768066E-3</c:v>
                </c:pt>
                <c:pt idx="66">
                  <c:v>1.4200000002550551E-3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SynthDepo!$AE$29</c:f>
              <c:strCache>
                <c:ptCount val="1"/>
                <c:pt idx="0">
                  <c:v>Quadratic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41855</c:v>
                </c:pt>
                <c:pt idx="1">
                  <c:v>41856</c:v>
                </c:pt>
                <c:pt idx="2">
                  <c:v>41857</c:v>
                </c:pt>
                <c:pt idx="3">
                  <c:v>41858</c:v>
                </c:pt>
                <c:pt idx="4">
                  <c:v>41859</c:v>
                </c:pt>
                <c:pt idx="5">
                  <c:v>41862</c:v>
                </c:pt>
                <c:pt idx="6">
                  <c:v>41863</c:v>
                </c:pt>
                <c:pt idx="7">
                  <c:v>41864</c:v>
                </c:pt>
                <c:pt idx="8">
                  <c:v>41865</c:v>
                </c:pt>
                <c:pt idx="9">
                  <c:v>41866</c:v>
                </c:pt>
                <c:pt idx="10">
                  <c:v>41869</c:v>
                </c:pt>
                <c:pt idx="11">
                  <c:v>41870</c:v>
                </c:pt>
                <c:pt idx="12">
                  <c:v>41871</c:v>
                </c:pt>
                <c:pt idx="13">
                  <c:v>41872</c:v>
                </c:pt>
                <c:pt idx="14">
                  <c:v>41873</c:v>
                </c:pt>
                <c:pt idx="15">
                  <c:v>41876</c:v>
                </c:pt>
                <c:pt idx="16">
                  <c:v>41877</c:v>
                </c:pt>
                <c:pt idx="17">
                  <c:v>41878</c:v>
                </c:pt>
                <c:pt idx="18">
                  <c:v>41879</c:v>
                </c:pt>
                <c:pt idx="19">
                  <c:v>41880</c:v>
                </c:pt>
                <c:pt idx="20">
                  <c:v>41883</c:v>
                </c:pt>
                <c:pt idx="21">
                  <c:v>41884</c:v>
                </c:pt>
                <c:pt idx="22">
                  <c:v>41885</c:v>
                </c:pt>
                <c:pt idx="23">
                  <c:v>41886</c:v>
                </c:pt>
                <c:pt idx="24">
                  <c:v>41887</c:v>
                </c:pt>
                <c:pt idx="25">
                  <c:v>41890</c:v>
                </c:pt>
                <c:pt idx="26">
                  <c:v>41891</c:v>
                </c:pt>
                <c:pt idx="27">
                  <c:v>41892</c:v>
                </c:pt>
                <c:pt idx="28">
                  <c:v>41893</c:v>
                </c:pt>
                <c:pt idx="29">
                  <c:v>41894</c:v>
                </c:pt>
                <c:pt idx="30">
                  <c:v>41897</c:v>
                </c:pt>
                <c:pt idx="31">
                  <c:v>41898</c:v>
                </c:pt>
                <c:pt idx="32">
                  <c:v>41899</c:v>
                </c:pt>
                <c:pt idx="33">
                  <c:v>41900</c:v>
                </c:pt>
                <c:pt idx="34">
                  <c:v>41901</c:v>
                </c:pt>
                <c:pt idx="35">
                  <c:v>41904</c:v>
                </c:pt>
                <c:pt idx="36">
                  <c:v>41905</c:v>
                </c:pt>
                <c:pt idx="37">
                  <c:v>41906</c:v>
                </c:pt>
                <c:pt idx="38">
                  <c:v>41907</c:v>
                </c:pt>
                <c:pt idx="39">
                  <c:v>41908</c:v>
                </c:pt>
                <c:pt idx="40">
                  <c:v>41911</c:v>
                </c:pt>
                <c:pt idx="41">
                  <c:v>41912</c:v>
                </c:pt>
                <c:pt idx="42">
                  <c:v>41913</c:v>
                </c:pt>
                <c:pt idx="43">
                  <c:v>41914</c:v>
                </c:pt>
                <c:pt idx="44">
                  <c:v>41915</c:v>
                </c:pt>
                <c:pt idx="45">
                  <c:v>41918</c:v>
                </c:pt>
                <c:pt idx="46">
                  <c:v>41919</c:v>
                </c:pt>
                <c:pt idx="47">
                  <c:v>41920</c:v>
                </c:pt>
                <c:pt idx="48">
                  <c:v>41921</c:v>
                </c:pt>
                <c:pt idx="49">
                  <c:v>41922</c:v>
                </c:pt>
                <c:pt idx="50">
                  <c:v>41925</c:v>
                </c:pt>
                <c:pt idx="51">
                  <c:v>41926</c:v>
                </c:pt>
                <c:pt idx="52">
                  <c:v>41927</c:v>
                </c:pt>
                <c:pt idx="53">
                  <c:v>41928</c:v>
                </c:pt>
                <c:pt idx="54">
                  <c:v>41929</c:v>
                </c:pt>
                <c:pt idx="55">
                  <c:v>41932</c:v>
                </c:pt>
                <c:pt idx="56">
                  <c:v>41933</c:v>
                </c:pt>
                <c:pt idx="57">
                  <c:v>41934</c:v>
                </c:pt>
                <c:pt idx="58">
                  <c:v>41935</c:v>
                </c:pt>
                <c:pt idx="59">
                  <c:v>41936</c:v>
                </c:pt>
                <c:pt idx="60">
                  <c:v>41939</c:v>
                </c:pt>
                <c:pt idx="61">
                  <c:v>41940</c:v>
                </c:pt>
                <c:pt idx="62">
                  <c:v>41941</c:v>
                </c:pt>
                <c:pt idx="63">
                  <c:v>41942</c:v>
                </c:pt>
                <c:pt idx="64">
                  <c:v>41943</c:v>
                </c:pt>
                <c:pt idx="65">
                  <c:v>41946</c:v>
                </c:pt>
                <c:pt idx="66">
                  <c:v>41947</c:v>
                </c:pt>
              </c:numCache>
            </c:numRef>
          </c:cat>
          <c:val>
            <c:numRef>
              <c:f>SynthDepo!$AE$30:$AE$128</c:f>
              <c:numCache>
                <c:formatCode>0.0000%</c:formatCode>
                <c:ptCount val="99"/>
                <c:pt idx="0">
                  <c:v>1.9226329450020654E-3</c:v>
                </c:pt>
                <c:pt idx="1">
                  <c:v>1.9019917928898343E-3</c:v>
                </c:pt>
                <c:pt idx="2">
                  <c:v>1.8816726633952461E-3</c:v>
                </c:pt>
                <c:pt idx="3">
                  <c:v>1.8616755565183005E-3</c:v>
                </c:pt>
                <c:pt idx="4">
                  <c:v>1.8420004722589979E-3</c:v>
                </c:pt>
                <c:pt idx="5">
                  <c:v>1.7849073551869461E-3</c:v>
                </c:pt>
                <c:pt idx="6">
                  <c:v>1.7665203613982145E-3</c:v>
                </c:pt>
                <c:pt idx="7">
                  <c:v>1.7484553902271257E-3</c:v>
                </c:pt>
                <c:pt idx="8">
                  <c:v>1.7307124416736795E-3</c:v>
                </c:pt>
                <c:pt idx="9">
                  <c:v>1.7132915157378763E-3</c:v>
                </c:pt>
                <c:pt idx="10">
                  <c:v>1.6629608736363226E-3</c:v>
                </c:pt>
                <c:pt idx="11">
                  <c:v>1.6468280381710903E-3</c:v>
                </c:pt>
                <c:pt idx="12">
                  <c:v>1.631017225323501E-3</c:v>
                </c:pt>
                <c:pt idx="13">
                  <c:v>1.6155284350935543E-3</c:v>
                </c:pt>
                <c:pt idx="14">
                  <c:v>1.6003616674812502E-3</c:v>
                </c:pt>
                <c:pt idx="15">
                  <c:v>1.5567935003501948E-3</c:v>
                </c:pt>
                <c:pt idx="16">
                  <c:v>1.5429148232084619E-3</c:v>
                </c:pt>
                <c:pt idx="17">
                  <c:v>1.5293581686843718E-3</c:v>
                </c:pt>
                <c:pt idx="18">
                  <c:v>1.5161235367779245E-3</c:v>
                </c:pt>
                <c:pt idx="19">
                  <c:v>1.5032109274891198E-3</c:v>
                </c:pt>
                <c:pt idx="20">
                  <c:v>1.4664052353285627E-3</c:v>
                </c:pt>
                <c:pt idx="21">
                  <c:v>1.4547807165103293E-3</c:v>
                </c:pt>
                <c:pt idx="22">
                  <c:v>1.4434782203097383E-3</c:v>
                </c:pt>
                <c:pt idx="23">
                  <c:v>1.4324977467267905E-3</c:v>
                </c:pt>
                <c:pt idx="24">
                  <c:v>1.4218392957614852E-3</c:v>
                </c:pt>
                <c:pt idx="25">
                  <c:v>1.3917960785714261E-3</c:v>
                </c:pt>
                <c:pt idx="26">
                  <c:v>1.3824257180766921E-3</c:v>
                </c:pt>
                <c:pt idx="27">
                  <c:v>1.3733773801996006E-3</c:v>
                </c:pt>
                <c:pt idx="28">
                  <c:v>1.3646510649401519E-3</c:v>
                </c:pt>
                <c:pt idx="29">
                  <c:v>1.3562467722983461E-3</c:v>
                </c:pt>
                <c:pt idx="30">
                  <c:v>1.3329660300787855E-3</c:v>
                </c:pt>
                <c:pt idx="31">
                  <c:v>1.3258498279075507E-3</c:v>
                </c:pt>
                <c:pt idx="32">
                  <c:v>1.3190556483539586E-3</c:v>
                </c:pt>
                <c:pt idx="33">
                  <c:v>1.3125834914180096E-3</c:v>
                </c:pt>
                <c:pt idx="34">
                  <c:v>1.3064333570997027E-3</c:v>
                </c:pt>
                <c:pt idx="35">
                  <c:v>1.2899150898506402E-3</c:v>
                </c:pt>
                <c:pt idx="36">
                  <c:v>1.2850530460029048E-3</c:v>
                </c:pt>
                <c:pt idx="37">
                  <c:v>1.2805130247728123E-3</c:v>
                </c:pt>
                <c:pt idx="38">
                  <c:v>1.2762950261603625E-3</c:v>
                </c:pt>
                <c:pt idx="39">
                  <c:v>1.2723990501655551E-3</c:v>
                </c:pt>
                <c:pt idx="40">
                  <c:v>1.2626432578869908E-3</c:v>
                </c:pt>
                <c:pt idx="41">
                  <c:v>1.2600353723627546E-3</c:v>
                </c:pt>
                <c:pt idx="42">
                  <c:v>1.2577495094561616E-3</c:v>
                </c:pt>
                <c:pt idx="43">
                  <c:v>1.2557856691672109E-3</c:v>
                </c:pt>
                <c:pt idx="44">
                  <c:v>1.2541438514959032E-3</c:v>
                </c:pt>
                <c:pt idx="45">
                  <c:v>1.2511505341878367E-3</c:v>
                </c:pt>
                <c:pt idx="46">
                  <c:v>1.2507968069871002E-3</c:v>
                </c:pt>
                <c:pt idx="47">
                  <c:v>1.2507651024040063E-3</c:v>
                </c:pt>
                <c:pt idx="48">
                  <c:v>1.2510554204385553E-3</c:v>
                </c:pt>
                <c:pt idx="49">
                  <c:v>1.251667761090747E-3</c:v>
                </c:pt>
                <c:pt idx="50">
                  <c:v>1.2554369187531785E-3</c:v>
                </c:pt>
                <c:pt idx="51">
                  <c:v>1.2573373498759415E-3</c:v>
                </c:pt>
                <c:pt idx="52">
                  <c:v>1.259559803616347E-3</c:v>
                </c:pt>
                <c:pt idx="53">
                  <c:v>1.2621042799743952E-3</c:v>
                </c:pt>
                <c:pt idx="54">
                  <c:v>1.2649707789500863E-3</c:v>
                </c:pt>
                <c:pt idx="55">
                  <c:v>1.2755024115830159E-3</c:v>
                </c:pt>
                <c:pt idx="56">
                  <c:v>1.2796570010292782E-3</c:v>
                </c:pt>
                <c:pt idx="57">
                  <c:v>1.284133613093183E-3</c:v>
                </c:pt>
                <c:pt idx="58">
                  <c:v>1.2889322477747309E-3</c:v>
                </c:pt>
                <c:pt idx="59">
                  <c:v>1.2940529050739214E-3</c:v>
                </c:pt>
                <c:pt idx="60">
                  <c:v>1.3113470126773492E-3</c:v>
                </c:pt>
                <c:pt idx="61">
                  <c:v>1.3177557604471108E-3</c:v>
                </c:pt>
                <c:pt idx="62">
                  <c:v>1.324486530834515E-3</c:v>
                </c:pt>
                <c:pt idx="63">
                  <c:v>1.331539323839562E-3</c:v>
                </c:pt>
                <c:pt idx="64">
                  <c:v>1.3389141394622519E-3</c:v>
                </c:pt>
                <c:pt idx="65">
                  <c:v>1.362970722036178E-3</c:v>
                </c:pt>
                <c:pt idx="66">
                  <c:v>1.3716336281294388E-3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54368"/>
        <c:axId val="96155904"/>
      </c:lineChart>
      <c:dateAx>
        <c:axId val="961543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96155904"/>
        <c:crosses val="autoZero"/>
        <c:auto val="1"/>
        <c:lblOffset val="100"/>
        <c:baseTimeUnit val="days"/>
        <c:majorUnit val="1"/>
        <c:majorTimeUnit val="months"/>
      </c:dateAx>
      <c:valAx>
        <c:axId val="96155904"/>
        <c:scaling>
          <c:orientation val="minMax"/>
          <c:min val="1.0000000000000002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96154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561067366579174"/>
          <c:y val="0.56886847477398661"/>
          <c:w val="0.19494488188976378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112532808398948E-2"/>
          <c:y val="4.4835137795275593E-2"/>
          <c:w val="0.87582112131816858"/>
          <c:h val="0.78842960797471506"/>
        </c:manualLayout>
      </c:layout>
      <c:lineChart>
        <c:grouping val="standard"/>
        <c:varyColors val="0"/>
        <c:ser>
          <c:idx val="0"/>
          <c:order val="0"/>
          <c:tx>
            <c:strRef>
              <c:f>FRACharts!$I$10</c:f>
              <c:strCache>
                <c:ptCount val="1"/>
                <c:pt idx="0">
                  <c:v>Synt FRA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(FRACharts!$D$12:$D$22,FRACharts!$D$24:$D$34,FRACharts!$D$36:$D$46,FRACharts!$D$48:$D$58)</c:f>
              <c:numCache>
                <c:formatCode>ddd\,\ dd\-mmm\-yyyy</c:formatCode>
                <c:ptCount val="44"/>
                <c:pt idx="0">
                  <c:v>41886</c:v>
                </c:pt>
                <c:pt idx="1">
                  <c:v>41918</c:v>
                </c:pt>
                <c:pt idx="2">
                  <c:v>41947</c:v>
                </c:pt>
                <c:pt idx="3">
                  <c:v>41977</c:v>
                </c:pt>
                <c:pt idx="4">
                  <c:v>42009</c:v>
                </c:pt>
                <c:pt idx="5">
                  <c:v>42039</c:v>
                </c:pt>
                <c:pt idx="6">
                  <c:v>42067</c:v>
                </c:pt>
                <c:pt idx="7">
                  <c:v>42101</c:v>
                </c:pt>
                <c:pt idx="8">
                  <c:v>42128</c:v>
                </c:pt>
                <c:pt idx="9">
                  <c:v>42159</c:v>
                </c:pt>
                <c:pt idx="10">
                  <c:v>42191</c:v>
                </c:pt>
                <c:pt idx="11">
                  <c:v>42251</c:v>
                </c:pt>
                <c:pt idx="12">
                  <c:v>42282</c:v>
                </c:pt>
                <c:pt idx="13">
                  <c:v>42312</c:v>
                </c:pt>
                <c:pt idx="14">
                  <c:v>42342</c:v>
                </c:pt>
                <c:pt idx="15">
                  <c:v>42373</c:v>
                </c:pt>
                <c:pt idx="16">
                  <c:v>42404</c:v>
                </c:pt>
                <c:pt idx="17">
                  <c:v>42433</c:v>
                </c:pt>
                <c:pt idx="18">
                  <c:v>42464</c:v>
                </c:pt>
                <c:pt idx="19">
                  <c:v>42494</c:v>
                </c:pt>
                <c:pt idx="20">
                  <c:v>42527</c:v>
                </c:pt>
                <c:pt idx="21">
                  <c:v>42555</c:v>
                </c:pt>
                <c:pt idx="22">
                  <c:v>42618</c:v>
                </c:pt>
                <c:pt idx="23">
                  <c:v>42647</c:v>
                </c:pt>
                <c:pt idx="24">
                  <c:v>42678</c:v>
                </c:pt>
                <c:pt idx="25">
                  <c:v>42709</c:v>
                </c:pt>
                <c:pt idx="26">
                  <c:v>42739</c:v>
                </c:pt>
                <c:pt idx="27">
                  <c:v>42772</c:v>
                </c:pt>
                <c:pt idx="28">
                  <c:v>42800</c:v>
                </c:pt>
                <c:pt idx="29">
                  <c:v>42829</c:v>
                </c:pt>
                <c:pt idx="30">
                  <c:v>42859</c:v>
                </c:pt>
                <c:pt idx="31">
                  <c:v>42891</c:v>
                </c:pt>
                <c:pt idx="32">
                  <c:v>42920</c:v>
                </c:pt>
                <c:pt idx="33">
                  <c:v>42982</c:v>
                </c:pt>
                <c:pt idx="34">
                  <c:v>43012</c:v>
                </c:pt>
                <c:pt idx="35">
                  <c:v>43045</c:v>
                </c:pt>
                <c:pt idx="36">
                  <c:v>43073</c:v>
                </c:pt>
                <c:pt idx="37">
                  <c:v>43104</c:v>
                </c:pt>
                <c:pt idx="38">
                  <c:v>43136</c:v>
                </c:pt>
                <c:pt idx="39">
                  <c:v>43164</c:v>
                </c:pt>
                <c:pt idx="40">
                  <c:v>43194</c:v>
                </c:pt>
                <c:pt idx="41">
                  <c:v>43224</c:v>
                </c:pt>
                <c:pt idx="42">
                  <c:v>43255</c:v>
                </c:pt>
                <c:pt idx="43">
                  <c:v>43285</c:v>
                </c:pt>
              </c:numCache>
            </c:numRef>
          </c:cat>
          <c:val>
            <c:numRef>
              <c:f>(FRACharts!$I$12:$I$22,FRACharts!$I$24:$I$34,FRACharts!$I$36:$I$46,FRACharts!$I$48:$I$58)</c:f>
              <c:numCache>
                <c:formatCode>0.0000%</c:formatCode>
                <c:ptCount val="44"/>
                <c:pt idx="0">
                  <c:v>4.8978438580174555E-3</c:v>
                </c:pt>
                <c:pt idx="1">
                  <c:v>4.8977768007770804E-3</c:v>
                </c:pt>
                <c:pt idx="2">
                  <c:v>4.9138205751094437E-3</c:v>
                </c:pt>
                <c:pt idx="3">
                  <c:v>4.926054967282904E-3</c:v>
                </c:pt>
                <c:pt idx="4">
                  <c:v>4.9443473295594049E-3</c:v>
                </c:pt>
                <c:pt idx="5">
                  <c:v>4.9801704767095485E-3</c:v>
                </c:pt>
                <c:pt idx="6">
                  <c:v>4.9934650871645784E-3</c:v>
                </c:pt>
                <c:pt idx="7">
                  <c:v>5.0400976262717934E-3</c:v>
                </c:pt>
                <c:pt idx="8">
                  <c:v>5.100699966079268E-3</c:v>
                </c:pt>
                <c:pt idx="9">
                  <c:v>5.1736581515146318E-3</c:v>
                </c:pt>
                <c:pt idx="10">
                  <c:v>5.2628089291468193E-3</c:v>
                </c:pt>
                <c:pt idx="11">
                  <c:v>5.4303379149019159E-3</c:v>
                </c:pt>
                <c:pt idx="12">
                  <c:v>5.5281497667412178E-3</c:v>
                </c:pt>
                <c:pt idx="13">
                  <c:v>5.6311960631618965E-3</c:v>
                </c:pt>
                <c:pt idx="14">
                  <c:v>5.7403062320791039E-3</c:v>
                </c:pt>
                <c:pt idx="15">
                  <c:v>5.8540722498513758E-3</c:v>
                </c:pt>
                <c:pt idx="16">
                  <c:v>5.9811372658440691E-3</c:v>
                </c:pt>
                <c:pt idx="17">
                  <c:v>6.1011406054272323E-3</c:v>
                </c:pt>
                <c:pt idx="18">
                  <c:v>6.2348448358431636E-3</c:v>
                </c:pt>
                <c:pt idx="19">
                  <c:v>6.3764114619801792E-3</c:v>
                </c:pt>
                <c:pt idx="20">
                  <c:v>6.5408051625487438E-3</c:v>
                </c:pt>
                <c:pt idx="21">
                  <c:v>6.6883385953261237E-3</c:v>
                </c:pt>
                <c:pt idx="22">
                  <c:v>7.0586937404917768E-3</c:v>
                </c:pt>
                <c:pt idx="23">
                  <c:v>7.2574660357555467E-3</c:v>
                </c:pt>
                <c:pt idx="24">
                  <c:v>7.4955085666286586E-3</c:v>
                </c:pt>
                <c:pt idx="25">
                  <c:v>7.735769551606487E-3</c:v>
                </c:pt>
                <c:pt idx="26">
                  <c:v>7.9881261520869575E-3</c:v>
                </c:pt>
                <c:pt idx="27">
                  <c:v>8.2774492426896194E-3</c:v>
                </c:pt>
                <c:pt idx="28">
                  <c:v>8.530164423738669E-3</c:v>
                </c:pt>
                <c:pt idx="29">
                  <c:v>8.796595863094555E-3</c:v>
                </c:pt>
                <c:pt idx="30">
                  <c:v>9.0748509099657093E-3</c:v>
                </c:pt>
                <c:pt idx="31">
                  <c:v>9.3718132964617472E-3</c:v>
                </c:pt>
                <c:pt idx="32">
                  <c:v>9.6385804723548487E-3</c:v>
                </c:pt>
                <c:pt idx="33">
                  <c:v>1.0197536758263565E-2</c:v>
                </c:pt>
                <c:pt idx="34">
                  <c:v>1.0471909993669554E-2</c:v>
                </c:pt>
                <c:pt idx="35">
                  <c:v>1.0778475558643667E-2</c:v>
                </c:pt>
                <c:pt idx="36">
                  <c:v>1.1042258213133524E-2</c:v>
                </c:pt>
                <c:pt idx="37">
                  <c:v>1.1337969219244712E-2</c:v>
                </c:pt>
                <c:pt idx="38">
                  <c:v>1.1646975893250495E-2</c:v>
                </c:pt>
                <c:pt idx="39">
                  <c:v>1.1920250117607842E-2</c:v>
                </c:pt>
                <c:pt idx="40">
                  <c:v>1.2215797391385366E-2</c:v>
                </c:pt>
                <c:pt idx="41">
                  <c:v>1.2524215335454961E-2</c:v>
                </c:pt>
                <c:pt idx="42">
                  <c:v>1.2824499555509333E-2</c:v>
                </c:pt>
                <c:pt idx="43">
                  <c:v>1.312716054811601E-2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37664"/>
        <c:axId val="98111488"/>
      </c:lineChart>
      <c:scatterChart>
        <c:scatterStyle val="lineMarker"/>
        <c:varyColors val="0"/>
        <c:ser>
          <c:idx val="1"/>
          <c:order val="1"/>
          <c:tx>
            <c:v>Swap Implied FRA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(FRACharts!$D$35,FRACharts!$D$47,FRACharts!$D$59)</c:f>
              <c:numCache>
                <c:formatCode>ddd\,\ dd\-mmm\-yyyy</c:formatCode>
                <c:ptCount val="3"/>
                <c:pt idx="0">
                  <c:v>42586</c:v>
                </c:pt>
                <c:pt idx="1">
                  <c:v>42951</c:v>
                </c:pt>
                <c:pt idx="2">
                  <c:v>43318</c:v>
                </c:pt>
              </c:numCache>
            </c:numRef>
          </c:xVal>
          <c:yVal>
            <c:numRef>
              <c:f>(FRACharts!$I$35,FRACharts!$I$47,FRACharts!$I$59)</c:f>
              <c:numCache>
                <c:formatCode>0.0000%</c:formatCode>
                <c:ptCount val="3"/>
                <c:pt idx="0">
                  <c:v>6.8615343331549861E-3</c:v>
                </c:pt>
                <c:pt idx="1">
                  <c:v>9.9277362926392596E-3</c:v>
                </c:pt>
                <c:pt idx="2">
                  <c:v>1.3462197251053224E-2</c:v>
                </c:pt>
              </c:numCache>
            </c:numRef>
          </c:yVal>
          <c:smooth val="0"/>
        </c:ser>
        <c:ser>
          <c:idx val="2"/>
          <c:order val="2"/>
          <c:tx>
            <c:v>Market 12x24 FRA</c:v>
          </c:tx>
          <c:spPr>
            <a:ln w="28575">
              <a:noFill/>
            </a:ln>
          </c:spPr>
          <c:marker>
            <c:symbol val="diamond"/>
            <c:size val="7"/>
            <c:spPr>
              <a:blipFill>
                <a:blip xmlns:r="http://schemas.openxmlformats.org/officeDocument/2006/relationships" r:embed="rId1"/>
                <a:tile tx="0" ty="0" sx="100000" sy="100000" flip="none" algn="tl"/>
              </a:blipFill>
            </c:spPr>
          </c:marker>
          <c:dPt>
            <c:idx val="0"/>
            <c:marker>
              <c:spPr>
                <a:blipFill>
                  <a:blip xmlns:r="http://schemas.openxmlformats.org/officeDocument/2006/relationships" r:embed="rId1"/>
                  <a:tile tx="0" ty="0" sx="100000" sy="100000" flip="none" algn="tl"/>
                </a:blipFill>
                <a:ln>
                  <a:solidFill>
                    <a:schemeClr val="tx1"/>
                  </a:solidFill>
                </a:ln>
              </c:spPr>
            </c:marker>
            <c:bubble3D val="0"/>
          </c:dPt>
          <c:xVal>
            <c:numRef>
              <c:f>FRACharts!$D$23</c:f>
              <c:numCache>
                <c:formatCode>ddd\,\ dd\-mmm\-yyyy</c:formatCode>
                <c:ptCount val="1"/>
                <c:pt idx="0">
                  <c:v>42220</c:v>
                </c:pt>
              </c:numCache>
            </c:numRef>
          </c:xVal>
          <c:yVal>
            <c:numRef>
              <c:f>FRACharts!$I$23</c:f>
              <c:numCache>
                <c:formatCode>0.0000%</c:formatCode>
                <c:ptCount val="1"/>
                <c:pt idx="0">
                  <c:v>5.3397581296706379E-3</c:v>
                </c:pt>
              </c:numCache>
            </c:numRef>
          </c:yVal>
          <c:smooth val="0"/>
        </c:ser>
        <c:ser>
          <c:idx val="3"/>
          <c:order val="3"/>
          <c:tx>
            <c:v>12M Libor Fixing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3"/>
              </a:solidFill>
            </c:spPr>
          </c:marker>
          <c:xVal>
            <c:numRef>
              <c:f>FRACharts!$D$11</c:f>
              <c:numCache>
                <c:formatCode>ddd\,\ dd\-mmm\-yyyy</c:formatCode>
                <c:ptCount val="1"/>
                <c:pt idx="0">
                  <c:v>41855</c:v>
                </c:pt>
              </c:numCache>
            </c:numRef>
          </c:xVal>
          <c:yVal>
            <c:numRef>
              <c:f>FRACharts!$I$11</c:f>
              <c:numCache>
                <c:formatCode>0.0000%</c:formatCode>
                <c:ptCount val="1"/>
                <c:pt idx="0">
                  <c:v>4.8899999997733213E-3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82784"/>
        <c:axId val="123380096"/>
      </c:scatterChart>
      <c:dateAx>
        <c:axId val="92337664"/>
        <c:scaling>
          <c:orientation val="minMax"/>
          <c:min val="41852"/>
        </c:scaling>
        <c:delete val="0"/>
        <c:axPos val="b"/>
        <c:numFmt formatCode="[$-409]mmm\-yy;@" sourceLinked="0"/>
        <c:majorTickMark val="none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98111488"/>
        <c:crosses val="autoZero"/>
        <c:auto val="1"/>
        <c:lblOffset val="100"/>
        <c:baseTimeUnit val="months"/>
      </c:dateAx>
      <c:valAx>
        <c:axId val="98111488"/>
        <c:scaling>
          <c:orientation val="minMax"/>
        </c:scaling>
        <c:delete val="0"/>
        <c:axPos val="l"/>
        <c:majorGridlines/>
        <c:numFmt formatCode="0.00%" sourceLinked="0"/>
        <c:majorTickMark val="none"/>
        <c:minorTickMark val="none"/>
        <c:tickLblPos val="nextTo"/>
        <c:crossAx val="92337664"/>
        <c:crosses val="autoZero"/>
        <c:crossBetween val="between"/>
      </c:valAx>
      <c:valAx>
        <c:axId val="123380096"/>
        <c:scaling>
          <c:orientation val="minMax"/>
        </c:scaling>
        <c:delete val="1"/>
        <c:axPos val="r"/>
        <c:numFmt formatCode="0.0000%" sourceLinked="1"/>
        <c:majorTickMark val="out"/>
        <c:minorTickMark val="none"/>
        <c:tickLblPos val="nextTo"/>
        <c:crossAx val="123382784"/>
        <c:crosses val="max"/>
        <c:crossBetween val="midCat"/>
      </c:valAx>
      <c:valAx>
        <c:axId val="123382784"/>
        <c:scaling>
          <c:orientation val="minMax"/>
        </c:scaling>
        <c:delete val="1"/>
        <c:axPos val="t"/>
        <c:numFmt formatCode="ddd\,\ dd\-mmm\-yyyy" sourceLinked="1"/>
        <c:majorTickMark val="out"/>
        <c:minorTickMark val="none"/>
        <c:tickLblPos val="nextTo"/>
        <c:crossAx val="123380096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76359026305245292"/>
          <c:y val="0.55533154509532467"/>
          <c:w val="0.21208260425780112"/>
          <c:h val="0.254464920117175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392900524458038E-2"/>
          <c:y val="4.7069497962520523E-2"/>
          <c:w val="0.87339211455192423"/>
          <c:h val="0.76875183810458825"/>
        </c:manualLayout>
      </c:layout>
      <c:lineChart>
        <c:grouping val="standard"/>
        <c:varyColors val="0"/>
        <c:ser>
          <c:idx val="2"/>
          <c:order val="0"/>
          <c:tx>
            <c:v>Interpolated Basis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FRACharts!$D$11:$D$59</c:f>
              <c:numCache>
                <c:formatCode>ddd\,\ dd\-mmm\-yyyy</c:formatCode>
                <c:ptCount val="49"/>
                <c:pt idx="0">
                  <c:v>41855</c:v>
                </c:pt>
                <c:pt idx="1">
                  <c:v>41886</c:v>
                </c:pt>
                <c:pt idx="2">
                  <c:v>41918</c:v>
                </c:pt>
                <c:pt idx="3">
                  <c:v>41947</c:v>
                </c:pt>
                <c:pt idx="4">
                  <c:v>41977</c:v>
                </c:pt>
                <c:pt idx="5">
                  <c:v>42009</c:v>
                </c:pt>
                <c:pt idx="6">
                  <c:v>42039</c:v>
                </c:pt>
                <c:pt idx="7">
                  <c:v>42067</c:v>
                </c:pt>
                <c:pt idx="8">
                  <c:v>42101</c:v>
                </c:pt>
                <c:pt idx="9">
                  <c:v>42128</c:v>
                </c:pt>
                <c:pt idx="10">
                  <c:v>42159</c:v>
                </c:pt>
                <c:pt idx="11">
                  <c:v>42191</c:v>
                </c:pt>
                <c:pt idx="12">
                  <c:v>42220</c:v>
                </c:pt>
                <c:pt idx="13">
                  <c:v>42251</c:v>
                </c:pt>
                <c:pt idx="14">
                  <c:v>42282</c:v>
                </c:pt>
                <c:pt idx="15">
                  <c:v>42312</c:v>
                </c:pt>
                <c:pt idx="16">
                  <c:v>42342</c:v>
                </c:pt>
                <c:pt idx="17">
                  <c:v>42373</c:v>
                </c:pt>
                <c:pt idx="18">
                  <c:v>42404</c:v>
                </c:pt>
                <c:pt idx="19">
                  <c:v>42433</c:v>
                </c:pt>
                <c:pt idx="20">
                  <c:v>42464</c:v>
                </c:pt>
                <c:pt idx="21">
                  <c:v>42494</c:v>
                </c:pt>
                <c:pt idx="22">
                  <c:v>42527</c:v>
                </c:pt>
                <c:pt idx="23">
                  <c:v>42555</c:v>
                </c:pt>
                <c:pt idx="24">
                  <c:v>42586</c:v>
                </c:pt>
                <c:pt idx="25">
                  <c:v>42618</c:v>
                </c:pt>
                <c:pt idx="26">
                  <c:v>42647</c:v>
                </c:pt>
                <c:pt idx="27">
                  <c:v>42678</c:v>
                </c:pt>
                <c:pt idx="28">
                  <c:v>42709</c:v>
                </c:pt>
                <c:pt idx="29">
                  <c:v>42739</c:v>
                </c:pt>
                <c:pt idx="30">
                  <c:v>42772</c:v>
                </c:pt>
                <c:pt idx="31">
                  <c:v>42800</c:v>
                </c:pt>
                <c:pt idx="32">
                  <c:v>42829</c:v>
                </c:pt>
                <c:pt idx="33">
                  <c:v>42859</c:v>
                </c:pt>
                <c:pt idx="34">
                  <c:v>42891</c:v>
                </c:pt>
                <c:pt idx="35">
                  <c:v>42920</c:v>
                </c:pt>
                <c:pt idx="36">
                  <c:v>42951</c:v>
                </c:pt>
                <c:pt idx="37">
                  <c:v>42982</c:v>
                </c:pt>
                <c:pt idx="38">
                  <c:v>43012</c:v>
                </c:pt>
                <c:pt idx="39">
                  <c:v>43045</c:v>
                </c:pt>
                <c:pt idx="40">
                  <c:v>43073</c:v>
                </c:pt>
                <c:pt idx="41">
                  <c:v>43104</c:v>
                </c:pt>
                <c:pt idx="42">
                  <c:v>43136</c:v>
                </c:pt>
                <c:pt idx="43">
                  <c:v>43164</c:v>
                </c:pt>
                <c:pt idx="44">
                  <c:v>43194</c:v>
                </c:pt>
                <c:pt idx="45">
                  <c:v>43224</c:v>
                </c:pt>
                <c:pt idx="46">
                  <c:v>43255</c:v>
                </c:pt>
                <c:pt idx="47">
                  <c:v>43285</c:v>
                </c:pt>
                <c:pt idx="48">
                  <c:v>43318</c:v>
                </c:pt>
              </c:numCache>
            </c:numRef>
          </c:cat>
          <c:val>
            <c:numRef>
              <c:f>FRACharts!$H$11:$H$59</c:f>
              <c:numCache>
                <c:formatCode>0.0000%</c:formatCode>
                <c:ptCount val="49"/>
                <c:pt idx="0">
                  <c:v>4.2900000000000004E-3</c:v>
                </c:pt>
                <c:pt idx="1">
                  <c:v>4.3127942630057691E-3</c:v>
                </c:pt>
                <c:pt idx="2">
                  <c:v>4.3360161360499168E-3</c:v>
                </c:pt>
                <c:pt idx="3">
                  <c:v>4.3565267214026324E-3</c:v>
                </c:pt>
                <c:pt idx="4">
                  <c:v>4.3769485074118706E-3</c:v>
                </c:pt>
                <c:pt idx="5">
                  <c:v>4.3975462971664447E-3</c:v>
                </c:pt>
                <c:pt idx="6">
                  <c:v>4.4154675274184502E-3</c:v>
                </c:pt>
                <c:pt idx="7">
                  <c:v>4.4307437619853021E-3</c:v>
                </c:pt>
                <c:pt idx="8">
                  <c:v>4.4470961271162136E-3</c:v>
                </c:pt>
                <c:pt idx="9">
                  <c:v>4.4581270202513771E-3</c:v>
                </c:pt>
                <c:pt idx="10">
                  <c:v>4.468389512520177E-3</c:v>
                </c:pt>
                <c:pt idx="11">
                  <c:v>4.4759945439328576E-3</c:v>
                </c:pt>
                <c:pt idx="12">
                  <c:v>4.4799999999999996E-3</c:v>
                </c:pt>
                <c:pt idx="13">
                  <c:v>4.4822999232971604E-3</c:v>
                </c:pt>
                <c:pt idx="14">
                  <c:v>4.4838921492848984E-3</c:v>
                </c:pt>
                <c:pt idx="15">
                  <c:v>4.4849624155911772E-3</c:v>
                </c:pt>
                <c:pt idx="16">
                  <c:v>4.4857675193058907E-3</c:v>
                </c:pt>
                <c:pt idx="17">
                  <c:v>4.4865286078816227E-3</c:v>
                </c:pt>
                <c:pt idx="18">
                  <c:v>4.4874311243212339E-3</c:v>
                </c:pt>
                <c:pt idx="19">
                  <c:v>4.488594579097332E-3</c:v>
                </c:pt>
                <c:pt idx="20">
                  <c:v>4.4903837596529453E-3</c:v>
                </c:pt>
                <c:pt idx="21">
                  <c:v>4.492850720662328E-3</c:v>
                </c:pt>
                <c:pt idx="22">
                  <c:v>4.496635844871661E-3</c:v>
                </c:pt>
                <c:pt idx="23">
                  <c:v>4.5009153424911859E-3</c:v>
                </c:pt>
                <c:pt idx="24">
                  <c:v>4.5069999999999997E-3</c:v>
                </c:pt>
                <c:pt idx="25">
                  <c:v>4.5214096570005665E-3</c:v>
                </c:pt>
                <c:pt idx="26">
                  <c:v>4.5456432243435292E-3</c:v>
                </c:pt>
                <c:pt idx="27">
                  <c:v>4.5809443519695828E-3</c:v>
                </c:pt>
                <c:pt idx="28">
                  <c:v>4.6235495703713103E-3</c:v>
                </c:pt>
                <c:pt idx="29">
                  <c:v>4.6694194668918387E-3</c:v>
                </c:pt>
                <c:pt idx="30">
                  <c:v>4.7224589451968077E-3</c:v>
                </c:pt>
                <c:pt idx="31">
                  <c:v>4.7674462888126585E-3</c:v>
                </c:pt>
                <c:pt idx="32">
                  <c:v>4.8119789743241818E-3</c:v>
                </c:pt>
                <c:pt idx="33">
                  <c:v>4.8537222185878158E-3</c:v>
                </c:pt>
                <c:pt idx="34">
                  <c:v>4.8909173871060554E-3</c:v>
                </c:pt>
                <c:pt idx="35">
                  <c:v>4.915875065800681E-3</c:v>
                </c:pt>
                <c:pt idx="36">
                  <c:v>4.9309999999999996E-3</c:v>
                </c:pt>
                <c:pt idx="37">
                  <c:v>4.938675925686347E-3</c:v>
                </c:pt>
                <c:pt idx="38">
                  <c:v>4.9448715391434694E-3</c:v>
                </c:pt>
                <c:pt idx="39">
                  <c:v>4.9504167501789311E-3</c:v>
                </c:pt>
                <c:pt idx="40">
                  <c:v>4.9541822040816887E-3</c:v>
                </c:pt>
                <c:pt idx="41">
                  <c:v>4.9574572990967198E-3</c:v>
                </c:pt>
                <c:pt idx="42">
                  <c:v>4.9599753333863499E-3</c:v>
                </c:pt>
                <c:pt idx="43">
                  <c:v>4.9615617518148523E-3</c:v>
                </c:pt>
                <c:pt idx="44">
                  <c:v>4.9627271395201004E-3</c:v>
                </c:pt>
                <c:pt idx="45">
                  <c:v>4.9634455028632618E-3</c:v>
                </c:pt>
                <c:pt idx="46">
                  <c:v>4.9638330688460764E-3</c:v>
                </c:pt>
                <c:pt idx="47">
                  <c:v>4.9639760084908896E-3</c:v>
                </c:pt>
                <c:pt idx="48">
                  <c:v>4.9639999999999997E-3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438592"/>
        <c:axId val="123440512"/>
      </c:lineChart>
      <c:scatterChart>
        <c:scatterStyle val="lineMarker"/>
        <c:varyColors val="0"/>
        <c:ser>
          <c:idx val="0"/>
          <c:order val="1"/>
          <c:tx>
            <c:v>Basis Value</c:v>
          </c:tx>
          <c:spPr>
            <a:ln w="28575">
              <a:noFill/>
            </a:ln>
          </c:spPr>
          <c:marker>
            <c:spPr>
              <a:solidFill>
                <a:schemeClr val="accent2"/>
              </a:solidFill>
            </c:spPr>
          </c:marker>
          <c:xVal>
            <c:numRef>
              <c:f>(SynthFra!$I$2,SynthFra!$I$3,SynthFra!$I$4,SynthFra!$I$5,SynthFra!$I$6)</c:f>
              <c:numCache>
                <c:formatCode>ddd\,\ dd\-mmm\-yyyy</c:formatCode>
                <c:ptCount val="5"/>
                <c:pt idx="0">
                  <c:v>41855</c:v>
                </c:pt>
                <c:pt idx="1">
                  <c:v>42220</c:v>
                </c:pt>
                <c:pt idx="2">
                  <c:v>42586</c:v>
                </c:pt>
                <c:pt idx="3">
                  <c:v>42951</c:v>
                </c:pt>
                <c:pt idx="4">
                  <c:v>43318</c:v>
                </c:pt>
              </c:numCache>
            </c:numRef>
          </c:xVal>
          <c:yVal>
            <c:numRef>
              <c:f>(SynthFra!$M$2,SynthFra!$M$3,SynthFra!$M$4,SynthFra!$M$5,SynthFra!$M$6)</c:f>
              <c:numCache>
                <c:formatCode>0.0000%</c:formatCode>
                <c:ptCount val="5"/>
                <c:pt idx="0">
                  <c:v>4.2900000000000004E-3</c:v>
                </c:pt>
                <c:pt idx="1">
                  <c:v>4.4799999999999996E-3</c:v>
                </c:pt>
                <c:pt idx="2">
                  <c:v>4.5069999999999997E-3</c:v>
                </c:pt>
                <c:pt idx="3">
                  <c:v>4.9309999999999996E-3</c:v>
                </c:pt>
                <c:pt idx="4">
                  <c:v>4.9639999999999997E-3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38592"/>
        <c:axId val="123440512"/>
      </c:scatterChart>
      <c:dateAx>
        <c:axId val="1234385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23440512"/>
        <c:crosses val="autoZero"/>
        <c:auto val="1"/>
        <c:lblOffset val="100"/>
        <c:baseTimeUnit val="months"/>
      </c:dateAx>
      <c:valAx>
        <c:axId val="1234405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3438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960538786818316"/>
          <c:y val="0.64554543963254596"/>
          <c:w val="0.23931794983960339"/>
          <c:h val="0.12557578740157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 Depo Charts'!$D$16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 Depo Charts'!$C$17:$C$130</c:f>
              <c:numCache>
                <c:formatCode>ddd\,\ dd\-mmm\-yyyy</c:formatCode>
                <c:ptCount val="114"/>
                <c:pt idx="0">
                  <c:v>41855</c:v>
                </c:pt>
                <c:pt idx="1">
                  <c:v>41856</c:v>
                </c:pt>
                <c:pt idx="2">
                  <c:v>41857</c:v>
                </c:pt>
                <c:pt idx="3">
                  <c:v>41858</c:v>
                </c:pt>
                <c:pt idx="4">
                  <c:v>41859</c:v>
                </c:pt>
                <c:pt idx="5">
                  <c:v>41862</c:v>
                </c:pt>
                <c:pt idx="6">
                  <c:v>41863</c:v>
                </c:pt>
                <c:pt idx="7">
                  <c:v>41864</c:v>
                </c:pt>
                <c:pt idx="8">
                  <c:v>41865</c:v>
                </c:pt>
                <c:pt idx="9">
                  <c:v>41866</c:v>
                </c:pt>
                <c:pt idx="10">
                  <c:v>41869</c:v>
                </c:pt>
                <c:pt idx="11">
                  <c:v>41870</c:v>
                </c:pt>
                <c:pt idx="12">
                  <c:v>41871</c:v>
                </c:pt>
                <c:pt idx="13">
                  <c:v>41872</c:v>
                </c:pt>
                <c:pt idx="14">
                  <c:v>41873</c:v>
                </c:pt>
                <c:pt idx="15">
                  <c:v>41876</c:v>
                </c:pt>
                <c:pt idx="16">
                  <c:v>41877</c:v>
                </c:pt>
                <c:pt idx="17">
                  <c:v>41878</c:v>
                </c:pt>
                <c:pt idx="18">
                  <c:v>41879</c:v>
                </c:pt>
                <c:pt idx="19">
                  <c:v>41880</c:v>
                </c:pt>
                <c:pt idx="20">
                  <c:v>41883</c:v>
                </c:pt>
                <c:pt idx="21">
                  <c:v>41884</c:v>
                </c:pt>
                <c:pt idx="22">
                  <c:v>41885</c:v>
                </c:pt>
                <c:pt idx="23">
                  <c:v>41886</c:v>
                </c:pt>
                <c:pt idx="24">
                  <c:v>41887</c:v>
                </c:pt>
                <c:pt idx="25">
                  <c:v>41890</c:v>
                </c:pt>
                <c:pt idx="26">
                  <c:v>41891</c:v>
                </c:pt>
                <c:pt idx="27">
                  <c:v>41892</c:v>
                </c:pt>
                <c:pt idx="28">
                  <c:v>41893</c:v>
                </c:pt>
                <c:pt idx="29">
                  <c:v>41894</c:v>
                </c:pt>
                <c:pt idx="30">
                  <c:v>41897</c:v>
                </c:pt>
                <c:pt idx="31">
                  <c:v>41898</c:v>
                </c:pt>
                <c:pt idx="32">
                  <c:v>41899</c:v>
                </c:pt>
                <c:pt idx="33">
                  <c:v>41900</c:v>
                </c:pt>
                <c:pt idx="34">
                  <c:v>41901</c:v>
                </c:pt>
                <c:pt idx="35">
                  <c:v>41904</c:v>
                </c:pt>
                <c:pt idx="36">
                  <c:v>41905</c:v>
                </c:pt>
                <c:pt idx="37">
                  <c:v>41906</c:v>
                </c:pt>
                <c:pt idx="38">
                  <c:v>41907</c:v>
                </c:pt>
                <c:pt idx="39">
                  <c:v>41908</c:v>
                </c:pt>
                <c:pt idx="40">
                  <c:v>41911</c:v>
                </c:pt>
                <c:pt idx="41">
                  <c:v>41912</c:v>
                </c:pt>
                <c:pt idx="42">
                  <c:v>41913</c:v>
                </c:pt>
                <c:pt idx="43">
                  <c:v>41914</c:v>
                </c:pt>
                <c:pt idx="44">
                  <c:v>41915</c:v>
                </c:pt>
                <c:pt idx="45">
                  <c:v>41918</c:v>
                </c:pt>
                <c:pt idx="46">
                  <c:v>41919</c:v>
                </c:pt>
                <c:pt idx="47">
                  <c:v>41920</c:v>
                </c:pt>
                <c:pt idx="48">
                  <c:v>41921</c:v>
                </c:pt>
                <c:pt idx="49">
                  <c:v>41922</c:v>
                </c:pt>
                <c:pt idx="50">
                  <c:v>41925</c:v>
                </c:pt>
                <c:pt idx="51">
                  <c:v>41926</c:v>
                </c:pt>
                <c:pt idx="52">
                  <c:v>41927</c:v>
                </c:pt>
                <c:pt idx="53">
                  <c:v>41928</c:v>
                </c:pt>
                <c:pt idx="54">
                  <c:v>41929</c:v>
                </c:pt>
                <c:pt idx="55">
                  <c:v>41932</c:v>
                </c:pt>
                <c:pt idx="56">
                  <c:v>41933</c:v>
                </c:pt>
                <c:pt idx="57">
                  <c:v>41934</c:v>
                </c:pt>
                <c:pt idx="58">
                  <c:v>41935</c:v>
                </c:pt>
                <c:pt idx="59">
                  <c:v>41936</c:v>
                </c:pt>
                <c:pt idx="60">
                  <c:v>41939</c:v>
                </c:pt>
                <c:pt idx="61">
                  <c:v>41940</c:v>
                </c:pt>
                <c:pt idx="62">
                  <c:v>41941</c:v>
                </c:pt>
                <c:pt idx="63">
                  <c:v>41942</c:v>
                </c:pt>
                <c:pt idx="64">
                  <c:v>41943</c:v>
                </c:pt>
                <c:pt idx="65">
                  <c:v>41946</c:v>
                </c:pt>
                <c:pt idx="66">
                  <c:v>41947</c:v>
                </c:pt>
              </c:numCache>
            </c:numRef>
          </c:cat>
          <c:val>
            <c:numRef>
              <c:f>'3M Depo Charts'!$D$17:$D$130</c:f>
              <c:numCache>
                <c:formatCode>0.0000%</c:formatCode>
                <c:ptCount val="114"/>
                <c:pt idx="0">
                  <c:v>1.4200000002550551E-3</c:v>
                </c:pt>
                <c:pt idx="1">
                  <c:v>1.4200000002550551E-3</c:v>
                </c:pt>
                <c:pt idx="2">
                  <c:v>1.4200000002550551E-3</c:v>
                </c:pt>
                <c:pt idx="3">
                  <c:v>1.4200000002550551E-3</c:v>
                </c:pt>
                <c:pt idx="4">
                  <c:v>1.4200000002550551E-3</c:v>
                </c:pt>
                <c:pt idx="5">
                  <c:v>1.4200000002550551E-3</c:v>
                </c:pt>
                <c:pt idx="6">
                  <c:v>1.4200000002550551E-3</c:v>
                </c:pt>
                <c:pt idx="7">
                  <c:v>1.4200000002550551E-3</c:v>
                </c:pt>
                <c:pt idx="8">
                  <c:v>1.4200000002550551E-3</c:v>
                </c:pt>
                <c:pt idx="9">
                  <c:v>1.4200000002550551E-3</c:v>
                </c:pt>
                <c:pt idx="10">
                  <c:v>1.4200000002550551E-3</c:v>
                </c:pt>
                <c:pt idx="11">
                  <c:v>1.4200000002550551E-3</c:v>
                </c:pt>
                <c:pt idx="12">
                  <c:v>1.4200000002550551E-3</c:v>
                </c:pt>
                <c:pt idx="13">
                  <c:v>1.4200000002550551E-3</c:v>
                </c:pt>
                <c:pt idx="14">
                  <c:v>1.4200000002550551E-3</c:v>
                </c:pt>
                <c:pt idx="15">
                  <c:v>1.4200000002550551E-3</c:v>
                </c:pt>
                <c:pt idx="16">
                  <c:v>1.4200000002550551E-3</c:v>
                </c:pt>
                <c:pt idx="17">
                  <c:v>1.4200000002550551E-3</c:v>
                </c:pt>
                <c:pt idx="18">
                  <c:v>1.4200000002550551E-3</c:v>
                </c:pt>
                <c:pt idx="19">
                  <c:v>1.4200000002550551E-3</c:v>
                </c:pt>
                <c:pt idx="20">
                  <c:v>1.4200000002550551E-3</c:v>
                </c:pt>
                <c:pt idx="21">
                  <c:v>1.4200000002550551E-3</c:v>
                </c:pt>
                <c:pt idx="22">
                  <c:v>1.4200000002550551E-3</c:v>
                </c:pt>
                <c:pt idx="23">
                  <c:v>1.4200000002550551E-3</c:v>
                </c:pt>
                <c:pt idx="24">
                  <c:v>1.4200000002550551E-3</c:v>
                </c:pt>
                <c:pt idx="25">
                  <c:v>1.4200000002550551E-3</c:v>
                </c:pt>
                <c:pt idx="26">
                  <c:v>1.4200000002550551E-3</c:v>
                </c:pt>
                <c:pt idx="27">
                  <c:v>1.4200000002550551E-3</c:v>
                </c:pt>
                <c:pt idx="28">
                  <c:v>1.4200000002550551E-3</c:v>
                </c:pt>
                <c:pt idx="29">
                  <c:v>1.4200000002550551E-3</c:v>
                </c:pt>
                <c:pt idx="30">
                  <c:v>1.4200000002550551E-3</c:v>
                </c:pt>
                <c:pt idx="31">
                  <c:v>1.4200000002550551E-3</c:v>
                </c:pt>
                <c:pt idx="32">
                  <c:v>1.4200000002550551E-3</c:v>
                </c:pt>
                <c:pt idx="33">
                  <c:v>1.4200000002550551E-3</c:v>
                </c:pt>
                <c:pt idx="34">
                  <c:v>1.4200000002550551E-3</c:v>
                </c:pt>
                <c:pt idx="35">
                  <c:v>1.4200000002550551E-3</c:v>
                </c:pt>
                <c:pt idx="36">
                  <c:v>1.4200000002550551E-3</c:v>
                </c:pt>
                <c:pt idx="37">
                  <c:v>1.4200000002550551E-3</c:v>
                </c:pt>
                <c:pt idx="38">
                  <c:v>1.4200000002550551E-3</c:v>
                </c:pt>
                <c:pt idx="39">
                  <c:v>1.4200000002550551E-3</c:v>
                </c:pt>
                <c:pt idx="40">
                  <c:v>1.4200000002550551E-3</c:v>
                </c:pt>
                <c:pt idx="41">
                  <c:v>1.4200000002550551E-3</c:v>
                </c:pt>
                <c:pt idx="42">
                  <c:v>1.4200000002550551E-3</c:v>
                </c:pt>
                <c:pt idx="43">
                  <c:v>1.4200000002550551E-3</c:v>
                </c:pt>
                <c:pt idx="44">
                  <c:v>1.4200000002550551E-3</c:v>
                </c:pt>
                <c:pt idx="45">
                  <c:v>1.4200000002550551E-3</c:v>
                </c:pt>
                <c:pt idx="46">
                  <c:v>1.4200000002550551E-3</c:v>
                </c:pt>
                <c:pt idx="47">
                  <c:v>1.4200000002550551E-3</c:v>
                </c:pt>
                <c:pt idx="48">
                  <c:v>1.4200000002550551E-3</c:v>
                </c:pt>
                <c:pt idx="49">
                  <c:v>1.4200000002550551E-3</c:v>
                </c:pt>
                <c:pt idx="50">
                  <c:v>1.4200000002550551E-3</c:v>
                </c:pt>
                <c:pt idx="51">
                  <c:v>1.4200000002550551E-3</c:v>
                </c:pt>
                <c:pt idx="52">
                  <c:v>1.4200000002550551E-3</c:v>
                </c:pt>
                <c:pt idx="53">
                  <c:v>1.4200000002550551E-3</c:v>
                </c:pt>
                <c:pt idx="54">
                  <c:v>1.4200000002550551E-3</c:v>
                </c:pt>
                <c:pt idx="55">
                  <c:v>1.4200000002550551E-3</c:v>
                </c:pt>
                <c:pt idx="56">
                  <c:v>1.4200000002550551E-3</c:v>
                </c:pt>
                <c:pt idx="57">
                  <c:v>1.4200000002550551E-3</c:v>
                </c:pt>
                <c:pt idx="58">
                  <c:v>1.4200000002550551E-3</c:v>
                </c:pt>
                <c:pt idx="59">
                  <c:v>1.4200000002550551E-3</c:v>
                </c:pt>
                <c:pt idx="60">
                  <c:v>1.4200000002550551E-3</c:v>
                </c:pt>
                <c:pt idx="61">
                  <c:v>1.4200000002550551E-3</c:v>
                </c:pt>
                <c:pt idx="62">
                  <c:v>1.4200000002550551E-3</c:v>
                </c:pt>
                <c:pt idx="63">
                  <c:v>1.4200000002550551E-3</c:v>
                </c:pt>
                <c:pt idx="64">
                  <c:v>1.4200000002550551E-3</c:v>
                </c:pt>
                <c:pt idx="65">
                  <c:v>1.4200000002550551E-3</c:v>
                </c:pt>
                <c:pt idx="66">
                  <c:v>1.4200000002550551E-3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 Depo Charts'!$E$16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cat>
            <c:numRef>
              <c:f>'3M Depo Charts'!$C$17:$C$130</c:f>
              <c:numCache>
                <c:formatCode>ddd\,\ dd\-mmm\-yyyy</c:formatCode>
                <c:ptCount val="114"/>
                <c:pt idx="0">
                  <c:v>41855</c:v>
                </c:pt>
                <c:pt idx="1">
                  <c:v>41856</c:v>
                </c:pt>
                <c:pt idx="2">
                  <c:v>41857</c:v>
                </c:pt>
                <c:pt idx="3">
                  <c:v>41858</c:v>
                </c:pt>
                <c:pt idx="4">
                  <c:v>41859</c:v>
                </c:pt>
                <c:pt idx="5">
                  <c:v>41862</c:v>
                </c:pt>
                <c:pt idx="6">
                  <c:v>41863</c:v>
                </c:pt>
                <c:pt idx="7">
                  <c:v>41864</c:v>
                </c:pt>
                <c:pt idx="8">
                  <c:v>41865</c:v>
                </c:pt>
                <c:pt idx="9">
                  <c:v>41866</c:v>
                </c:pt>
                <c:pt idx="10">
                  <c:v>41869</c:v>
                </c:pt>
                <c:pt idx="11">
                  <c:v>41870</c:v>
                </c:pt>
                <c:pt idx="12">
                  <c:v>41871</c:v>
                </c:pt>
                <c:pt idx="13">
                  <c:v>41872</c:v>
                </c:pt>
                <c:pt idx="14">
                  <c:v>41873</c:v>
                </c:pt>
                <c:pt idx="15">
                  <c:v>41876</c:v>
                </c:pt>
                <c:pt idx="16">
                  <c:v>41877</c:v>
                </c:pt>
                <c:pt idx="17">
                  <c:v>41878</c:v>
                </c:pt>
                <c:pt idx="18">
                  <c:v>41879</c:v>
                </c:pt>
                <c:pt idx="19">
                  <c:v>41880</c:v>
                </c:pt>
                <c:pt idx="20">
                  <c:v>41883</c:v>
                </c:pt>
                <c:pt idx="21">
                  <c:v>41884</c:v>
                </c:pt>
                <c:pt idx="22">
                  <c:v>41885</c:v>
                </c:pt>
                <c:pt idx="23">
                  <c:v>41886</c:v>
                </c:pt>
                <c:pt idx="24">
                  <c:v>41887</c:v>
                </c:pt>
                <c:pt idx="25">
                  <c:v>41890</c:v>
                </c:pt>
                <c:pt idx="26">
                  <c:v>41891</c:v>
                </c:pt>
                <c:pt idx="27">
                  <c:v>41892</c:v>
                </c:pt>
                <c:pt idx="28">
                  <c:v>41893</c:v>
                </c:pt>
                <c:pt idx="29">
                  <c:v>41894</c:v>
                </c:pt>
                <c:pt idx="30">
                  <c:v>41897</c:v>
                </c:pt>
                <c:pt idx="31">
                  <c:v>41898</c:v>
                </c:pt>
                <c:pt idx="32">
                  <c:v>41899</c:v>
                </c:pt>
                <c:pt idx="33">
                  <c:v>41900</c:v>
                </c:pt>
                <c:pt idx="34">
                  <c:v>41901</c:v>
                </c:pt>
                <c:pt idx="35">
                  <c:v>41904</c:v>
                </c:pt>
                <c:pt idx="36">
                  <c:v>41905</c:v>
                </c:pt>
                <c:pt idx="37">
                  <c:v>41906</c:v>
                </c:pt>
                <c:pt idx="38">
                  <c:v>41907</c:v>
                </c:pt>
                <c:pt idx="39">
                  <c:v>41908</c:v>
                </c:pt>
                <c:pt idx="40">
                  <c:v>41911</c:v>
                </c:pt>
                <c:pt idx="41">
                  <c:v>41912</c:v>
                </c:pt>
                <c:pt idx="42">
                  <c:v>41913</c:v>
                </c:pt>
                <c:pt idx="43">
                  <c:v>41914</c:v>
                </c:pt>
                <c:pt idx="44">
                  <c:v>41915</c:v>
                </c:pt>
                <c:pt idx="45">
                  <c:v>41918</c:v>
                </c:pt>
                <c:pt idx="46">
                  <c:v>41919</c:v>
                </c:pt>
                <c:pt idx="47">
                  <c:v>41920</c:v>
                </c:pt>
                <c:pt idx="48">
                  <c:v>41921</c:v>
                </c:pt>
                <c:pt idx="49">
                  <c:v>41922</c:v>
                </c:pt>
                <c:pt idx="50">
                  <c:v>41925</c:v>
                </c:pt>
                <c:pt idx="51">
                  <c:v>41926</c:v>
                </c:pt>
                <c:pt idx="52">
                  <c:v>41927</c:v>
                </c:pt>
                <c:pt idx="53">
                  <c:v>41928</c:v>
                </c:pt>
                <c:pt idx="54">
                  <c:v>41929</c:v>
                </c:pt>
                <c:pt idx="55">
                  <c:v>41932</c:v>
                </c:pt>
                <c:pt idx="56">
                  <c:v>41933</c:v>
                </c:pt>
                <c:pt idx="57">
                  <c:v>41934</c:v>
                </c:pt>
                <c:pt idx="58">
                  <c:v>41935</c:v>
                </c:pt>
                <c:pt idx="59">
                  <c:v>41936</c:v>
                </c:pt>
                <c:pt idx="60">
                  <c:v>41939</c:v>
                </c:pt>
                <c:pt idx="61">
                  <c:v>41940</c:v>
                </c:pt>
                <c:pt idx="62">
                  <c:v>41941</c:v>
                </c:pt>
                <c:pt idx="63">
                  <c:v>41942</c:v>
                </c:pt>
                <c:pt idx="64">
                  <c:v>41943</c:v>
                </c:pt>
                <c:pt idx="65">
                  <c:v>41946</c:v>
                </c:pt>
                <c:pt idx="66">
                  <c:v>41947</c:v>
                </c:pt>
              </c:numCache>
            </c:numRef>
          </c:cat>
          <c:val>
            <c:numRef>
              <c:f>'3M Depo Charts'!$E$17:$E$130</c:f>
              <c:numCache>
                <c:formatCode>0.0000%</c:formatCode>
                <c:ptCount val="114"/>
                <c:pt idx="0">
                  <c:v>1.5769953353988279E-3</c:v>
                </c:pt>
                <c:pt idx="1">
                  <c:v>1.573582393330485E-3</c:v>
                </c:pt>
                <c:pt idx="2">
                  <c:v>1.5701694512621422E-3</c:v>
                </c:pt>
                <c:pt idx="3">
                  <c:v>1.5667565091937992E-3</c:v>
                </c:pt>
                <c:pt idx="4">
                  <c:v>1.5633435671254564E-3</c:v>
                </c:pt>
                <c:pt idx="5">
                  <c:v>1.5531047409204277E-3</c:v>
                </c:pt>
                <c:pt idx="6">
                  <c:v>1.5496917988520849E-3</c:v>
                </c:pt>
                <c:pt idx="7">
                  <c:v>1.5462788567837419E-3</c:v>
                </c:pt>
                <c:pt idx="8">
                  <c:v>1.5428659147153989E-3</c:v>
                </c:pt>
                <c:pt idx="9">
                  <c:v>1.5394529726470562E-3</c:v>
                </c:pt>
                <c:pt idx="10">
                  <c:v>1.5292141464420274E-3</c:v>
                </c:pt>
                <c:pt idx="11">
                  <c:v>1.5258012043736847E-3</c:v>
                </c:pt>
                <c:pt idx="12">
                  <c:v>1.5223882623053417E-3</c:v>
                </c:pt>
                <c:pt idx="13">
                  <c:v>1.5189753202369987E-3</c:v>
                </c:pt>
                <c:pt idx="14">
                  <c:v>1.5155623781686559E-3</c:v>
                </c:pt>
                <c:pt idx="15">
                  <c:v>1.5053235519636272E-3</c:v>
                </c:pt>
                <c:pt idx="16">
                  <c:v>1.5019106098952844E-3</c:v>
                </c:pt>
                <c:pt idx="17">
                  <c:v>1.4984976678269414E-3</c:v>
                </c:pt>
                <c:pt idx="18">
                  <c:v>1.4950847257585984E-3</c:v>
                </c:pt>
                <c:pt idx="19">
                  <c:v>1.4916717836902557E-3</c:v>
                </c:pt>
                <c:pt idx="20">
                  <c:v>1.4814329574852269E-3</c:v>
                </c:pt>
                <c:pt idx="21">
                  <c:v>1.4780200154168842E-3</c:v>
                </c:pt>
                <c:pt idx="22">
                  <c:v>1.4746070733485412E-3</c:v>
                </c:pt>
                <c:pt idx="23">
                  <c:v>1.4711941312801984E-3</c:v>
                </c:pt>
                <c:pt idx="24">
                  <c:v>1.4677811892118554E-3</c:v>
                </c:pt>
                <c:pt idx="25">
                  <c:v>1.4575423630068267E-3</c:v>
                </c:pt>
                <c:pt idx="26">
                  <c:v>1.4541294209384839E-3</c:v>
                </c:pt>
                <c:pt idx="27">
                  <c:v>1.4507164788701409E-3</c:v>
                </c:pt>
                <c:pt idx="28">
                  <c:v>1.4473035368017982E-3</c:v>
                </c:pt>
                <c:pt idx="29">
                  <c:v>1.4438905947334552E-3</c:v>
                </c:pt>
                <c:pt idx="30">
                  <c:v>1.4336517685284264E-3</c:v>
                </c:pt>
                <c:pt idx="31">
                  <c:v>1.4302388264600837E-3</c:v>
                </c:pt>
                <c:pt idx="32">
                  <c:v>1.4268258843917407E-3</c:v>
                </c:pt>
                <c:pt idx="33">
                  <c:v>1.4234129423233979E-3</c:v>
                </c:pt>
                <c:pt idx="34">
                  <c:v>1.4200000002550549E-3</c:v>
                </c:pt>
                <c:pt idx="35">
                  <c:v>1.4097611740500264E-3</c:v>
                </c:pt>
                <c:pt idx="36">
                  <c:v>1.4063482319816834E-3</c:v>
                </c:pt>
                <c:pt idx="37">
                  <c:v>1.4029352899133404E-3</c:v>
                </c:pt>
                <c:pt idx="38">
                  <c:v>1.3995223478449976E-3</c:v>
                </c:pt>
                <c:pt idx="39">
                  <c:v>1.3961094057766547E-3</c:v>
                </c:pt>
                <c:pt idx="40">
                  <c:v>1.3858705795716259E-3</c:v>
                </c:pt>
                <c:pt idx="41">
                  <c:v>1.3824576375032831E-3</c:v>
                </c:pt>
                <c:pt idx="42">
                  <c:v>1.3790446954349402E-3</c:v>
                </c:pt>
                <c:pt idx="43">
                  <c:v>1.3756317533665974E-3</c:v>
                </c:pt>
                <c:pt idx="44">
                  <c:v>1.3722188112982544E-3</c:v>
                </c:pt>
                <c:pt idx="45">
                  <c:v>1.3619799850932259E-3</c:v>
                </c:pt>
                <c:pt idx="46">
                  <c:v>1.3585670430248829E-3</c:v>
                </c:pt>
                <c:pt idx="47">
                  <c:v>1.3551541009565399E-3</c:v>
                </c:pt>
                <c:pt idx="48">
                  <c:v>1.3517411588881971E-3</c:v>
                </c:pt>
                <c:pt idx="49">
                  <c:v>1.3483282168198542E-3</c:v>
                </c:pt>
                <c:pt idx="50">
                  <c:v>1.3380893906148256E-3</c:v>
                </c:pt>
                <c:pt idx="51">
                  <c:v>1.3346764485464826E-3</c:v>
                </c:pt>
                <c:pt idx="52">
                  <c:v>1.3312635064781399E-3</c:v>
                </c:pt>
                <c:pt idx="53">
                  <c:v>1.3278505644097969E-3</c:v>
                </c:pt>
                <c:pt idx="54">
                  <c:v>1.3244376223414539E-3</c:v>
                </c:pt>
                <c:pt idx="55">
                  <c:v>1.3141987961364254E-3</c:v>
                </c:pt>
                <c:pt idx="56">
                  <c:v>1.3107858540680824E-3</c:v>
                </c:pt>
                <c:pt idx="57">
                  <c:v>1.3073729119997394E-3</c:v>
                </c:pt>
                <c:pt idx="58">
                  <c:v>1.3039599699313966E-3</c:v>
                </c:pt>
                <c:pt idx="59">
                  <c:v>1.3005470278630539E-3</c:v>
                </c:pt>
                <c:pt idx="60">
                  <c:v>1.2903082016580251E-3</c:v>
                </c:pt>
                <c:pt idx="61">
                  <c:v>1.2868952595896821E-3</c:v>
                </c:pt>
                <c:pt idx="62">
                  <c:v>1.2834823175213394E-3</c:v>
                </c:pt>
                <c:pt idx="63">
                  <c:v>1.2800693754529964E-3</c:v>
                </c:pt>
                <c:pt idx="64">
                  <c:v>1.2766564333846534E-3</c:v>
                </c:pt>
                <c:pt idx="65">
                  <c:v>1.2664176071796249E-3</c:v>
                </c:pt>
                <c:pt idx="66">
                  <c:v>1.2630046651112819E-3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 Depo Charts'!$F$16</c:f>
              <c:strCache>
                <c:ptCount val="1"/>
                <c:pt idx="0">
                  <c:v>Quadratic</c:v>
                </c:pt>
              </c:strCache>
            </c:strRef>
          </c:tx>
          <c:marker>
            <c:symbol val="none"/>
          </c:marker>
          <c:cat>
            <c:numRef>
              <c:f>'3M Depo Charts'!$C$17:$C$130</c:f>
              <c:numCache>
                <c:formatCode>ddd\,\ dd\-mmm\-yyyy</c:formatCode>
                <c:ptCount val="114"/>
                <c:pt idx="0">
                  <c:v>41855</c:v>
                </c:pt>
                <c:pt idx="1">
                  <c:v>41856</c:v>
                </c:pt>
                <c:pt idx="2">
                  <c:v>41857</c:v>
                </c:pt>
                <c:pt idx="3">
                  <c:v>41858</c:v>
                </c:pt>
                <c:pt idx="4">
                  <c:v>41859</c:v>
                </c:pt>
                <c:pt idx="5">
                  <c:v>41862</c:v>
                </c:pt>
                <c:pt idx="6">
                  <c:v>41863</c:v>
                </c:pt>
                <c:pt idx="7">
                  <c:v>41864</c:v>
                </c:pt>
                <c:pt idx="8">
                  <c:v>41865</c:v>
                </c:pt>
                <c:pt idx="9">
                  <c:v>41866</c:v>
                </c:pt>
                <c:pt idx="10">
                  <c:v>41869</c:v>
                </c:pt>
                <c:pt idx="11">
                  <c:v>41870</c:v>
                </c:pt>
                <c:pt idx="12">
                  <c:v>41871</c:v>
                </c:pt>
                <c:pt idx="13">
                  <c:v>41872</c:v>
                </c:pt>
                <c:pt idx="14">
                  <c:v>41873</c:v>
                </c:pt>
                <c:pt idx="15">
                  <c:v>41876</c:v>
                </c:pt>
                <c:pt idx="16">
                  <c:v>41877</c:v>
                </c:pt>
                <c:pt idx="17">
                  <c:v>41878</c:v>
                </c:pt>
                <c:pt idx="18">
                  <c:v>41879</c:v>
                </c:pt>
                <c:pt idx="19">
                  <c:v>41880</c:v>
                </c:pt>
                <c:pt idx="20">
                  <c:v>41883</c:v>
                </c:pt>
                <c:pt idx="21">
                  <c:v>41884</c:v>
                </c:pt>
                <c:pt idx="22">
                  <c:v>41885</c:v>
                </c:pt>
                <c:pt idx="23">
                  <c:v>41886</c:v>
                </c:pt>
                <c:pt idx="24">
                  <c:v>41887</c:v>
                </c:pt>
                <c:pt idx="25">
                  <c:v>41890</c:v>
                </c:pt>
                <c:pt idx="26">
                  <c:v>41891</c:v>
                </c:pt>
                <c:pt idx="27">
                  <c:v>41892</c:v>
                </c:pt>
                <c:pt idx="28">
                  <c:v>41893</c:v>
                </c:pt>
                <c:pt idx="29">
                  <c:v>41894</c:v>
                </c:pt>
                <c:pt idx="30">
                  <c:v>41897</c:v>
                </c:pt>
                <c:pt idx="31">
                  <c:v>41898</c:v>
                </c:pt>
                <c:pt idx="32">
                  <c:v>41899</c:v>
                </c:pt>
                <c:pt idx="33">
                  <c:v>41900</c:v>
                </c:pt>
                <c:pt idx="34">
                  <c:v>41901</c:v>
                </c:pt>
                <c:pt idx="35">
                  <c:v>41904</c:v>
                </c:pt>
                <c:pt idx="36">
                  <c:v>41905</c:v>
                </c:pt>
                <c:pt idx="37">
                  <c:v>41906</c:v>
                </c:pt>
                <c:pt idx="38">
                  <c:v>41907</c:v>
                </c:pt>
                <c:pt idx="39">
                  <c:v>41908</c:v>
                </c:pt>
                <c:pt idx="40">
                  <c:v>41911</c:v>
                </c:pt>
                <c:pt idx="41">
                  <c:v>41912</c:v>
                </c:pt>
                <c:pt idx="42">
                  <c:v>41913</c:v>
                </c:pt>
                <c:pt idx="43">
                  <c:v>41914</c:v>
                </c:pt>
                <c:pt idx="44">
                  <c:v>41915</c:v>
                </c:pt>
                <c:pt idx="45">
                  <c:v>41918</c:v>
                </c:pt>
                <c:pt idx="46">
                  <c:v>41919</c:v>
                </c:pt>
                <c:pt idx="47">
                  <c:v>41920</c:v>
                </c:pt>
                <c:pt idx="48">
                  <c:v>41921</c:v>
                </c:pt>
                <c:pt idx="49">
                  <c:v>41922</c:v>
                </c:pt>
                <c:pt idx="50">
                  <c:v>41925</c:v>
                </c:pt>
                <c:pt idx="51">
                  <c:v>41926</c:v>
                </c:pt>
                <c:pt idx="52">
                  <c:v>41927</c:v>
                </c:pt>
                <c:pt idx="53">
                  <c:v>41928</c:v>
                </c:pt>
                <c:pt idx="54">
                  <c:v>41929</c:v>
                </c:pt>
                <c:pt idx="55">
                  <c:v>41932</c:v>
                </c:pt>
                <c:pt idx="56">
                  <c:v>41933</c:v>
                </c:pt>
                <c:pt idx="57">
                  <c:v>41934</c:v>
                </c:pt>
                <c:pt idx="58">
                  <c:v>41935</c:v>
                </c:pt>
                <c:pt idx="59">
                  <c:v>41936</c:v>
                </c:pt>
                <c:pt idx="60">
                  <c:v>41939</c:v>
                </c:pt>
                <c:pt idx="61">
                  <c:v>41940</c:v>
                </c:pt>
                <c:pt idx="62">
                  <c:v>41941</c:v>
                </c:pt>
                <c:pt idx="63">
                  <c:v>41942</c:v>
                </c:pt>
                <c:pt idx="64">
                  <c:v>41943</c:v>
                </c:pt>
                <c:pt idx="65">
                  <c:v>41946</c:v>
                </c:pt>
                <c:pt idx="66">
                  <c:v>41947</c:v>
                </c:pt>
              </c:numCache>
            </c:numRef>
          </c:cat>
          <c:val>
            <c:numRef>
              <c:f>'3M Depo Charts'!$F$17:$F$130</c:f>
              <c:numCache>
                <c:formatCode>0.0000%</c:formatCode>
                <c:ptCount val="114"/>
                <c:pt idx="0">
                  <c:v>1.9226329450020654E-3</c:v>
                </c:pt>
                <c:pt idx="1">
                  <c:v>1.9019917928898343E-3</c:v>
                </c:pt>
                <c:pt idx="2">
                  <c:v>1.8816726633952461E-3</c:v>
                </c:pt>
                <c:pt idx="3">
                  <c:v>1.8616755565183005E-3</c:v>
                </c:pt>
                <c:pt idx="4">
                  <c:v>1.8420004722589979E-3</c:v>
                </c:pt>
                <c:pt idx="5">
                  <c:v>1.7849073551869461E-3</c:v>
                </c:pt>
                <c:pt idx="6">
                  <c:v>1.7665203613982145E-3</c:v>
                </c:pt>
                <c:pt idx="7">
                  <c:v>1.7484553902271257E-3</c:v>
                </c:pt>
                <c:pt idx="8">
                  <c:v>1.7307124416736795E-3</c:v>
                </c:pt>
                <c:pt idx="9">
                  <c:v>1.7132915157378763E-3</c:v>
                </c:pt>
                <c:pt idx="10">
                  <c:v>1.6629608736363226E-3</c:v>
                </c:pt>
                <c:pt idx="11">
                  <c:v>1.6468280381710903E-3</c:v>
                </c:pt>
                <c:pt idx="12">
                  <c:v>1.631017225323501E-3</c:v>
                </c:pt>
                <c:pt idx="13">
                  <c:v>1.6155284350935543E-3</c:v>
                </c:pt>
                <c:pt idx="14">
                  <c:v>1.6003616674812502E-3</c:v>
                </c:pt>
                <c:pt idx="15">
                  <c:v>1.5567935003501948E-3</c:v>
                </c:pt>
                <c:pt idx="16">
                  <c:v>1.5429148232084619E-3</c:v>
                </c:pt>
                <c:pt idx="17">
                  <c:v>1.5293581686843718E-3</c:v>
                </c:pt>
                <c:pt idx="18">
                  <c:v>1.5161235367779245E-3</c:v>
                </c:pt>
                <c:pt idx="19">
                  <c:v>1.5032109274891198E-3</c:v>
                </c:pt>
                <c:pt idx="20">
                  <c:v>1.4664052353285627E-3</c:v>
                </c:pt>
                <c:pt idx="21">
                  <c:v>1.4547807165103293E-3</c:v>
                </c:pt>
                <c:pt idx="22">
                  <c:v>1.4434782203097383E-3</c:v>
                </c:pt>
                <c:pt idx="23">
                  <c:v>1.4324977467267905E-3</c:v>
                </c:pt>
                <c:pt idx="24">
                  <c:v>1.4218392957614852E-3</c:v>
                </c:pt>
                <c:pt idx="25">
                  <c:v>1.3917960785714261E-3</c:v>
                </c:pt>
                <c:pt idx="26">
                  <c:v>1.3824257180766921E-3</c:v>
                </c:pt>
                <c:pt idx="27">
                  <c:v>1.3733773801996006E-3</c:v>
                </c:pt>
                <c:pt idx="28">
                  <c:v>1.3646510649401519E-3</c:v>
                </c:pt>
                <c:pt idx="29">
                  <c:v>1.3562467722983461E-3</c:v>
                </c:pt>
                <c:pt idx="30">
                  <c:v>1.3329660300787855E-3</c:v>
                </c:pt>
                <c:pt idx="31">
                  <c:v>1.3258498279075507E-3</c:v>
                </c:pt>
                <c:pt idx="32">
                  <c:v>1.3190556483539586E-3</c:v>
                </c:pt>
                <c:pt idx="33">
                  <c:v>1.3125834914180096E-3</c:v>
                </c:pt>
                <c:pt idx="34">
                  <c:v>1.3064333570997027E-3</c:v>
                </c:pt>
                <c:pt idx="35">
                  <c:v>1.2899150898506402E-3</c:v>
                </c:pt>
                <c:pt idx="36">
                  <c:v>1.2850530460029048E-3</c:v>
                </c:pt>
                <c:pt idx="37">
                  <c:v>1.2805130247728123E-3</c:v>
                </c:pt>
                <c:pt idx="38">
                  <c:v>1.2762950261603625E-3</c:v>
                </c:pt>
                <c:pt idx="39">
                  <c:v>1.2723990501655551E-3</c:v>
                </c:pt>
                <c:pt idx="40">
                  <c:v>1.2626432578869908E-3</c:v>
                </c:pt>
                <c:pt idx="41">
                  <c:v>1.2600353723627546E-3</c:v>
                </c:pt>
                <c:pt idx="42">
                  <c:v>1.2577495094561616E-3</c:v>
                </c:pt>
                <c:pt idx="43">
                  <c:v>1.2557856691672109E-3</c:v>
                </c:pt>
                <c:pt idx="44">
                  <c:v>1.2541438514959032E-3</c:v>
                </c:pt>
                <c:pt idx="45">
                  <c:v>1.2511505341878367E-3</c:v>
                </c:pt>
                <c:pt idx="46">
                  <c:v>1.2507968069871002E-3</c:v>
                </c:pt>
                <c:pt idx="47">
                  <c:v>1.2507651024040063E-3</c:v>
                </c:pt>
                <c:pt idx="48">
                  <c:v>1.2510554204385553E-3</c:v>
                </c:pt>
                <c:pt idx="49">
                  <c:v>1.251667761090747E-3</c:v>
                </c:pt>
                <c:pt idx="50">
                  <c:v>1.2554369187531785E-3</c:v>
                </c:pt>
                <c:pt idx="51">
                  <c:v>1.2573373498759415E-3</c:v>
                </c:pt>
                <c:pt idx="52">
                  <c:v>1.259559803616347E-3</c:v>
                </c:pt>
                <c:pt idx="53">
                  <c:v>1.2621042799743952E-3</c:v>
                </c:pt>
                <c:pt idx="54">
                  <c:v>1.2649707789500863E-3</c:v>
                </c:pt>
                <c:pt idx="55">
                  <c:v>1.2755024115830159E-3</c:v>
                </c:pt>
                <c:pt idx="56">
                  <c:v>1.2796570010292782E-3</c:v>
                </c:pt>
                <c:pt idx="57">
                  <c:v>1.284133613093183E-3</c:v>
                </c:pt>
                <c:pt idx="58">
                  <c:v>1.2889322477747309E-3</c:v>
                </c:pt>
                <c:pt idx="59">
                  <c:v>1.2940529050739214E-3</c:v>
                </c:pt>
                <c:pt idx="60">
                  <c:v>1.3113470126773492E-3</c:v>
                </c:pt>
                <c:pt idx="61">
                  <c:v>1.3177557604471108E-3</c:v>
                </c:pt>
                <c:pt idx="62">
                  <c:v>1.324486530834515E-3</c:v>
                </c:pt>
                <c:pt idx="63">
                  <c:v>1.331539323839562E-3</c:v>
                </c:pt>
                <c:pt idx="64">
                  <c:v>1.3389141394622519E-3</c:v>
                </c:pt>
                <c:pt idx="65">
                  <c:v>1.362970722036178E-3</c:v>
                </c:pt>
                <c:pt idx="66">
                  <c:v>1.3716336281294388E-3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015168"/>
        <c:axId val="612657408"/>
      </c:lineChart>
      <c:dateAx>
        <c:axId val="5970151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612657408"/>
        <c:crosses val="autoZero"/>
        <c:auto val="1"/>
        <c:lblOffset val="100"/>
        <c:baseTimeUnit val="days"/>
      </c:dateAx>
      <c:valAx>
        <c:axId val="6126574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7015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927436465651379"/>
          <c:y val="0.57744337513366384"/>
          <c:w val="0.16739456329395166"/>
          <c:h val="0.2127401574803149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590550</xdr:colOff>
      <xdr:row>21</xdr:row>
      <xdr:rowOff>0</xdr:rowOff>
    </xdr:from>
    <xdr:to>
      <xdr:col>41</xdr:col>
      <xdr:colOff>466725</xdr:colOff>
      <xdr:row>40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</xdr:row>
      <xdr:rowOff>9525</xdr:rowOff>
    </xdr:from>
    <xdr:to>
      <xdr:col>20</xdr:col>
      <xdr:colOff>295275</xdr:colOff>
      <xdr:row>23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142873</xdr:colOff>
      <xdr:row>23</xdr:row>
      <xdr:rowOff>23811</xdr:rowOff>
    </xdr:from>
    <xdr:to>
      <xdr:col>20</xdr:col>
      <xdr:colOff>295273</xdr:colOff>
      <xdr:row>48</xdr:row>
      <xdr:rowOff>100011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38099</xdr:colOff>
      <xdr:row>0</xdr:row>
      <xdr:rowOff>147638</xdr:rowOff>
    </xdr:from>
    <xdr:ext cx="704851" cy="3806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4791074" y="147638"/>
              <a:ext cx="704851" cy="3806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90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900" i="1">
                                <a:solidFill>
                                  <a:schemeClr val="bg1"/>
                                </a:solidFill>
                                <a:latin typeface="Cambria Math"/>
                                <a:ea typeface="Cambria Math"/>
                              </a:rPr>
                              <m:t>∆</m:t>
                            </m:r>
                          </m:e>
                          <m:sub>
                            <m:r>
                              <a:rPr lang="it-IT" sz="9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𝑥</m:t>
                            </m:r>
                          </m:sub>
                        </m:s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(</m:t>
                        </m:r>
                        <m:sSub>
                          <m:sSubPr>
                            <m:ctrlPr>
                              <a:rPr lang="it-IT" sz="9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it-IT" sz="9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𝑡</m:t>
                            </m:r>
                          </m:e>
                          <m:sub>
                            <m:r>
                              <a:rPr lang="it-IT" sz="9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it-IT" sz="9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it-IT" sz="9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𝑡</m:t>
                            </m:r>
                          </m:e>
                          <m:sub>
                            <m:r>
                              <a:rPr lang="it-IT" sz="9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</m:t>
                            </m:r>
                          </m:sub>
                        </m:s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)</m:t>
                        </m:r>
                      </m:num>
                      <m:den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it-IT" sz="900" b="0" i="1">
                                <a:solidFill>
                                  <a:schemeClr val="bg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900" b="0" i="1">
                                <a:solidFill>
                                  <a:schemeClr val="bg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900" b="0" i="1">
                                <a:solidFill>
                                  <a:schemeClr val="bg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it-IT" sz="900" b="0" i="1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it-IT" sz="900" b="0" i="1">
                                <a:solidFill>
                                  <a:schemeClr val="bg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900" b="0" i="1">
                                <a:solidFill>
                                  <a:schemeClr val="bg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900" b="0" i="1">
                                <a:solidFill>
                                  <a:schemeClr val="bg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it-IT" sz="900" b="0" i="1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4791074" y="147638"/>
              <a:ext cx="704851" cy="3806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900" i="0">
                  <a:solidFill>
                    <a:schemeClr val="bg1"/>
                  </a:solidFill>
                  <a:latin typeface="Cambria Math"/>
                </a:rPr>
                <a:t>(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𝑥 (𝑡_2−𝑡_1)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)/(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it-IT" sz="900" b="0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(𝑡_2−𝑡_1)</a:t>
              </a:r>
              <a:r>
                <a:rPr lang="en-US" sz="900" b="0" i="0">
                  <a:solidFill>
                    <a:schemeClr val="bg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7</xdr:col>
      <xdr:colOff>314326</xdr:colOff>
      <xdr:row>15</xdr:row>
      <xdr:rowOff>171450</xdr:rowOff>
    </xdr:from>
    <xdr:to>
      <xdr:col>16</xdr:col>
      <xdr:colOff>361950</xdr:colOff>
      <xdr:row>38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59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Q4</v>
          </cell>
        </row>
        <row r="7">
          <cell r="D7" t="str">
            <v>U4</v>
          </cell>
        </row>
      </sheetData>
      <sheetData sheetId="8">
        <row r="6">
          <cell r="D6" t="str">
            <v>Future Code</v>
          </cell>
        </row>
        <row r="7">
          <cell r="D7" t="str">
            <v>Q4</v>
          </cell>
        </row>
      </sheetData>
      <sheetData sheetId="9">
        <row r="6">
          <cell r="D6" t="str">
            <v>Q4</v>
          </cell>
        </row>
        <row r="7">
          <cell r="D7" t="str">
            <v>U4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workbookViewId="0">
      <selection activeCell="D49" sqref="D49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Jun 25 2014 10:33:09</v>
      </c>
    </row>
    <row r="2" spans="1:36" ht="19.5" thickBot="1" x14ac:dyDescent="0.3">
      <c r="B2" s="358" t="s">
        <v>0</v>
      </c>
      <c r="C2" s="358"/>
      <c r="D2" s="358"/>
      <c r="E2" s="358"/>
      <c r="F2" s="359"/>
      <c r="H2" s="366" t="s">
        <v>5</v>
      </c>
      <c r="I2" s="367"/>
      <c r="J2" s="367"/>
      <c r="K2" s="36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14</v>
      </c>
      <c r="J7" s="18"/>
      <c r="K7" s="15"/>
    </row>
    <row r="8" spans="1:36" x14ac:dyDescent="0.2">
      <c r="B8" s="2"/>
      <c r="C8" s="5" t="s">
        <v>13</v>
      </c>
      <c r="D8" s="17" t="str">
        <f>Currency&amp;"ON"</f>
        <v>EURON</v>
      </c>
      <c r="E8" s="3"/>
      <c r="F8" s="4"/>
      <c r="H8" s="9"/>
      <c r="I8" s="13" t="s">
        <v>16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69" t="s">
        <v>25</v>
      </c>
      <c r="D10" s="271">
        <v>41809.395150462966</v>
      </c>
      <c r="E10" s="270"/>
      <c r="F10" s="4"/>
      <c r="H10" s="9"/>
      <c r="I10" s="13" t="s">
        <v>20</v>
      </c>
      <c r="J10" s="19" t="s">
        <v>21</v>
      </c>
      <c r="K10" s="15"/>
    </row>
    <row r="11" spans="1:36" x14ac:dyDescent="0.2">
      <c r="B11" s="2"/>
      <c r="C11" s="269" t="s">
        <v>26</v>
      </c>
      <c r="D11" s="356" t="b">
        <v>1</v>
      </c>
      <c r="E11" s="270"/>
      <c r="F11" s="4"/>
      <c r="H11" s="9"/>
      <c r="I11" s="13" t="s">
        <v>23</v>
      </c>
      <c r="J11" s="20">
        <v>1E-4</v>
      </c>
      <c r="K11" s="15"/>
    </row>
    <row r="12" spans="1:36" x14ac:dyDescent="0.2">
      <c r="B12" s="2"/>
      <c r="C12" s="21"/>
      <c r="D12" s="269"/>
      <c r="E12" s="270"/>
      <c r="F12" s="4"/>
      <c r="H12" s="9"/>
      <c r="I12" s="13" t="s">
        <v>24</v>
      </c>
      <c r="J12" s="22">
        <v>-0.01</v>
      </c>
      <c r="K12" s="15"/>
    </row>
    <row r="13" spans="1:36" ht="12" thickBot="1" x14ac:dyDescent="0.25">
      <c r="B13" s="31"/>
      <c r="C13" s="363"/>
      <c r="D13" s="364"/>
      <c r="E13" s="365"/>
      <c r="F13" s="33"/>
      <c r="H13" s="25"/>
      <c r="I13" s="26"/>
      <c r="J13" s="26"/>
      <c r="K13" s="27"/>
    </row>
    <row r="15" spans="1:36" ht="12" thickBot="1" x14ac:dyDescent="0.25">
      <c r="C15" s="34"/>
      <c r="D15" s="34"/>
      <c r="E15" s="34"/>
      <c r="F15" s="34"/>
    </row>
    <row r="16" spans="1:36" ht="19.5" thickBot="1" x14ac:dyDescent="0.25">
      <c r="B16" s="358" t="s">
        <v>132</v>
      </c>
      <c r="C16" s="358"/>
      <c r="D16" s="358"/>
      <c r="E16" s="358"/>
      <c r="F16" s="359"/>
      <c r="H16" s="358" t="s">
        <v>141</v>
      </c>
      <c r="I16" s="358"/>
      <c r="J16" s="358"/>
      <c r="K16" s="359"/>
    </row>
    <row r="17" spans="2:11" x14ac:dyDescent="0.2">
      <c r="B17" s="243"/>
      <c r="C17" s="244"/>
      <c r="D17" s="245"/>
      <c r="E17" s="246"/>
      <c r="F17" s="247"/>
      <c r="H17" s="182"/>
      <c r="I17" s="35"/>
      <c r="J17" s="35"/>
      <c r="K17" s="186"/>
    </row>
    <row r="18" spans="2:11" x14ac:dyDescent="0.2">
      <c r="B18" s="2"/>
      <c r="C18" s="252" t="s">
        <v>11</v>
      </c>
      <c r="D18" s="16">
        <f>_xll.qlCalendarAdvance(Calendar,EvaluationDate,"2D","f")</f>
        <v>41855</v>
      </c>
      <c r="E18" s="3"/>
      <c r="F18" s="4"/>
      <c r="H18" s="182"/>
      <c r="I18" s="5" t="s">
        <v>27</v>
      </c>
      <c r="J18" s="360">
        <v>41851.695810185185</v>
      </c>
      <c r="K18" s="186"/>
    </row>
    <row r="19" spans="2:11" x14ac:dyDescent="0.2">
      <c r="B19" s="2"/>
      <c r="C19" s="252" t="s">
        <v>15</v>
      </c>
      <c r="D19" s="17" t="str">
        <f>_xll.qlDiscountingSwapEngine(,OisCurve,,,,,EvaluationDate)</f>
        <v>obj_0038e#0000</v>
      </c>
      <c r="E19" s="3"/>
      <c r="F19" s="4"/>
      <c r="H19" s="182"/>
      <c r="I19" s="5" t="s">
        <v>28</v>
      </c>
      <c r="J19" s="360">
        <f>_xll.qlSettingsEvaluationDate(Trigger)</f>
        <v>41851</v>
      </c>
      <c r="K19" s="186"/>
    </row>
    <row r="20" spans="2:11" x14ac:dyDescent="0.2">
      <c r="B20" s="2"/>
      <c r="C20" s="252" t="s">
        <v>19</v>
      </c>
      <c r="D20" s="250">
        <f>_xll.qlCalendarAdjust(Calendar,DATE(YEAR(SettlementDate),12,31),"Preceding")</f>
        <v>42004</v>
      </c>
      <c r="E20" s="3"/>
      <c r="F20" s="4"/>
      <c r="H20" s="182"/>
      <c r="I20" s="5" t="s">
        <v>29</v>
      </c>
      <c r="J20" s="361">
        <f>[1]!TriggerCounter</f>
        <v>59</v>
      </c>
      <c r="K20" s="186"/>
    </row>
    <row r="21" spans="2:11" x14ac:dyDescent="0.2">
      <c r="B21" s="2"/>
      <c r="C21" s="252" t="s">
        <v>22</v>
      </c>
      <c r="D21" s="250">
        <f>_xll.qlCalendarAdjust(Calendar,DATE(YEAR(SettlementDate)+1,12,31),"Preceding")</f>
        <v>42369</v>
      </c>
      <c r="E21" s="3"/>
      <c r="F21" s="4"/>
      <c r="H21" s="182"/>
      <c r="I21" s="5" t="s">
        <v>30</v>
      </c>
      <c r="J21" s="362">
        <f>[1]!LastFixingsTrigger</f>
        <v>1</v>
      </c>
      <c r="K21" s="186"/>
    </row>
    <row r="22" spans="2:11" x14ac:dyDescent="0.2">
      <c r="B22" s="2"/>
      <c r="C22" s="357"/>
      <c r="D22" s="357"/>
      <c r="E22" s="3"/>
      <c r="F22" s="4"/>
      <c r="H22" s="182"/>
      <c r="I22" s="5" t="s">
        <v>33</v>
      </c>
      <c r="J22" s="6">
        <f>_xll.ohTrigger(Contribution!W16,Contribution!W22,Contribution!W29,Contribution!W39,Contribution!W55)</f>
        <v>5</v>
      </c>
      <c r="K22" s="186"/>
    </row>
    <row r="23" spans="2:11" ht="12" thickBot="1" x14ac:dyDescent="0.25">
      <c r="B23" s="31"/>
      <c r="C23" s="32"/>
      <c r="D23" s="32"/>
      <c r="E23" s="32"/>
      <c r="F23" s="33"/>
      <c r="H23" s="187"/>
      <c r="I23" s="188"/>
      <c r="J23" s="188"/>
      <c r="K23" s="189"/>
    </row>
    <row r="25" spans="2:11" ht="12" thickBot="1" x14ac:dyDescent="0.25"/>
    <row r="26" spans="2:11" ht="19.5" thickBot="1" x14ac:dyDescent="0.25">
      <c r="B26" s="358" t="s">
        <v>133</v>
      </c>
      <c r="C26" s="358"/>
      <c r="D26" s="358"/>
      <c r="E26" s="358"/>
      <c r="F26" s="359"/>
    </row>
    <row r="27" spans="2:11" x14ac:dyDescent="0.2">
      <c r="B27" s="2"/>
      <c r="C27" s="3"/>
      <c r="D27" s="3"/>
      <c r="E27" s="3"/>
      <c r="F27" s="4"/>
    </row>
    <row r="28" spans="2:11" x14ac:dyDescent="0.2">
      <c r="B28" s="2"/>
      <c r="C28" s="252" t="s">
        <v>31</v>
      </c>
      <c r="D28" s="6" t="s">
        <v>32</v>
      </c>
      <c r="E28" s="3"/>
      <c r="F28" s="4"/>
    </row>
    <row r="29" spans="2:11" x14ac:dyDescent="0.2">
      <c r="B29" s="2"/>
      <c r="C29" s="252" t="s">
        <v>34</v>
      </c>
      <c r="D29" s="249">
        <v>2</v>
      </c>
      <c r="E29" s="3"/>
      <c r="F29" s="4"/>
    </row>
    <row r="30" spans="2:11" x14ac:dyDescent="0.2">
      <c r="B30" s="2"/>
      <c r="C30" s="252" t="s">
        <v>35</v>
      </c>
      <c r="D30" s="7" t="e">
        <v>#N/A</v>
      </c>
      <c r="E30" s="3"/>
      <c r="F30" s="4"/>
    </row>
    <row r="31" spans="2:11" x14ac:dyDescent="0.2">
      <c r="B31" s="2"/>
      <c r="C31" s="252" t="s">
        <v>36</v>
      </c>
      <c r="D31" s="12" t="s">
        <v>37</v>
      </c>
      <c r="E31" s="3"/>
      <c r="F31" s="4"/>
    </row>
    <row r="32" spans="2:11" x14ac:dyDescent="0.2">
      <c r="B32" s="2"/>
      <c r="C32" s="252" t="s">
        <v>38</v>
      </c>
      <c r="D32" s="17" t="s">
        <v>39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52" t="s">
        <v>134</v>
      </c>
      <c r="D34" s="25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135</v>
      </c>
      <c r="D36" s="253" t="str">
        <f>_xll.qlEuribor(,IborTenor,YieldCurve,,D34)</f>
        <v>obj_003cd#0016</v>
      </c>
      <c r="E36" s="29"/>
      <c r="F36" s="4"/>
    </row>
    <row r="37" spans="2:6" x14ac:dyDescent="0.2">
      <c r="B37" s="2"/>
      <c r="C37" s="5" t="s">
        <v>136</v>
      </c>
      <c r="D37" s="251" t="s">
        <v>138</v>
      </c>
      <c r="E37" s="29"/>
      <c r="F37" s="4"/>
    </row>
    <row r="38" spans="2:6" x14ac:dyDescent="0.2">
      <c r="B38" s="2"/>
      <c r="C38" s="5" t="s">
        <v>137</v>
      </c>
      <c r="D38" s="254" t="str">
        <f>_xll.qlInterpolation(,BasisInterpolation,SynthFra!I2:I6,SynthFra!O2:O6)</f>
        <v>obj_003cb#0016</v>
      </c>
      <c r="E38" s="29"/>
      <c r="F38" s="4"/>
    </row>
    <row r="39" spans="2:6" x14ac:dyDescent="0.2">
      <c r="B39" s="2"/>
      <c r="C39" s="5" t="s">
        <v>17</v>
      </c>
      <c r="D39" s="248" t="s">
        <v>18</v>
      </c>
      <c r="E39" s="3"/>
      <c r="F39" s="4"/>
    </row>
    <row r="40" spans="2:6" x14ac:dyDescent="0.2">
      <c r="B40" s="2"/>
      <c r="C40" s="259" t="s">
        <v>139</v>
      </c>
      <c r="D40" s="260" t="str">
        <f>_xll.qlPiecewiseYieldCurve(,NDays,Calendar,_xll.ohPack(SynthFra!A3:A127),DayCounter,,,Accuracy,TraitsID,InterpolatorID)</f>
        <v>obj_003ca#0016</v>
      </c>
      <c r="E40" s="29"/>
      <c r="F40" s="4"/>
    </row>
    <row r="41" spans="2:6" x14ac:dyDescent="0.2">
      <c r="B41" s="2"/>
      <c r="C41" s="261" t="s">
        <v>140</v>
      </c>
      <c r="D41" s="26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55">
        <f>_xll.qlTermStructureReferenceDate(YieldCurve)</f>
        <v>41855</v>
      </c>
      <c r="D43" s="256">
        <f>MAX(_xll.ohPack(SynthFra!E2:E127))</f>
        <v>1</v>
      </c>
      <c r="E43" s="29"/>
      <c r="F43" s="4"/>
    </row>
    <row r="44" spans="2:6" x14ac:dyDescent="0.2">
      <c r="B44" s="2"/>
      <c r="C44" s="257">
        <f>MAX(_xll.ohPack(SynthFra!D3:D127))</f>
        <v>43682</v>
      </c>
      <c r="D44" s="258">
        <f>MIN(_xll.ohPack(SynthFra!E2:E127))</f>
        <v>0.9599448354343747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V143"/>
  <sheetViews>
    <sheetView tabSelected="1" topLeftCell="D1" workbookViewId="0">
      <selection activeCell="G6" sqref="G6"/>
    </sheetView>
  </sheetViews>
  <sheetFormatPr defaultRowHeight="11.25" outlineLevelCol="1" x14ac:dyDescent="0.2"/>
  <cols>
    <col min="1" max="1" width="11.6640625" style="36" hidden="1" customWidth="1" outlineLevel="1"/>
    <col min="2" max="2" width="17.83203125" style="36" hidden="1" customWidth="1" outlineLevel="1"/>
    <col min="3" max="3" width="7" style="36" hidden="1" customWidth="1" outlineLevel="1"/>
    <col min="4" max="4" width="31.1640625" style="36" bestFit="1" customWidth="1" collapsed="1"/>
    <col min="5" max="6" width="20.1640625" style="36" bestFit="1" customWidth="1"/>
    <col min="7" max="7" width="12.83203125" style="36" bestFit="1" customWidth="1"/>
    <col min="8" max="9" width="10.5" style="36" bestFit="1" customWidth="1"/>
    <col min="10" max="10" width="9.33203125" style="36"/>
    <col min="11" max="12" width="10.5" style="36" bestFit="1" customWidth="1"/>
    <col min="13" max="13" width="2.33203125" style="36" bestFit="1" customWidth="1"/>
    <col min="14" max="17" width="10.5" style="36" customWidth="1"/>
    <col min="18" max="18" width="2.1640625" style="36" customWidth="1"/>
    <col min="19" max="19" width="3.5" style="36" bestFit="1" customWidth="1"/>
    <col min="20" max="20" width="15.33203125" style="36" bestFit="1" customWidth="1"/>
    <col min="21" max="21" width="11.6640625" style="36" bestFit="1" customWidth="1"/>
    <col min="22" max="22" width="5.83203125" style="36" bestFit="1" customWidth="1"/>
    <col min="23" max="23" width="3.5" style="36" bestFit="1" customWidth="1"/>
    <col min="24" max="25" width="10.5" style="36" bestFit="1" customWidth="1"/>
    <col min="26" max="26" width="5.83203125" style="36" bestFit="1" customWidth="1"/>
    <col min="27" max="27" width="2.33203125" style="36" bestFit="1" customWidth="1"/>
    <col min="28" max="28" width="20.1640625" style="36" bestFit="1" customWidth="1"/>
    <col min="29" max="30" width="9.33203125" style="36" bestFit="1" customWidth="1"/>
    <col min="31" max="31" width="11.6640625" style="36" bestFit="1" customWidth="1"/>
    <col min="32" max="34" width="10.5" style="36" bestFit="1" customWidth="1"/>
    <col min="35" max="35" width="1.83203125" style="36" customWidth="1"/>
    <col min="36" max="37" width="10.5" style="36" bestFit="1" customWidth="1"/>
    <col min="38" max="38" width="3.5" style="36" bestFit="1" customWidth="1"/>
    <col min="39" max="40" width="10.5" style="36" bestFit="1" customWidth="1"/>
    <col min="41" max="41" width="2.83203125" style="36" customWidth="1"/>
    <col min="42" max="42" width="28.5" style="36" bestFit="1" customWidth="1"/>
    <col min="43" max="44" width="23" style="36" bestFit="1" customWidth="1"/>
    <col min="45" max="47" width="10.5" style="36" bestFit="1" customWidth="1"/>
    <col min="48" max="48" width="2.83203125" style="36" customWidth="1"/>
    <col min="49" max="16384" width="9.33203125" style="36"/>
  </cols>
  <sheetData>
    <row r="1" spans="1:48" x14ac:dyDescent="0.2">
      <c r="B1" s="37" t="s">
        <v>40</v>
      </c>
      <c r="C1" s="38"/>
      <c r="D1" s="37" t="s">
        <v>41</v>
      </c>
      <c r="E1" s="38" t="s">
        <v>42</v>
      </c>
      <c r="F1" s="39" t="s">
        <v>43</v>
      </c>
      <c r="G1" s="38" t="s">
        <v>44</v>
      </c>
      <c r="H1" s="38" t="s">
        <v>45</v>
      </c>
      <c r="I1" s="40" t="s">
        <v>46</v>
      </c>
      <c r="K1" s="41" t="s">
        <v>47</v>
      </c>
      <c r="L1" s="41" t="s">
        <v>48</v>
      </c>
      <c r="M1" s="41"/>
      <c r="N1" s="42" t="s">
        <v>49</v>
      </c>
      <c r="O1" s="42" t="s">
        <v>50</v>
      </c>
      <c r="P1" s="42" t="s">
        <v>51</v>
      </c>
    </row>
    <row r="2" spans="1:48" x14ac:dyDescent="0.2">
      <c r="A2" s="36">
        <v>1</v>
      </c>
      <c r="B2" s="43" t="str">
        <f>_xll.qlMakeDatedOIS(,E2,F2,OvernightIndex,0,,,,Trigger)</f>
        <v>obj_003bd#0000</v>
      </c>
      <c r="C2" s="44" t="b">
        <f>_xll.qlInstrumentSetPricingEngine(B2,OisEngine)</f>
        <v>1</v>
      </c>
      <c r="D2" s="45" t="str">
        <f>Currency&amp;A3&amp;"D_Quote"</f>
        <v>EUR1MD_Quote</v>
      </c>
      <c r="E2" s="46">
        <f>SettlementDate</f>
        <v>41855</v>
      </c>
      <c r="F2" s="47">
        <f>_xll.qlCalendarAdvance(Calendar,E2,A3,"mf")</f>
        <v>41886</v>
      </c>
      <c r="G2" s="48">
        <f>_xll.qlQuoteValue($D2,AllTriggers)</f>
        <v>8.9999999999999998E-4</v>
      </c>
      <c r="H2" s="49">
        <f>_xll.qlOvernightIndexedSwapFairRate(B2,_xll.ohTrigger(C2,InterestRatesTrigger))</f>
        <v>6.6999999979023802E-4</v>
      </c>
      <c r="I2" s="50">
        <f>G2-H2</f>
        <v>2.3000000020976196E-4</v>
      </c>
      <c r="J2" s="51" t="b">
        <v>0</v>
      </c>
      <c r="K2" s="51"/>
      <c r="L2" s="51"/>
      <c r="M2" s="52"/>
      <c r="N2" s="53">
        <f t="shared" ref="N2:O4" si="0">E2-SettlementDate</f>
        <v>0</v>
      </c>
      <c r="O2" s="53">
        <f t="shared" si="0"/>
        <v>31</v>
      </c>
      <c r="P2" s="52">
        <f>(O2^2-N2^2)/(O2-N2)</f>
        <v>31</v>
      </c>
      <c r="Q2" s="51"/>
      <c r="R2" s="51"/>
      <c r="S2" s="51"/>
      <c r="T2" s="54">
        <f>(O2^3-N2^3)/3/(O2-N2)</f>
        <v>320.33333333333337</v>
      </c>
      <c r="U2" s="54">
        <f>(O2+N2)/2</f>
        <v>15.5</v>
      </c>
      <c r="V2" s="54">
        <v>1</v>
      </c>
    </row>
    <row r="3" spans="1:48" x14ac:dyDescent="0.2">
      <c r="A3" s="36" t="str">
        <f>_xll.qlPeriodEquivalent(A2&amp;"M")</f>
        <v>1M</v>
      </c>
      <c r="B3" s="55" t="str">
        <f>_xll.qlMakeDatedOIS(,E3,F3,OvernightIndex,0,,,,Trigger)</f>
        <v>obj_0034a#0002</v>
      </c>
      <c r="C3" s="56" t="b">
        <f>_xll.qlInstrumentSetPricingEngine(B3,OisEngine)</f>
        <v>1</v>
      </c>
      <c r="D3" s="57" t="str">
        <f>A4&amp;"LastFixing_Quote"</f>
        <v>Euribor1MLastFixing_Quote</v>
      </c>
      <c r="E3" s="58">
        <f>_xll.qlCalendarAdvance(Calendar,_xll.qlLastFixingQuoteReferenceDate(D3),_xll.qlInterestRateIndexFixingDays(A4)&amp;"D","f",,LastFixingsTrigger)</f>
        <v>41855</v>
      </c>
      <c r="F3" s="59">
        <f>_xll.qlInterestRateIndexMaturity(A4,E3)</f>
        <v>41886</v>
      </c>
      <c r="G3" s="60">
        <f>_xll.qlQuoteValue(D3,AllTriggers)</f>
        <v>9.7999999999999997E-4</v>
      </c>
      <c r="H3" s="61">
        <f>_xll.qlOvernightIndexedSwapFairRate(B3,_xll.ohTrigger(C3,InterestRatesTrigger))</f>
        <v>6.6999999979023802E-4</v>
      </c>
      <c r="I3" s="62">
        <f t="shared" ref="I3:I27" si="1">G3-H3</f>
        <v>3.1000000020976195E-4</v>
      </c>
      <c r="J3" s="51" t="b">
        <f>NOT(ISERROR(I3))</f>
        <v>1</v>
      </c>
      <c r="K3" s="63">
        <f>K4</f>
        <v>-6.2567969598846715E-7</v>
      </c>
      <c r="L3" s="61">
        <f>_xll.ohFilter($I$2:$I$3,$J$2:$J$3)-K3*_xll.ohFilter($P$2:$P$3,$J$2:$J$3)</f>
        <v>3.2939607078540442E-4</v>
      </c>
      <c r="M3" s="52"/>
      <c r="N3" s="53">
        <f t="shared" si="0"/>
        <v>0</v>
      </c>
      <c r="O3" s="53">
        <f t="shared" si="0"/>
        <v>31</v>
      </c>
      <c r="P3" s="52">
        <f>(O3^2-N3^2)/(O3-N3)</f>
        <v>31</v>
      </c>
      <c r="Q3" s="51"/>
      <c r="R3" s="51"/>
      <c r="S3" s="51"/>
      <c r="T3" s="54">
        <f>(O3^3-N3^3)/3/(O3-N3)</f>
        <v>320.33333333333337</v>
      </c>
      <c r="U3" s="54">
        <f>(O3+N3)/2</f>
        <v>15.5</v>
      </c>
      <c r="V3" s="54">
        <v>1</v>
      </c>
    </row>
    <row r="4" spans="1:48" x14ac:dyDescent="0.2">
      <c r="A4" s="36" t="str">
        <f>PROPER(Currency)&amp;IborType&amp;SynthDepo!A3</f>
        <v>Euribor1M</v>
      </c>
      <c r="B4" s="55" t="str">
        <f>_xll.qlMakeDatedOIS(,E4,F4,OvernightIndex,0,,,,Trigger)</f>
        <v>obj_0034c#0002</v>
      </c>
      <c r="C4" s="56" t="b">
        <f>_xll.qlInstrumentSetPricingEngine(B4,OisEngine)</f>
        <v>1</v>
      </c>
      <c r="D4" s="64" t="s">
        <v>52</v>
      </c>
      <c r="E4" s="65">
        <f>F3</f>
        <v>41886</v>
      </c>
      <c r="F4" s="66">
        <f>F5</f>
        <v>41918</v>
      </c>
      <c r="G4" s="67">
        <f>((1+G5*(F5-E5)/360)/(1+G3*(F3-E3)/360)-1)/(F4-E4)*360</f>
        <v>1.019288983337141E-3</v>
      </c>
      <c r="H4" s="68">
        <f>_xll.qlOvernightIndexedSwapFairRate(B4,_xll.ohTrigger(C4,InterestRatesTrigger))</f>
        <v>7.487068039746525E-4</v>
      </c>
      <c r="I4" s="69">
        <f>G4-H4</f>
        <v>2.7058217936248852E-4</v>
      </c>
      <c r="J4" s="36" t="b">
        <f>NOT(ISERROR(I4))</f>
        <v>1</v>
      </c>
      <c r="K4" s="68">
        <f>(I4-_xll.ohFilter($I$2:$I$3,$J$2:$J$3))/(P4-_xll.ohFilter($P$2:$P$3,$J$2:$J$3))</f>
        <v>-6.2567969598846715E-7</v>
      </c>
      <c r="L4" s="68">
        <f>_xll.ohFilter($I$2:$I$3,$J$2:$J$3)-K4*_xll.ohFilter($P$2:$P$3,$J$2:$J$3)</f>
        <v>3.2939607078540442E-4</v>
      </c>
      <c r="M4" s="70"/>
      <c r="N4" s="71">
        <f t="shared" si="0"/>
        <v>31</v>
      </c>
      <c r="O4" s="71">
        <f t="shared" si="0"/>
        <v>63</v>
      </c>
      <c r="P4" s="70">
        <f>(O4^2-N4^2)/(O4-N4)</f>
        <v>94</v>
      </c>
      <c r="T4" s="72">
        <f>(O4^3-N4^3)/3/(O4-N4)</f>
        <v>2294.3333333333335</v>
      </c>
      <c r="U4" s="72">
        <f>(O4+N4)/2</f>
        <v>47</v>
      </c>
      <c r="V4" s="72">
        <v>1</v>
      </c>
    </row>
    <row r="5" spans="1:48" x14ac:dyDescent="0.2">
      <c r="B5" s="55"/>
      <c r="C5" s="56"/>
      <c r="D5" s="73" t="str">
        <f>Currency&amp;"2X1S"&amp;QuoteSuffix</f>
        <v>EUR2X1S_Quote</v>
      </c>
      <c r="E5" s="65">
        <f>SettlementDate</f>
        <v>41855</v>
      </c>
      <c r="F5" s="66">
        <f>_xll.qlCalendarAdvance(Calendar,E5,"2M","mf")</f>
        <v>41918</v>
      </c>
      <c r="G5" s="74">
        <f>_xll.qlQuoteValue($D5,AllTriggers)</f>
        <v>1E-3</v>
      </c>
      <c r="H5" s="68"/>
      <c r="I5" s="69"/>
      <c r="J5" s="36" t="b">
        <v>0</v>
      </c>
      <c r="K5" s="75"/>
      <c r="L5" s="75"/>
      <c r="M5" s="76"/>
      <c r="N5" s="77"/>
      <c r="O5" s="71"/>
      <c r="P5" s="70"/>
      <c r="T5" s="72"/>
      <c r="U5" s="72"/>
      <c r="V5" s="72"/>
    </row>
    <row r="6" spans="1:48" ht="12" thickBot="1" x14ac:dyDescent="0.25">
      <c r="A6" s="36">
        <v>3</v>
      </c>
      <c r="B6" s="43" t="str">
        <f>_xll.qlMakeDatedOIS(,E6,F6,OvernightIndex,0,,,,EvaluationDate)</f>
        <v>obj_003bf#0000</v>
      </c>
      <c r="C6" s="44" t="b">
        <f>_xll.qlInstrumentSetPricingEngine(B6,OisEngine)</f>
        <v>1</v>
      </c>
      <c r="D6" s="45" t="str">
        <f>Currency&amp;A7&amp;"D_Quote"</f>
        <v>EUR3MD_Quote</v>
      </c>
      <c r="E6" s="46">
        <f>SettlementDate</f>
        <v>41855</v>
      </c>
      <c r="F6" s="47">
        <f>_xll.qlCalendarAdvance(Calendar,E6,A7,"mf")</f>
        <v>41947</v>
      </c>
      <c r="G6" s="48">
        <f>_xll.qlQuoteValue($D6,AllTriggers)</f>
        <v>2.0999999999999999E-3</v>
      </c>
      <c r="H6" s="49">
        <f>_xll.qlOvernightIndexedSwapFairRate(B6,_xll.ohTrigger(C6,InterestRatesTrigger))</f>
        <v>6.6999999974494471E-4</v>
      </c>
      <c r="I6" s="50">
        <f t="shared" si="1"/>
        <v>1.4300000002550552E-3</v>
      </c>
      <c r="J6" s="51" t="b">
        <v>0</v>
      </c>
      <c r="K6" s="52"/>
      <c r="L6" s="52"/>
      <c r="M6" s="52"/>
      <c r="N6" s="53">
        <f t="shared" ref="N6:N9" si="2">E6-SettlementDate</f>
        <v>0</v>
      </c>
      <c r="O6" s="53">
        <f t="shared" ref="O6:O9" si="3">F6-SettlementDate</f>
        <v>92</v>
      </c>
      <c r="P6" s="52">
        <f>(O6^2-N6^2)/(O6-N6)</f>
        <v>92</v>
      </c>
      <c r="Q6" s="51"/>
      <c r="R6" s="51"/>
      <c r="S6" s="51"/>
      <c r="T6" s="54">
        <f t="shared" ref="T6:T27" si="4">(O6^3-N6^3)/3/(O6-N6)</f>
        <v>2821.333333333333</v>
      </c>
      <c r="U6" s="54">
        <f t="shared" ref="U6:U27" si="5">(O6+N6)/2</f>
        <v>46</v>
      </c>
      <c r="V6" s="54">
        <v>1</v>
      </c>
      <c r="AO6" s="381"/>
      <c r="AP6" s="381"/>
      <c r="AQ6" s="381"/>
      <c r="AR6" s="381"/>
      <c r="AS6" s="381"/>
      <c r="AT6" s="381"/>
      <c r="AU6" s="381"/>
      <c r="AV6" s="381"/>
    </row>
    <row r="7" spans="1:48" ht="13.5" customHeight="1" thickBot="1" x14ac:dyDescent="0.25">
      <c r="A7" s="36" t="str">
        <f>_xll.qlPeriodEquivalent(A6&amp;"M")</f>
        <v>3M</v>
      </c>
      <c r="B7" s="55" t="str">
        <f>_xll.qlMakeDatedOIS(,E7,F7,OvernightIndex,0,,,,EvaluationDate)</f>
        <v>obj_00348#0002</v>
      </c>
      <c r="C7" s="56" t="b">
        <f>_xll.qlInstrumentSetPricingEngine(B7,OisEngine)</f>
        <v>1</v>
      </c>
      <c r="D7" s="57" t="str">
        <f>A8&amp;"LastFixing_Quote"</f>
        <v>Euribor3MLastFixing_Quote</v>
      </c>
      <c r="E7" s="58">
        <f>_xll.qlCalendarAdvance(Calendar,_xll.qlLastFixingQuoteReferenceDate(D7),_xll.qlInterestRateIndexFixingDays(A8)&amp;"D","f",,LastFixingsTrigger)</f>
        <v>41855</v>
      </c>
      <c r="F7" s="59">
        <f>_xll.qlInterestRateIndexMaturity(A8,E7)</f>
        <v>41947</v>
      </c>
      <c r="G7" s="60">
        <f>_xll.qlQuoteValue(D7,AllTriggers)</f>
        <v>2.0899999999999998E-3</v>
      </c>
      <c r="H7" s="61">
        <f>_xll.qlOvernightIndexedSwapFairRate(B7,_xll.ohTrigger(C7,InterestRatesTrigger))</f>
        <v>6.6999999974494471E-4</v>
      </c>
      <c r="I7" s="62">
        <f t="shared" si="1"/>
        <v>1.4200000002550551E-3</v>
      </c>
      <c r="J7" s="51" t="b">
        <f>AND(NOT(ISERROR(I7)),E10&lt;&gt;SettlementDate)</f>
        <v>1</v>
      </c>
      <c r="K7" s="78"/>
      <c r="L7" s="52"/>
      <c r="M7" s="52"/>
      <c r="N7" s="53">
        <f t="shared" si="2"/>
        <v>0</v>
      </c>
      <c r="O7" s="53">
        <f t="shared" si="3"/>
        <v>92</v>
      </c>
      <c r="P7" s="52">
        <f t="shared" ref="P7:P27" si="6">(O7^2-N7^2)/(O7-N7)</f>
        <v>92</v>
      </c>
      <c r="Q7" s="51"/>
      <c r="R7" s="51"/>
      <c r="S7" s="51"/>
      <c r="T7" s="54">
        <f t="shared" si="4"/>
        <v>2821.333333333333</v>
      </c>
      <c r="U7" s="54">
        <f t="shared" si="5"/>
        <v>46</v>
      </c>
      <c r="V7" s="54">
        <v>1</v>
      </c>
      <c r="AO7" s="381"/>
      <c r="AP7" s="379" t="s">
        <v>148</v>
      </c>
      <c r="AQ7" s="380" t="s">
        <v>127</v>
      </c>
      <c r="AR7" s="380" t="s">
        <v>128</v>
      </c>
      <c r="AS7" s="380" t="s">
        <v>104</v>
      </c>
      <c r="AT7" s="380" t="s">
        <v>45</v>
      </c>
      <c r="AU7" s="380" t="s">
        <v>149</v>
      </c>
      <c r="AV7" s="381"/>
    </row>
    <row r="8" spans="1:48" ht="13.5" customHeight="1" x14ac:dyDescent="0.25">
      <c r="A8" s="36" t="str">
        <f>PROPER(Currency)&amp;IborType&amp;SynthDepo!A7</f>
        <v>Euribor3M</v>
      </c>
      <c r="B8" s="79"/>
      <c r="C8" s="56"/>
      <c r="D8" s="57"/>
      <c r="E8" s="58"/>
      <c r="F8" s="59"/>
      <c r="G8" s="80"/>
      <c r="H8" s="61"/>
      <c r="I8" s="62" t="e">
        <f>NA()</f>
        <v>#N/A</v>
      </c>
      <c r="J8" s="51" t="b">
        <v>0</v>
      </c>
      <c r="K8" s="51"/>
      <c r="L8" s="51"/>
      <c r="M8" s="52"/>
      <c r="N8" s="53">
        <v>0</v>
      </c>
      <c r="O8" s="53">
        <f t="shared" si="3"/>
        <v>-41855</v>
      </c>
      <c r="P8" s="52">
        <f t="shared" si="6"/>
        <v>-41855</v>
      </c>
      <c r="Q8" s="51"/>
      <c r="R8" s="51"/>
      <c r="S8" s="51"/>
      <c r="T8" s="54">
        <f t="shared" si="4"/>
        <v>583947008.33333337</v>
      </c>
      <c r="U8" s="54">
        <f t="shared" si="5"/>
        <v>-20927.5</v>
      </c>
      <c r="V8" s="54">
        <v>1</v>
      </c>
      <c r="AB8" s="36" t="s">
        <v>53</v>
      </c>
      <c r="AF8" s="36" t="s">
        <v>54</v>
      </c>
      <c r="AJ8" s="36" t="s">
        <v>55</v>
      </c>
      <c r="AO8" s="381"/>
      <c r="AP8" s="382" t="s">
        <v>147</v>
      </c>
      <c r="AQ8" s="383">
        <v>41852</v>
      </c>
      <c r="AR8" s="383">
        <v>41946</v>
      </c>
      <c r="AS8" s="384">
        <v>2.0899999999999998E-3</v>
      </c>
      <c r="AT8" s="384">
        <v>6.4999999999362844E-4</v>
      </c>
      <c r="AU8" s="385">
        <v>1.4400000000063715E-3</v>
      </c>
      <c r="AV8" s="381"/>
    </row>
    <row r="9" spans="1:48" ht="13.5" customHeight="1" x14ac:dyDescent="0.25">
      <c r="B9" s="79"/>
      <c r="C9" s="56"/>
      <c r="D9" s="57"/>
      <c r="E9" s="58"/>
      <c r="F9" s="59"/>
      <c r="G9" s="80"/>
      <c r="H9" s="61"/>
      <c r="I9" s="62" t="e">
        <f>NA()</f>
        <v>#N/A</v>
      </c>
      <c r="J9" s="51" t="b">
        <v>0</v>
      </c>
      <c r="K9" s="61">
        <f>AVERAGE(_xll.ohFilter(K10:K12,J10:J12))</f>
        <v>-4.2748642175155842E-7</v>
      </c>
      <c r="L9" s="61">
        <f>_xll.ohFilter($I$6:$I$9,$J$6:$J$9)-K9*_xll.ohFilter($P$6:$P$9,$J$6:$J$9)</f>
        <v>1.4593287510561985E-3</v>
      </c>
      <c r="M9" s="52"/>
      <c r="N9" s="53">
        <f t="shared" si="2"/>
        <v>-41855</v>
      </c>
      <c r="O9" s="53">
        <f t="shared" si="3"/>
        <v>-41855</v>
      </c>
      <c r="P9" s="52" t="e">
        <f t="shared" si="6"/>
        <v>#DIV/0!</v>
      </c>
      <c r="Q9" s="51"/>
      <c r="R9" s="51"/>
      <c r="S9" s="51"/>
      <c r="T9" s="54" t="e">
        <f t="shared" si="4"/>
        <v>#DIV/0!</v>
      </c>
      <c r="U9" s="54">
        <f t="shared" si="5"/>
        <v>-41855</v>
      </c>
      <c r="V9" s="54">
        <v>1</v>
      </c>
      <c r="X9" s="81">
        <f t="array" ref="X9:X11">_xll.ohFilter(T6:T14,$J6:$J14)</f>
        <v>2821.333333333333</v>
      </c>
      <c r="Y9" s="84">
        <f t="array" ref="Y9:Y11">_xll.ohFilter(U6:U14,$J6:$J14)</f>
        <v>46</v>
      </c>
      <c r="Z9" s="87">
        <f t="array" ref="Z9:Z11">_xll.ohFilter(V6:V14,$J6:$J14)</f>
        <v>1</v>
      </c>
      <c r="AB9" s="90">
        <f t="array" ref="AB9:AB11">MMULT(AF9:AH11,AD9:AD11)</f>
        <v>1.6101130882138433E-7</v>
      </c>
      <c r="AD9" s="90">
        <f t="array" ref="AD9:AD11">_xll.ohFilter(I6:I14,$J6:$J14)</f>
        <v>1.4200000002550551E-3</v>
      </c>
      <c r="AF9" s="93">
        <f t="array" ref="AF9:AH11">MINVERSE(X9:Z11)</f>
        <v>1.4553344623200696E-3</v>
      </c>
      <c r="AG9" s="94">
        <v>-2.3020745131244729E-3</v>
      </c>
      <c r="AH9" s="95">
        <v>8.4674005080440399E-4</v>
      </c>
      <c r="AJ9" s="102">
        <f t="array" ref="AJ9:AJ11">MMULT(X9:Z11,AB9:AB11)-AD9:AD11</f>
        <v>-2.6020852139652106E-18</v>
      </c>
      <c r="AO9" s="381"/>
      <c r="AP9" s="386" t="s">
        <v>145</v>
      </c>
      <c r="AQ9" s="387">
        <v>41871</v>
      </c>
      <c r="AR9" s="387">
        <v>41963</v>
      </c>
      <c r="AS9" s="388">
        <v>2.074999999999938E-3</v>
      </c>
      <c r="AT9" s="388">
        <v>6.960283630131276E-4</v>
      </c>
      <c r="AU9" s="389">
        <v>1.3789716369868104E-3</v>
      </c>
      <c r="AV9" s="381"/>
    </row>
    <row r="10" spans="1:48" ht="13.5" customHeight="1" thickBot="1" x14ac:dyDescent="0.3">
      <c r="A10" s="36" t="str">
        <f>_xll.qlIMMNextCode(SettlementDate-1,FALSE)</f>
        <v>Q4</v>
      </c>
      <c r="B10" s="79" t="str">
        <f>_xll.qlMakeDatedOIS(,E10,F10,OvernightIndex,0,,,,EvaluationDate)</f>
        <v>obj_003c9#0000</v>
      </c>
      <c r="C10" s="56" t="b">
        <f>_xll.qlInstrumentSetPricingEngine(B10,OisEngine)</f>
        <v>1</v>
      </c>
      <c r="D10" s="64" t="str">
        <f>Currency&amp;"FUT3M"&amp;A10&amp;QuoteSuffix</f>
        <v>EURFUT3MQ4_Quote</v>
      </c>
      <c r="E10" s="65">
        <f>_xll.qlIMMdate(A10)</f>
        <v>41871</v>
      </c>
      <c r="F10" s="66">
        <f>_xll.qlCalendarAdvance(Calendar,E10,"3M","mf")</f>
        <v>41963</v>
      </c>
      <c r="G10" s="74">
        <f>1-_xll.qlQuoteValue($D10,AllTriggers)/100</f>
        <v>2.074999999999938E-3</v>
      </c>
      <c r="H10" s="68">
        <f>_xll.qlOvernightIndexedSwapFairRate(B10,_xll.ohTrigger(C10,InterestRatesTrigger))</f>
        <v>7.0960707283836924E-4</v>
      </c>
      <c r="I10" s="69">
        <f t="shared" si="1"/>
        <v>1.3653929271615689E-3</v>
      </c>
      <c r="J10" s="36" t="b">
        <f>AND(NOT(ISERROR(I10)))</f>
        <v>1</v>
      </c>
      <c r="K10" s="68">
        <f>(I10-_xll.ohFilter($I$6:$I$9,$J$6:$J$9))/(P10-_xll.ohFilter($P$6:$P$9,$J$6:$J$9))</f>
        <v>-1.7064710341714457E-6</v>
      </c>
      <c r="L10" s="68">
        <f>_xll.ohFilter($I$6:$I$9,$J$6:$J$9)-K10*_xll.ohFilter($P$6:$P$9,$J$6:$J$9)</f>
        <v>1.5769953353988282E-3</v>
      </c>
      <c r="M10" s="70"/>
      <c r="N10" s="71">
        <f t="shared" ref="N10:N18" si="7">E10-SettlementDate</f>
        <v>16</v>
      </c>
      <c r="O10" s="71">
        <f t="shared" ref="O10:O18" si="8">F10-SettlementDate</f>
        <v>108</v>
      </c>
      <c r="P10" s="70">
        <f t="shared" si="6"/>
        <v>124</v>
      </c>
      <c r="T10" s="72">
        <f t="shared" si="4"/>
        <v>4549.3333333333339</v>
      </c>
      <c r="U10" s="72">
        <f t="shared" si="5"/>
        <v>62</v>
      </c>
      <c r="V10" s="72">
        <v>1</v>
      </c>
      <c r="X10" s="82">
        <v>4549.3333333333339</v>
      </c>
      <c r="Y10" s="85">
        <v>62</v>
      </c>
      <c r="Z10" s="88">
        <v>1</v>
      </c>
      <c r="AA10" s="41" t="s">
        <v>56</v>
      </c>
      <c r="AB10" s="91">
        <v>-2.0802163421052429E-5</v>
      </c>
      <c r="AC10" s="41" t="s">
        <v>57</v>
      </c>
      <c r="AD10" s="91">
        <v>1.3653929271615689E-3</v>
      </c>
      <c r="AF10" s="96">
        <v>-0.2196761219305676</v>
      </c>
      <c r="AG10" s="97">
        <v>0.31112404741744321</v>
      </c>
      <c r="AH10" s="98">
        <v>-9.1447925486875664E-2</v>
      </c>
      <c r="AJ10" s="103">
        <v>-3.0357660829594124E-18</v>
      </c>
      <c r="AO10" s="381"/>
      <c r="AP10" s="390" t="s">
        <v>146</v>
      </c>
      <c r="AQ10" s="391">
        <v>41899</v>
      </c>
      <c r="AR10" s="391">
        <v>41990</v>
      </c>
      <c r="AS10" s="392">
        <v>2.074999999999938E-3</v>
      </c>
      <c r="AT10" s="392">
        <v>6.3556743392947956E-4</v>
      </c>
      <c r="AU10" s="393">
        <v>1.4394325660704583E-3</v>
      </c>
      <c r="AV10" s="381"/>
    </row>
    <row r="11" spans="1:48" x14ac:dyDescent="0.2">
      <c r="A11" s="36" t="str">
        <f>_xll.qlIMMNextCode(E10,IF(_xll.qlIMMIsIMMdate(E10,TRUE),FALSE,TRUE))</f>
        <v>U4</v>
      </c>
      <c r="B11" s="79" t="str">
        <f>_xll.qlMakeDatedOIS(,E11,F11,OvernightIndex,0,,,,EvaluationDate)</f>
        <v>obj_003cc#0000</v>
      </c>
      <c r="C11" s="56" t="b">
        <f>_xll.qlInstrumentSetPricingEngine(B11,OisEngine)</f>
        <v>1</v>
      </c>
      <c r="D11" s="64" t="str">
        <f>Currency&amp;"FUT3M"&amp;A11&amp;QuoteSuffix</f>
        <v>EURFUT3MU4_Quote</v>
      </c>
      <c r="E11" s="65">
        <f>_xll.qlIMMdate(A11)</f>
        <v>41899</v>
      </c>
      <c r="F11" s="66">
        <f>_xll.qlCalendarAdvance(Calendar,E11,"3M","mf")</f>
        <v>41990</v>
      </c>
      <c r="G11" s="74">
        <f>1-_xll.qlQuoteValue($D11,AllTriggers)/100</f>
        <v>2.1250000000000435E-3</v>
      </c>
      <c r="H11" s="68">
        <f>_xll.qlOvernightIndexedSwapFairRate(B11,_xll.ohTrigger(C11,InterestRatesTrigger))</f>
        <v>6.6330862399985042E-4</v>
      </c>
      <c r="I11" s="69">
        <f t="shared" si="1"/>
        <v>1.461691376000193E-3</v>
      </c>
      <c r="J11" s="36" t="b">
        <f>NOT(ISERROR(I11))</f>
        <v>1</v>
      </c>
      <c r="K11" s="68">
        <f>(I11-_xll.ohFilter($I$6:$I$9,$J$6:$J$9))/(P11-_xll.ohFilter($P$6:$P$9,$J$6:$J$9))</f>
        <v>4.7921121546135473E-7</v>
      </c>
      <c r="L11" s="68">
        <f>_xll.ohFilter($I$6:$I$9,$J$6:$J$9)-K11*_xll.ohFilter($P$6:$P$9,$J$6:$J$9)</f>
        <v>1.3759125684326104E-3</v>
      </c>
      <c r="M11" s="70"/>
      <c r="N11" s="71">
        <f t="shared" si="7"/>
        <v>44</v>
      </c>
      <c r="O11" s="71">
        <f t="shared" si="8"/>
        <v>135</v>
      </c>
      <c r="P11" s="70">
        <f t="shared" si="6"/>
        <v>179</v>
      </c>
      <c r="T11" s="72">
        <f t="shared" si="4"/>
        <v>8700.3333333333339</v>
      </c>
      <c r="U11" s="72">
        <f t="shared" si="5"/>
        <v>89.5</v>
      </c>
      <c r="V11" s="72">
        <v>1</v>
      </c>
      <c r="X11" s="83">
        <v>8700.3333333333339</v>
      </c>
      <c r="Y11" s="86">
        <v>89.5</v>
      </c>
      <c r="Z11" s="89">
        <v>1</v>
      </c>
      <c r="AB11" s="92">
        <v>1.9226329450020654E-3</v>
      </c>
      <c r="AD11" s="92">
        <v>1.461691376000193E-3</v>
      </c>
      <c r="AF11" s="99">
        <v>6.9991179791137537</v>
      </c>
      <c r="AG11" s="100">
        <v>-7.8167866215072088</v>
      </c>
      <c r="AH11" s="101">
        <v>1.8176686423934558</v>
      </c>
      <c r="AJ11" s="104">
        <v>-2.3852447794681098E-18</v>
      </c>
      <c r="AO11" s="381"/>
      <c r="AP11" s="381"/>
      <c r="AQ11" s="381"/>
      <c r="AR11" s="381"/>
      <c r="AS11" s="381"/>
      <c r="AT11" s="381"/>
      <c r="AU11" s="381"/>
      <c r="AV11" s="381"/>
    </row>
    <row r="12" spans="1:48" x14ac:dyDescent="0.2">
      <c r="A12" s="36">
        <v>1</v>
      </c>
      <c r="B12" s="79" t="str">
        <f>_xll.qlMakeDatedOIS(,E12,F12,OvernightIndex,0,,,,EvaluationDate)</f>
        <v>obj_003c7#0000</v>
      </c>
      <c r="C12" s="56" t="b">
        <f>_xll.qlInstrumentSetPricingEngine(B12,OisEngine)</f>
        <v>1</v>
      </c>
      <c r="D12" s="64" t="str">
        <f>Currency&amp;A12&amp;"x"&amp;A12+3&amp;"F"&amp;QuoteSuffix</f>
        <v>EUR1x4F_Quote</v>
      </c>
      <c r="E12" s="65">
        <f>_xll.qlCalendarAdvance(Calendar,SettlementDate,A12&amp;"M","mf")</f>
        <v>41886</v>
      </c>
      <c r="F12" s="66">
        <f>_xll.qlInterestRateIndexMaturity($A$8,E12)</f>
        <v>41977</v>
      </c>
      <c r="G12" s="74">
        <f>_xll.qlQuoteValue(D12,AllTriggers)</f>
        <v>2.1000000000000003E-3</v>
      </c>
      <c r="H12" s="68">
        <f>_xll.qlOvernightIndexedSwapFairRate(B12,_xll.ohTrigger(C12,InterestRatesTrigger))</f>
        <v>6.8336716598416483E-4</v>
      </c>
      <c r="I12" s="69">
        <f>G12-H12</f>
        <v>1.4166328340158355E-3</v>
      </c>
      <c r="J12" s="36" t="b">
        <f>AND(NOT(ISERROR(I12)),E12&lt;&gt;$E$11,E12&lt;&gt;$E$10)</f>
        <v>1</v>
      </c>
      <c r="K12" s="68">
        <f>(I12-_xll.ohFilter($I$6:$I$9,$J$6:$J$9))/(P12-_xll.ohFilter($P$6:$P$9,$J$6:$J$9))</f>
        <v>-5.5199446544584461E-8</v>
      </c>
      <c r="L12" s="68">
        <f>_xll.ohFilter($I$6:$I$9,$J$6:$J$9)-K12*_xll.ohFilter($P$6:$P$9,$J$6:$J$9)</f>
        <v>1.4250783493371568E-3</v>
      </c>
      <c r="M12" s="70"/>
      <c r="N12" s="71">
        <f t="shared" si="7"/>
        <v>31</v>
      </c>
      <c r="O12" s="71">
        <f t="shared" si="8"/>
        <v>122</v>
      </c>
      <c r="P12" s="70">
        <f t="shared" si="6"/>
        <v>153</v>
      </c>
      <c r="T12" s="72">
        <f t="shared" si="4"/>
        <v>6542.3333333333339</v>
      </c>
      <c r="U12" s="72">
        <f t="shared" si="5"/>
        <v>76.5</v>
      </c>
      <c r="V12" s="72">
        <v>1</v>
      </c>
      <c r="X12" s="72"/>
      <c r="Y12" s="72"/>
      <c r="Z12" s="72"/>
    </row>
    <row r="13" spans="1:48" x14ac:dyDescent="0.2">
      <c r="A13" s="36">
        <v>2</v>
      </c>
      <c r="B13" s="79" t="str">
        <f>_xll.qlMakeDatedOIS(,E13,F13,OvernightIndex,0,,,,EvaluationDate)</f>
        <v>obj_003c4#0000</v>
      </c>
      <c r="C13" s="56" t="b">
        <f>_xll.qlInstrumentSetPricingEngine(B13,OisEngine)</f>
        <v>1</v>
      </c>
      <c r="D13" s="64" t="str">
        <f>Currency&amp;A13&amp;"x"&amp;A13+3&amp;"F"&amp;QuoteSuffix</f>
        <v>EUR2x5F_Quote</v>
      </c>
      <c r="E13" s="65">
        <f>_xll.qlCalendarAdvance(Calendar,SettlementDate,A13&amp;"M","mf")</f>
        <v>41918</v>
      </c>
      <c r="F13" s="66">
        <f>_xll.qlInterestRateIndexMaturity($A$8,E13)</f>
        <v>42010</v>
      </c>
      <c r="G13" s="74">
        <f>_xll.qlQuoteValue(D13,AllTriggers)</f>
        <v>2.0800000000000003E-3</v>
      </c>
      <c r="H13" s="68">
        <f>_xll.qlOvernightIndexedSwapFairRate(B13,_xll.ohTrigger(C13,InterestRatesTrigger))</f>
        <v>6.7505223744444788E-4</v>
      </c>
      <c r="I13" s="69">
        <f>G13-H13</f>
        <v>1.4049477625555523E-3</v>
      </c>
      <c r="J13" s="36" t="b">
        <f>AND(NOT(ISERROR(I13)),E13&lt;&gt;$E$11,E13&lt;&gt;$E$10)</f>
        <v>1</v>
      </c>
      <c r="K13" s="68">
        <f>(I13-_xll.ohFilter($I$6:$I$9,$J$6:$J$9))/(P13-_xll.ohFilter($P$6:$P$9,$J$6:$J$9))</f>
        <v>-1.1946220396430845E-7</v>
      </c>
      <c r="L13" s="68">
        <f>_xll.ohFilter($I$6:$I$9,$J$6:$J$9)-K13*_xll.ohFilter($P$6:$P$9,$J$6:$J$9)</f>
        <v>1.4309905230197714E-3</v>
      </c>
      <c r="M13" s="70"/>
      <c r="N13" s="71">
        <f t="shared" si="7"/>
        <v>63</v>
      </c>
      <c r="O13" s="71">
        <f t="shared" si="8"/>
        <v>155</v>
      </c>
      <c r="P13" s="70">
        <f t="shared" si="6"/>
        <v>218</v>
      </c>
      <c r="T13" s="72">
        <f t="shared" si="4"/>
        <v>12586.333333333334</v>
      </c>
      <c r="U13" s="72">
        <f t="shared" si="5"/>
        <v>109</v>
      </c>
      <c r="V13" s="72">
        <v>1</v>
      </c>
      <c r="X13" s="72"/>
      <c r="Y13" s="72"/>
      <c r="Z13" s="72"/>
    </row>
    <row r="14" spans="1:48" x14ac:dyDescent="0.2">
      <c r="A14" s="36">
        <v>3</v>
      </c>
      <c r="B14" s="79" t="str">
        <f>_xll.qlMakeDatedOIS(,E14,F14,OvernightIndex,0,,,,EvaluationDate)</f>
        <v>obj_003c3#0000</v>
      </c>
      <c r="C14" s="56" t="b">
        <f>_xll.qlInstrumentSetPricingEngine(B14,OisEngine)</f>
        <v>1</v>
      </c>
      <c r="D14" s="64" t="str">
        <f>Currency&amp;A14&amp;"x"&amp;A14+3&amp;"F"&amp;QuoteSuffix</f>
        <v>EUR3x6F_Quote</v>
      </c>
      <c r="E14" s="65">
        <f>_xll.qlCalendarAdvance(Calendar,SettlementDate,A14&amp;"M","mf")</f>
        <v>41947</v>
      </c>
      <c r="F14" s="66">
        <f>_xll.qlInterestRateIndexMaturity($A$8,E14)</f>
        <v>42039</v>
      </c>
      <c r="G14" s="74">
        <f>_xll.qlQuoteValue(D14,AllTriggers)</f>
        <v>2.0500000000000002E-3</v>
      </c>
      <c r="H14" s="68">
        <f>_xll.qlOvernightIndexedSwapFairRate(B14,_xll.ohTrigger(C14,InterestRatesTrigger))</f>
        <v>6.6988530100487364E-4</v>
      </c>
      <c r="I14" s="69">
        <f>G14-H14</f>
        <v>1.3801146989951265E-3</v>
      </c>
      <c r="J14" s="36" t="b">
        <f>AND(NOT(ISERROR(I14)),E14&lt;&gt;$E$11,E14&lt;&gt;$E$10)</f>
        <v>1</v>
      </c>
      <c r="K14" s="68">
        <f>(I14-_xll.ohFilter($I$6:$I$9,$J$6:$J$9))/(P14-_xll.ohFilter($P$6:$P$9,$J$6:$J$9))</f>
        <v>-2.1676794163004674E-7</v>
      </c>
      <c r="L14" s="68">
        <f>_xll.ohFilter($I$6:$I$9,$J$6:$J$9)-K14*_xll.ohFilter($P$6:$P$9,$J$6:$J$9)</f>
        <v>1.4399426508850195E-3</v>
      </c>
      <c r="M14" s="70"/>
      <c r="N14" s="71">
        <f t="shared" si="7"/>
        <v>92</v>
      </c>
      <c r="O14" s="71">
        <f t="shared" si="8"/>
        <v>184</v>
      </c>
      <c r="P14" s="70">
        <f t="shared" si="6"/>
        <v>276</v>
      </c>
      <c r="T14" s="72">
        <f t="shared" si="4"/>
        <v>19749.333333333336</v>
      </c>
      <c r="U14" s="72">
        <f t="shared" si="5"/>
        <v>138</v>
      </c>
      <c r="V14" s="72">
        <v>1</v>
      </c>
      <c r="X14" s="72"/>
      <c r="Y14" s="72"/>
      <c r="Z14" s="72"/>
    </row>
    <row r="15" spans="1:48" x14ac:dyDescent="0.2">
      <c r="A15" s="36">
        <v>6</v>
      </c>
      <c r="B15" s="43" t="str">
        <f>_xll.qlMakeDatedOIS(,E15,F15,OvernightIndex,0,,,,EvaluationDate)</f>
        <v>obj_003c8#0000</v>
      </c>
      <c r="C15" s="44" t="b">
        <f>_xll.qlInstrumentSetPricingEngine(B15,OisEngine)</f>
        <v>1</v>
      </c>
      <c r="D15" s="45" t="str">
        <f>Currency&amp;A16&amp;"D_Quote"</f>
        <v>EUR6MD_Quote</v>
      </c>
      <c r="E15" s="46">
        <f>SettlementDate</f>
        <v>41855</v>
      </c>
      <c r="F15" s="47">
        <f>_xll.qlCalendarAdvance(Calendar,E15,A16,"mf")</f>
        <v>42039</v>
      </c>
      <c r="G15" s="48">
        <f>_xll.qlQuoteValue($D15,AllTriggers)</f>
        <v>3.0999999999999999E-3</v>
      </c>
      <c r="H15" s="49">
        <f>_xll.qlOvernightIndexedSwapFairRate(B15,_xll.ohTrigger(C15,InterestRatesTrigger))</f>
        <v>6.6999999999995806E-4</v>
      </c>
      <c r="I15" s="50">
        <f t="shared" si="1"/>
        <v>2.4300000000000419E-3</v>
      </c>
      <c r="J15" s="51" t="b">
        <v>0</v>
      </c>
      <c r="K15" s="52"/>
      <c r="L15" s="52"/>
      <c r="M15" s="52"/>
      <c r="N15" s="53">
        <f t="shared" si="7"/>
        <v>0</v>
      </c>
      <c r="O15" s="53">
        <f t="shared" si="8"/>
        <v>184</v>
      </c>
      <c r="P15" s="52">
        <f t="shared" si="6"/>
        <v>184</v>
      </c>
      <c r="Q15" s="51"/>
      <c r="R15" s="51"/>
      <c r="S15" s="51"/>
      <c r="T15" s="54">
        <f t="shared" si="4"/>
        <v>11285.333333333332</v>
      </c>
      <c r="U15" s="54">
        <f t="shared" si="5"/>
        <v>92</v>
      </c>
      <c r="V15" s="54">
        <v>1</v>
      </c>
    </row>
    <row r="16" spans="1:48" x14ac:dyDescent="0.2">
      <c r="A16" s="36" t="str">
        <f>_xll.qlPeriodEquivalent(A15&amp;"M")</f>
        <v>6M</v>
      </c>
      <c r="B16" s="55" t="str">
        <f>_xll.qlMakeDatedOIS(,E16,F16,OvernightIndex,0,,,,EvaluationDate)</f>
        <v>obj_0034b#0002</v>
      </c>
      <c r="C16" s="56" t="b">
        <f>_xll.qlInstrumentSetPricingEngine(B16,OisEngine)</f>
        <v>1</v>
      </c>
      <c r="D16" s="57" t="str">
        <f>PROPER(Currency&amp;IborType)&amp;A16&amp;"LastFixing_Quote"</f>
        <v>Euribor6MLastFixing_Quote</v>
      </c>
      <c r="E16" s="58">
        <f>_xll.qlCalendarAdvance(Calendar,_xll.qlLastFixingQuoteReferenceDate(D16),_xll.qlInterestRateIndexFixingDays(A17)&amp;"D","f",,LastFixingsTrigger)</f>
        <v>41855</v>
      </c>
      <c r="F16" s="59">
        <f>_xll.qlInterestRateIndexMaturity(A17,E16)</f>
        <v>42039</v>
      </c>
      <c r="G16" s="60">
        <f>_xll.qlQuoteValue(D16,AllTriggers)</f>
        <v>3.0599999999999998E-3</v>
      </c>
      <c r="H16" s="61">
        <f>_xll.qlOvernightIndexedSwapFairRate(B16,_xll.ohTrigger(C16,InterestRatesTrigger))</f>
        <v>6.6999999999995806E-4</v>
      </c>
      <c r="I16" s="62">
        <f t="shared" si="1"/>
        <v>2.3900000000000418E-3</v>
      </c>
      <c r="J16" s="51" t="b">
        <f>AND(ISERROR(I17),ISERROR(I18),NOT(ISERROR(I16)))</f>
        <v>1</v>
      </c>
      <c r="K16" s="52"/>
      <c r="L16" s="52"/>
      <c r="M16" s="52"/>
      <c r="N16" s="53">
        <f t="shared" si="7"/>
        <v>0</v>
      </c>
      <c r="O16" s="53">
        <f t="shared" si="8"/>
        <v>184</v>
      </c>
      <c r="P16" s="52">
        <f t="shared" si="6"/>
        <v>184</v>
      </c>
      <c r="Q16" s="51"/>
      <c r="R16" s="51"/>
      <c r="S16" s="51"/>
      <c r="T16" s="54">
        <f t="shared" si="4"/>
        <v>11285.333333333332</v>
      </c>
      <c r="U16" s="54">
        <f t="shared" si="5"/>
        <v>92</v>
      </c>
      <c r="V16" s="54">
        <v>1</v>
      </c>
    </row>
    <row r="17" spans="1:36" x14ac:dyDescent="0.2">
      <c r="A17" s="36" t="str">
        <f>PROPER(Currency)&amp;IborType&amp;SynthDepo!A16</f>
        <v>Euribor6M</v>
      </c>
      <c r="B17" s="79"/>
      <c r="C17" s="56"/>
      <c r="D17" s="57"/>
      <c r="E17" s="58"/>
      <c r="F17" s="59"/>
      <c r="G17" s="60"/>
      <c r="H17" s="61"/>
      <c r="I17" s="62" t="e">
        <f>NA()</f>
        <v>#N/A</v>
      </c>
      <c r="J17" s="51" t="b">
        <v>0</v>
      </c>
      <c r="K17" s="51"/>
      <c r="L17" s="51"/>
      <c r="M17" s="52"/>
      <c r="N17" s="53">
        <f t="shared" si="7"/>
        <v>-41855</v>
      </c>
      <c r="O17" s="53">
        <f t="shared" si="8"/>
        <v>-41855</v>
      </c>
      <c r="P17" s="52" t="e">
        <f t="shared" si="6"/>
        <v>#DIV/0!</v>
      </c>
      <c r="Q17" s="51"/>
      <c r="R17" s="51"/>
      <c r="S17" s="51"/>
      <c r="T17" s="54" t="e">
        <f t="shared" si="4"/>
        <v>#DIV/0!</v>
      </c>
      <c r="U17" s="54">
        <f t="shared" si="5"/>
        <v>-41855</v>
      </c>
      <c r="V17" s="54">
        <v>1</v>
      </c>
      <c r="AF17" s="36" t="s">
        <v>54</v>
      </c>
      <c r="AJ17" s="36" t="s">
        <v>55</v>
      </c>
    </row>
    <row r="18" spans="1:36" x14ac:dyDescent="0.2">
      <c r="B18" s="79"/>
      <c r="C18" s="56"/>
      <c r="D18" s="57"/>
      <c r="E18" s="58"/>
      <c r="F18" s="59"/>
      <c r="G18" s="60"/>
      <c r="H18" s="61"/>
      <c r="I18" s="62" t="e">
        <f>NA()</f>
        <v>#N/A</v>
      </c>
      <c r="J18" s="51" t="b">
        <v>0</v>
      </c>
      <c r="K18" s="61">
        <f>AVERAGE(_xll.ohFilter(K19:K21,J19:J21))</f>
        <v>2.1268090906189303E-7</v>
      </c>
      <c r="L18" s="61">
        <f>_xll.ohFilter($I$15:$I$18,$J$15:$J$18)-K18*_xll.ohFilter($P$15:$P$18,$J$15:$J$18)</f>
        <v>2.3508667127326533E-3</v>
      </c>
      <c r="M18" s="52"/>
      <c r="N18" s="53">
        <f t="shared" si="7"/>
        <v>-41855</v>
      </c>
      <c r="O18" s="53">
        <f t="shared" si="8"/>
        <v>-41855</v>
      </c>
      <c r="P18" s="52" t="e">
        <f t="shared" si="6"/>
        <v>#DIV/0!</v>
      </c>
      <c r="Q18" s="51"/>
      <c r="R18" s="51"/>
      <c r="S18" s="51"/>
      <c r="T18" s="54" t="e">
        <f t="shared" si="4"/>
        <v>#DIV/0!</v>
      </c>
      <c r="U18" s="54">
        <f t="shared" si="5"/>
        <v>-41855</v>
      </c>
      <c r="V18" s="54">
        <v>1</v>
      </c>
      <c r="X18" s="81">
        <f t="array" ref="X18:X20">_xll.ohFilter(T15:T24,$J15:$J24)</f>
        <v>11285.333333333332</v>
      </c>
      <c r="Y18" s="84">
        <f t="array" ref="Y18:Y20">_xll.ohFilter(U15:U24,$J15:$J24)</f>
        <v>92</v>
      </c>
      <c r="Z18" s="87">
        <f t="array" ref="Z18:Z20">_xll.ohFilter(V15:V24,$J15:$J24)</f>
        <v>1</v>
      </c>
      <c r="AB18" s="90">
        <f t="array" ref="AB18:AB20">MMULT(AF18:AH20,AD18:AD20)</f>
        <v>-6.5624769355327585E-9</v>
      </c>
      <c r="AD18" s="90">
        <f t="array" ref="AD18:AD20">_xll.ohFilter(I15:I24,$J15:$J24)</f>
        <v>2.3900000000000418E-3</v>
      </c>
      <c r="AF18" s="93">
        <f t="array" ref="AF18:AH20">MINVERSE(X18:Z20)</f>
        <v>5.027064904993562E-4</v>
      </c>
      <c r="AG18" s="94">
        <v>-9.5209562594575012E-4</v>
      </c>
      <c r="AH18" s="95">
        <v>4.4938913544639419E-4</v>
      </c>
      <c r="AJ18" s="102">
        <f t="array" ref="AJ18:AJ20">MMULT(X18:Z20,AB18:AB20)-AD18:AD20</f>
        <v>-2.6020852139652106E-18</v>
      </c>
    </row>
    <row r="19" spans="1:36" x14ac:dyDescent="0.2">
      <c r="A19" s="36">
        <v>1</v>
      </c>
      <c r="B19" s="79" t="str">
        <f>_xll.qlMakeDatedOIS(,E19,F19,OvernightIndex,0,,,,EvaluationDate)</f>
        <v>obj_003be#0000</v>
      </c>
      <c r="C19" s="56" t="b">
        <f>_xll.qlInstrumentSetPricingEngine(B19,OisEngine)</f>
        <v>1</v>
      </c>
      <c r="D19" s="64" t="str">
        <f t="shared" ref="D19:D24" si="9">Currency&amp;A19&amp;"x"&amp;A19+6&amp;"F"&amp;QuoteSuffix</f>
        <v>EUR1x7F_Quote</v>
      </c>
      <c r="E19" s="65">
        <f>_xll.qlCalendarAdvance(Calendar,SettlementDate,A19&amp;"M","mf")</f>
        <v>41886</v>
      </c>
      <c r="F19" s="66">
        <f>_xll.qlInterestRateIndexMaturity($A$17,E19)</f>
        <v>42067</v>
      </c>
      <c r="G19" s="67">
        <f>_xll.qlQuoteValue(D19,AllTriggers)</f>
        <v>3.1100000000000004E-3</v>
      </c>
      <c r="H19" s="68">
        <f>_xll.qlOvernightIndexedSwapFairRate(B19,_xll.ohTrigger(C19,InterestRatesTrigger))</f>
        <v>7.0509744093692501E-4</v>
      </c>
      <c r="I19" s="69">
        <f t="shared" si="1"/>
        <v>2.4049025590630753E-3</v>
      </c>
      <c r="J19" s="36" t="b">
        <f t="shared" ref="J19:J24" si="10">NOT(ISERROR(I19))</f>
        <v>1</v>
      </c>
      <c r="K19" s="68">
        <f>(I19-_xll.ohFilter($I$15:$I$18,$J$15:$J$18))/(P19-_xll.ohFilter($P$15:$P$18,$J$15:$J$18))</f>
        <v>2.5258574683107648E-7</v>
      </c>
      <c r="L19" s="68">
        <f>_xll.ohFilter($I$15:$I$18,$J$15:$J$18)-K19*_xll.ohFilter($P$15:$P$18,$J$15:$J$18)</f>
        <v>2.3435242225831238E-3</v>
      </c>
      <c r="M19" s="70"/>
      <c r="N19" s="71">
        <f t="shared" ref="N19:N27" si="11">E19-SettlementDate</f>
        <v>31</v>
      </c>
      <c r="O19" s="71">
        <f t="shared" ref="O19:O27" si="12">F19-SettlementDate</f>
        <v>212</v>
      </c>
      <c r="P19" s="70">
        <f t="shared" si="6"/>
        <v>243</v>
      </c>
      <c r="T19" s="72">
        <f t="shared" si="4"/>
        <v>17492.333333333336</v>
      </c>
      <c r="U19" s="72">
        <f t="shared" si="5"/>
        <v>121.5</v>
      </c>
      <c r="V19" s="72">
        <v>1</v>
      </c>
      <c r="X19" s="82">
        <v>17492.333333333336</v>
      </c>
      <c r="Y19" s="85">
        <v>121.5</v>
      </c>
      <c r="Z19" s="88">
        <v>1</v>
      </c>
      <c r="AA19" s="41" t="s">
        <v>56</v>
      </c>
      <c r="AB19" s="91">
        <v>1.8859611322672527E-6</v>
      </c>
      <c r="AC19" s="41" t="s">
        <v>57</v>
      </c>
      <c r="AD19" s="91">
        <v>2.4049025590630753E-3</v>
      </c>
      <c r="AF19" s="96">
        <v>-0.13967115886540699</v>
      </c>
      <c r="AG19" s="97">
        <v>0.23422567966933133</v>
      </c>
      <c r="AH19" s="98">
        <v>-9.4554520803924402E-2</v>
      </c>
      <c r="AJ19" s="103">
        <v>-3.903127820947816E-18</v>
      </c>
    </row>
    <row r="20" spans="1:36" x14ac:dyDescent="0.2">
      <c r="A20" s="36">
        <v>2</v>
      </c>
      <c r="B20" s="79" t="str">
        <f>_xll.qlMakeDatedOIS(,E20,F20,OvernightIndex,0,,,,EvaluationDate)</f>
        <v>obj_003c2#0000</v>
      </c>
      <c r="C20" s="56" t="b">
        <f>_xll.qlInstrumentSetPricingEngine(B20,OisEngine)</f>
        <v>1</v>
      </c>
      <c r="D20" s="64" t="str">
        <f t="shared" si="9"/>
        <v>EUR2x8F_Quote</v>
      </c>
      <c r="E20" s="65">
        <f>_xll.qlCalendarAdvance(Calendar,SettlementDate,A20&amp;"M","mf")</f>
        <v>41918</v>
      </c>
      <c r="F20" s="66">
        <f>_xll.qlInterestRateIndexMaturity($A$17,E20)</f>
        <v>42101</v>
      </c>
      <c r="G20" s="67">
        <f>_xll.qlQuoteValue(D20,AllTriggers)</f>
        <v>3.0900000000000007E-3</v>
      </c>
      <c r="H20" s="68">
        <f>_xll.qlOvernightIndexedSwapFairRate(B20,_xll.ohTrigger(C20,InterestRatesTrigger))</f>
        <v>6.8302988710169346E-4</v>
      </c>
      <c r="I20" s="69">
        <f t="shared" si="1"/>
        <v>2.4069701128983075E-3</v>
      </c>
      <c r="J20" s="36" t="b">
        <f t="shared" si="10"/>
        <v>1</v>
      </c>
      <c r="K20" s="68">
        <f>(I20-_xll.ohFilter($I$15:$I$18,$J$15:$J$18))/(P20-_xll.ohFilter($P$15:$P$18,$J$15:$J$18))</f>
        <v>1.3576090318612523E-7</v>
      </c>
      <c r="L20" s="68">
        <f>_xll.ohFilter($I$15:$I$18,$J$15:$J$18)-K20*_xll.ohFilter($P$15:$P$18,$J$15:$J$18)</f>
        <v>2.3650199938137946E-3</v>
      </c>
      <c r="M20" s="70"/>
      <c r="N20" s="71">
        <f t="shared" si="11"/>
        <v>63</v>
      </c>
      <c r="O20" s="71">
        <f t="shared" si="12"/>
        <v>246</v>
      </c>
      <c r="P20" s="70">
        <f t="shared" si="6"/>
        <v>309</v>
      </c>
      <c r="T20" s="72">
        <f t="shared" si="4"/>
        <v>26661</v>
      </c>
      <c r="U20" s="72">
        <f t="shared" si="5"/>
        <v>154.5</v>
      </c>
      <c r="V20" s="72">
        <v>1</v>
      </c>
      <c r="X20" s="83">
        <v>26661</v>
      </c>
      <c r="Y20" s="86">
        <v>154.5</v>
      </c>
      <c r="Z20" s="89">
        <v>1</v>
      </c>
      <c r="AB20" s="92">
        <v>2.2905513155412512E-3</v>
      </c>
      <c r="AD20" s="92">
        <v>2.4069701128983075E-3</v>
      </c>
      <c r="AF20" s="99">
        <v>8.1765363015020416</v>
      </c>
      <c r="AG20" s="100">
        <v>-10.804046025572047</v>
      </c>
      <c r="AH20" s="101">
        <v>3.627509724070006</v>
      </c>
      <c r="AJ20" s="104">
        <v>-4.7704895589362195E-18</v>
      </c>
    </row>
    <row r="21" spans="1:36" x14ac:dyDescent="0.2">
      <c r="A21" s="36">
        <v>3</v>
      </c>
      <c r="B21" s="79" t="str">
        <f>_xll.qlMakeDatedOIS(,E21,F21,OvernightIndex,0,,,,EvaluationDate)</f>
        <v>obj_003c1#0000</v>
      </c>
      <c r="C21" s="56" t="b">
        <f>_xll.qlInstrumentSetPricingEngine(B21,OisEngine)</f>
        <v>1</v>
      </c>
      <c r="D21" s="64" t="str">
        <f t="shared" si="9"/>
        <v>EUR3x9F_Quote</v>
      </c>
      <c r="E21" s="65">
        <f>_xll.qlCalendarAdvance(Calendar,SettlementDate,A21&amp;"M","mf")</f>
        <v>41947</v>
      </c>
      <c r="F21" s="66">
        <f>_xll.qlInterestRateIndexMaturity($A$17,E21)</f>
        <v>42128</v>
      </c>
      <c r="G21" s="67">
        <f>_xll.qlQuoteValue(D21,AllTriggers)</f>
        <v>3.0900000000000007E-3</v>
      </c>
      <c r="H21" s="68">
        <f>_xll.qlOvernightIndexedSwapFairRate(B21,_xll.ohTrigger(C21,InterestRatesTrigger))</f>
        <v>6.5480501003246461E-4</v>
      </c>
      <c r="I21" s="69">
        <f t="shared" si="1"/>
        <v>2.4351949899675362E-3</v>
      </c>
      <c r="J21" s="36" t="b">
        <f t="shared" si="10"/>
        <v>1</v>
      </c>
      <c r="K21" s="68">
        <f>(I21-_xll.ohFilter($I$15:$I$18,$J$15:$J$18))/(P21-_xll.ohFilter($P$15:$P$18,$J$15:$J$18))</f>
        <v>2.4969607716847737E-7</v>
      </c>
      <c r="L21" s="68">
        <f>_xll.ohFilter($I$15:$I$18,$J$15:$J$18)-K21*_xll.ohFilter($P$15:$P$18,$J$15:$J$18)</f>
        <v>2.344055921801042E-3</v>
      </c>
      <c r="M21" s="70"/>
      <c r="N21" s="71">
        <f t="shared" si="11"/>
        <v>92</v>
      </c>
      <c r="O21" s="71">
        <f t="shared" si="12"/>
        <v>273</v>
      </c>
      <c r="P21" s="70">
        <f t="shared" si="6"/>
        <v>365</v>
      </c>
      <c r="T21" s="72">
        <f t="shared" si="4"/>
        <v>36036.333333333328</v>
      </c>
      <c r="U21" s="72">
        <f t="shared" si="5"/>
        <v>182.5</v>
      </c>
      <c r="V21" s="72">
        <v>1</v>
      </c>
      <c r="X21" s="72"/>
      <c r="Y21" s="72"/>
      <c r="Z21" s="72"/>
      <c r="AD21" s="105"/>
    </row>
    <row r="22" spans="1:36" x14ac:dyDescent="0.2">
      <c r="A22" s="36">
        <v>4</v>
      </c>
      <c r="B22" s="79" t="str">
        <f>_xll.qlMakeDatedOIS(,E22,F22,OvernightIndex,0,,,,EvaluationDate)</f>
        <v>obj_003c5#0000</v>
      </c>
      <c r="C22" s="56" t="b">
        <f>_xll.qlInstrumentSetPricingEngine(B22,OisEngine)</f>
        <v>1</v>
      </c>
      <c r="D22" s="64" t="str">
        <f t="shared" si="9"/>
        <v>EUR4x10F_Quote</v>
      </c>
      <c r="E22" s="65">
        <f>_xll.qlCalendarAdvance(Calendar,SettlementDate,A22&amp;"M","mf")</f>
        <v>41977</v>
      </c>
      <c r="F22" s="66">
        <f>_xll.qlInterestRateIndexMaturity($A$17,E22)</f>
        <v>42159</v>
      </c>
      <c r="G22" s="67">
        <f>_xll.qlQuoteValue(D22,AllTriggers)</f>
        <v>3.0600000000000007E-3</v>
      </c>
      <c r="H22" s="68">
        <f>_xll.qlOvernightIndexedSwapFairRate(B22,_xll.ohTrigger(C22,InterestRatesTrigger))</f>
        <v>6.130455402629688E-4</v>
      </c>
      <c r="I22" s="69">
        <f t="shared" si="1"/>
        <v>2.4469544597370317E-3</v>
      </c>
      <c r="J22" s="36" t="b">
        <f t="shared" si="10"/>
        <v>1</v>
      </c>
      <c r="K22" s="68">
        <f>(I22-_xll.ohFilter($I$15:$I$18,$J$15:$J$18))/(P22-_xll.ohFilter($P$15:$P$18,$J$15:$J$18))</f>
        <v>2.3534900717764427E-7</v>
      </c>
      <c r="L22" s="68">
        <f>_xll.ohFilter($I$15:$I$18,$J$15:$J$18)-K22*_xll.ohFilter($P$15:$P$18,$J$15:$J$18)</f>
        <v>2.3466957826793551E-3</v>
      </c>
      <c r="M22" s="70"/>
      <c r="N22" s="71">
        <f t="shared" si="11"/>
        <v>122</v>
      </c>
      <c r="O22" s="71">
        <f t="shared" si="12"/>
        <v>304</v>
      </c>
      <c r="P22" s="70">
        <f t="shared" si="6"/>
        <v>426</v>
      </c>
      <c r="T22" s="72">
        <f t="shared" si="4"/>
        <v>48129.333333333328</v>
      </c>
      <c r="U22" s="72">
        <f t="shared" si="5"/>
        <v>213</v>
      </c>
      <c r="V22" s="72">
        <v>1</v>
      </c>
      <c r="X22" s="72"/>
      <c r="Y22" s="72"/>
      <c r="Z22" s="72"/>
      <c r="AD22" s="105"/>
    </row>
    <row r="23" spans="1:36" x14ac:dyDescent="0.2">
      <c r="A23" s="36">
        <v>5</v>
      </c>
      <c r="B23" s="79" t="str">
        <f>_xll.qlMakeDatedOIS(,E23,F23,OvernightIndex,0,,,,EvaluationDate)</f>
        <v>obj_003c0#0000</v>
      </c>
      <c r="C23" s="56" t="b">
        <f>_xll.qlInstrumentSetPricingEngine(B23,OisEngine)</f>
        <v>1</v>
      </c>
      <c r="D23" s="64" t="str">
        <f t="shared" si="9"/>
        <v>EUR5x11F_Quote</v>
      </c>
      <c r="E23" s="65">
        <f>_xll.qlCalendarAdvance(Calendar,SettlementDate,A23&amp;"M","mf")</f>
        <v>42009</v>
      </c>
      <c r="F23" s="66">
        <f>_xll.qlInterestRateIndexMaturity($A$17,E23)</f>
        <v>42191</v>
      </c>
      <c r="G23" s="67">
        <f>_xll.qlQuoteValue(D23,AllTriggers)</f>
        <v>3.0300000000000006E-3</v>
      </c>
      <c r="H23" s="68">
        <f>_xll.qlOvernightIndexedSwapFairRate(B23,_xll.ohTrigger(C23,InterestRatesTrigger))</f>
        <v>5.4214766889189444E-4</v>
      </c>
      <c r="I23" s="69">
        <f t="shared" si="1"/>
        <v>2.4878523311081062E-3</v>
      </c>
      <c r="J23" s="36" t="b">
        <f t="shared" si="10"/>
        <v>1</v>
      </c>
      <c r="K23" s="68">
        <f>(I23-_xll.ohFilter($I$15:$I$18,$J$15:$J$18))/(P23-_xll.ohFilter($P$15:$P$18,$J$15:$J$18))</f>
        <v>3.1977885983027584E-7</v>
      </c>
      <c r="L23" s="68">
        <f>_xll.ohFilter($I$15:$I$18,$J$15:$J$18)-K23*_xll.ohFilter($P$15:$P$18,$J$15:$J$18)</f>
        <v>2.3311606897912711E-3</v>
      </c>
      <c r="M23" s="70"/>
      <c r="N23" s="71">
        <f t="shared" si="11"/>
        <v>154</v>
      </c>
      <c r="O23" s="71">
        <f t="shared" si="12"/>
        <v>336</v>
      </c>
      <c r="P23" s="70">
        <f t="shared" si="6"/>
        <v>490</v>
      </c>
      <c r="T23" s="72">
        <f t="shared" si="4"/>
        <v>62785.333333333328</v>
      </c>
      <c r="U23" s="72">
        <f t="shared" si="5"/>
        <v>245</v>
      </c>
      <c r="V23" s="72">
        <v>1</v>
      </c>
      <c r="X23" s="72"/>
      <c r="Y23" s="72"/>
      <c r="Z23" s="72"/>
      <c r="AD23" s="105"/>
    </row>
    <row r="24" spans="1:36" x14ac:dyDescent="0.2">
      <c r="A24" s="36">
        <v>6</v>
      </c>
      <c r="B24" s="79" t="str">
        <f>_xll.qlMakeDatedOIS(,E24,F24,OvernightIndex,0,,,,EvaluationDate)</f>
        <v>obj_003bc#0000</v>
      </c>
      <c r="C24" s="56" t="b">
        <f>_xll.qlInstrumentSetPricingEngine(B24,OisEngine)</f>
        <v>1</v>
      </c>
      <c r="D24" s="64" t="str">
        <f t="shared" si="9"/>
        <v>EUR6x12F_Quote</v>
      </c>
      <c r="E24" s="65">
        <f>_xll.qlCalendarAdvance(Calendar,SettlementDate,A24&amp;"M","mf")</f>
        <v>42039</v>
      </c>
      <c r="F24" s="66">
        <f>_xll.qlInterestRateIndexMaturity($A$17,E24)</f>
        <v>42220</v>
      </c>
      <c r="G24" s="67">
        <f>_xll.qlQuoteValue(D24,AllTriggers)</f>
        <v>3.0200000000000005E-3</v>
      </c>
      <c r="H24" s="68">
        <f>_xll.qlOvernightIndexedSwapFairRate(B24,_xll.ohTrigger(C24,InterestRatesTrigger))</f>
        <v>5.2865874229903495E-4</v>
      </c>
      <c r="I24" s="69">
        <f t="shared" si="1"/>
        <v>2.4913412577009658E-3</v>
      </c>
      <c r="J24" s="36" t="b">
        <f t="shared" si="10"/>
        <v>1</v>
      </c>
      <c r="K24" s="68">
        <f>(I24-_xll.ohFilter($I$15:$I$18,$J$15:$J$18))/(P24-_xll.ohFilter($P$15:$P$18,$J$15:$J$18))</f>
        <v>2.7764728137239447E-7</v>
      </c>
      <c r="L24" s="68">
        <f>_xll.ohFilter($I$15:$I$18,$J$15:$J$18)-K24*_xll.ohFilter($P$15:$P$18,$J$15:$J$18)</f>
        <v>2.3389129002275213E-3</v>
      </c>
      <c r="M24" s="70"/>
      <c r="N24" s="71">
        <f t="shared" si="11"/>
        <v>184</v>
      </c>
      <c r="O24" s="71">
        <f t="shared" si="12"/>
        <v>365</v>
      </c>
      <c r="P24" s="70">
        <f t="shared" si="6"/>
        <v>549</v>
      </c>
      <c r="T24" s="72">
        <f t="shared" si="4"/>
        <v>78080.333333333343</v>
      </c>
      <c r="U24" s="72">
        <f t="shared" si="5"/>
        <v>274.5</v>
      </c>
      <c r="V24" s="72">
        <v>1</v>
      </c>
    </row>
    <row r="25" spans="1:36" x14ac:dyDescent="0.2">
      <c r="A25" s="36">
        <v>12</v>
      </c>
      <c r="B25" s="43" t="str">
        <f>_xll.qlMakeDatedOIS(,E25,F25,OvernightIndex,0,,,,EvaluationDate)</f>
        <v>obj_003c6#0000</v>
      </c>
      <c r="C25" s="44" t="b">
        <f>_xll.qlInstrumentSetPricingEngine(B25,OisEngine)</f>
        <v>1</v>
      </c>
      <c r="D25" s="45" t="str">
        <f>Currency&amp;A26&amp;"D_Quote"</f>
        <v>EUR1YD_Quote</v>
      </c>
      <c r="E25" s="46">
        <f>SettlementDate</f>
        <v>41855</v>
      </c>
      <c r="F25" s="47">
        <f>_xll.qlCalendarAdvance(Calendar,E25,A26,"mf")</f>
        <v>42220</v>
      </c>
      <c r="G25" s="48">
        <f>_xll.qlQuoteValue($D25,AllTriggers)</f>
        <v>4.8999999999999998E-3</v>
      </c>
      <c r="H25" s="49">
        <f>_xll.qlOvernightIndexedSwapFairRate(B25,_xll.ohTrigger(C25,InterestRatesTrigger))</f>
        <v>5.999999997733207E-4</v>
      </c>
      <c r="I25" s="50">
        <f t="shared" si="1"/>
        <v>4.3000000002266789E-3</v>
      </c>
      <c r="J25" s="51" t="b">
        <v>0</v>
      </c>
      <c r="K25" s="51"/>
      <c r="L25" s="51"/>
      <c r="M25" s="52"/>
      <c r="N25" s="53">
        <f t="shared" si="11"/>
        <v>0</v>
      </c>
      <c r="O25" s="53">
        <f t="shared" si="12"/>
        <v>365</v>
      </c>
      <c r="P25" s="52">
        <f t="shared" si="6"/>
        <v>365</v>
      </c>
      <c r="Q25" s="51"/>
      <c r="R25" s="51"/>
      <c r="S25" s="51"/>
      <c r="T25" s="54">
        <f t="shared" si="4"/>
        <v>44408.333333333328</v>
      </c>
      <c r="U25" s="54">
        <f t="shared" si="5"/>
        <v>182.5</v>
      </c>
      <c r="V25" s="54">
        <v>1</v>
      </c>
    </row>
    <row r="26" spans="1:36" x14ac:dyDescent="0.2">
      <c r="A26" s="36" t="str">
        <f>_xll.qlPeriodEquivalent(A25&amp;"M")</f>
        <v>1Y</v>
      </c>
      <c r="B26" s="79" t="str">
        <f>_xll.qlMakeDatedOIS(,E26,F26,OvernightIndex,0,,,,EvaluationDate)</f>
        <v>obj_00349#0002</v>
      </c>
      <c r="C26" s="56" t="b">
        <f>_xll.qlInstrumentSetPricingEngine(B26,OisEngine)</f>
        <v>1</v>
      </c>
      <c r="D26" s="57" t="str">
        <f>PROPER(Currency&amp;IborType)&amp;A26&amp;"LastFixing_Quote"</f>
        <v>Euribor1YLastFixing_Quote</v>
      </c>
      <c r="E26" s="58">
        <f>_xll.qlCalendarAdvance(Calendar,_xll.qlLastFixingQuoteReferenceDate(D26),_xll.qlInterestRateIndexFixingDays(A27)&amp;"D","f",,LastFixingsTrigger)</f>
        <v>41855</v>
      </c>
      <c r="F26" s="59">
        <f>_xll.qlInterestRateIndexMaturity(A27,E26)</f>
        <v>42220</v>
      </c>
      <c r="G26" s="60">
        <f>_xll.qlQuoteValue(D26,AllTriggers)</f>
        <v>4.8900000000000002E-3</v>
      </c>
      <c r="H26" s="61">
        <f>_xll.qlOvernightIndexedSwapFairRate(B26,_xll.ohTrigger(C26,InterestRatesTrigger))</f>
        <v>5.999999997733207E-4</v>
      </c>
      <c r="I26" s="62">
        <f t="shared" si="1"/>
        <v>4.2900000002266793E-3</v>
      </c>
      <c r="J26" s="51" t="b">
        <f>NOT(ISERROR(I26))</f>
        <v>1</v>
      </c>
      <c r="K26" s="63">
        <f>K27</f>
        <v>2.6024879631009912E-7</v>
      </c>
      <c r="L26" s="61">
        <f>_xll.ohFilter($I$25:$I$26,$J$25:$J$26)-K26*_xll.ohFilter($P$25:$P$26,$J$25:$J$26)</f>
        <v>4.1950091895734927E-3</v>
      </c>
      <c r="M26" s="52"/>
      <c r="N26" s="53">
        <f t="shared" si="11"/>
        <v>0</v>
      </c>
      <c r="O26" s="53">
        <f t="shared" si="12"/>
        <v>365</v>
      </c>
      <c r="P26" s="52">
        <f t="shared" si="6"/>
        <v>365</v>
      </c>
      <c r="Q26" s="51"/>
      <c r="R26" s="51"/>
      <c r="S26" s="51"/>
      <c r="T26" s="54">
        <f t="shared" si="4"/>
        <v>44408.333333333328</v>
      </c>
      <c r="U26" s="54">
        <f t="shared" si="5"/>
        <v>182.5</v>
      </c>
      <c r="V26" s="54">
        <v>1</v>
      </c>
    </row>
    <row r="27" spans="1:36" x14ac:dyDescent="0.2">
      <c r="A27" s="36" t="str">
        <f>PROPER(Currency)&amp;IborType&amp;SynthDepo!A26</f>
        <v>Euribor1Y</v>
      </c>
      <c r="B27" s="79" t="str">
        <f>_xll.qlMakeDatedOIS(,E27,F27,OvernightIndex,0,,,,EvaluationDate)</f>
        <v>obj_003bb#0000</v>
      </c>
      <c r="C27" s="56" t="b">
        <f>_xll.qlInstrumentSetPricingEngine(B27,OisEngine)</f>
        <v>1</v>
      </c>
      <c r="D27" s="64" t="str">
        <f>Currency&amp;"12x24F"&amp;QuoteSuffix</f>
        <v>EUR12x24F_Quote</v>
      </c>
      <c r="E27" s="65">
        <f>_xll.qlCalendarAdvance(Calendar,SettlementDate,"12M","mf")</f>
        <v>42220</v>
      </c>
      <c r="F27" s="66">
        <f>_xll.qlInterestRateIndexMaturity(A27,E27)</f>
        <v>42586</v>
      </c>
      <c r="G27" s="67">
        <f>_xll.qlQuoteValue(D27,AllTriggers)</f>
        <v>5.3400000000000001E-3</v>
      </c>
      <c r="H27" s="68">
        <f>_xll.qlOvernightIndexedSwapFairRate(B27,_xll.ohTrigger(C27,InterestRatesTrigger))</f>
        <v>8.5975812967063856E-4</v>
      </c>
      <c r="I27" s="69">
        <f t="shared" si="1"/>
        <v>4.4802418703293618E-3</v>
      </c>
      <c r="J27" s="36" t="b">
        <f>NOT(ISERROR(I27))</f>
        <v>1</v>
      </c>
      <c r="K27" s="68">
        <f>(I27-_xll.ohFilter($I$25:$I$26,$J$25:$J$26))/(P27-_xll.ohFilter($P$25:$P$26,$J$25:$J$26))</f>
        <v>2.6024879631009912E-7</v>
      </c>
      <c r="L27" s="68">
        <f>_xll.ohFilter($I$25:$I$26,$J$25:$J$26)-K27*_xll.ohFilter($P$25:$P$26,$J$25:$J$26)</f>
        <v>4.1950091895734927E-3</v>
      </c>
      <c r="M27" s="70"/>
      <c r="N27" s="71">
        <f t="shared" si="11"/>
        <v>365</v>
      </c>
      <c r="O27" s="71">
        <f t="shared" si="12"/>
        <v>731</v>
      </c>
      <c r="P27" s="70">
        <f t="shared" si="6"/>
        <v>1096</v>
      </c>
      <c r="T27" s="72">
        <f t="shared" si="4"/>
        <v>311467</v>
      </c>
      <c r="U27" s="72">
        <f t="shared" si="5"/>
        <v>548</v>
      </c>
      <c r="V27" s="72">
        <v>1</v>
      </c>
    </row>
    <row r="28" spans="1:36" x14ac:dyDescent="0.2">
      <c r="B28" s="106"/>
      <c r="C28" s="106"/>
      <c r="D28" s="107" t="e">
        <f>_xll.qlRateHelperQuoteName(D2)</f>
        <v>#NUM!</v>
      </c>
      <c r="E28" s="107"/>
      <c r="F28" s="107"/>
      <c r="G28" s="107"/>
      <c r="H28" s="107"/>
      <c r="I28" s="108"/>
      <c r="O28" s="109"/>
      <c r="U28" s="109"/>
      <c r="V28" s="109"/>
      <c r="W28" s="109"/>
      <c r="X28" s="109"/>
      <c r="Y28" s="109"/>
      <c r="Z28" s="109"/>
      <c r="AC28" s="109"/>
    </row>
    <row r="29" spans="1:36" x14ac:dyDescent="0.2">
      <c r="G29" s="41" t="s">
        <v>58</v>
      </c>
      <c r="H29" s="41" t="s">
        <v>58</v>
      </c>
      <c r="I29" s="41" t="s">
        <v>58</v>
      </c>
      <c r="J29" s="41" t="s">
        <v>58</v>
      </c>
      <c r="AC29" s="36" t="s">
        <v>58</v>
      </c>
      <c r="AD29" s="36" t="s">
        <v>143</v>
      </c>
      <c r="AE29" s="36" t="s">
        <v>144</v>
      </c>
    </row>
    <row r="30" spans="1:36" x14ac:dyDescent="0.2">
      <c r="A30" s="110"/>
      <c r="B30" s="110"/>
      <c r="C30" s="110"/>
      <c r="D30" s="110"/>
      <c r="E30" s="110"/>
      <c r="F30" s="110"/>
      <c r="G30" s="41" t="b">
        <v>0</v>
      </c>
      <c r="H30" s="41" t="b">
        <v>0</v>
      </c>
      <c r="I30" s="41" t="b">
        <v>0</v>
      </c>
      <c r="J30" s="41" t="b">
        <v>0</v>
      </c>
      <c r="M30" s="36" t="s">
        <v>59</v>
      </c>
      <c r="O30" s="41" t="b">
        <v>1</v>
      </c>
      <c r="P30" s="41" t="b">
        <v>1</v>
      </c>
      <c r="S30" s="111" t="s">
        <v>59</v>
      </c>
      <c r="T30" s="112">
        <f>AB9</f>
        <v>1.6101130882138433E-7</v>
      </c>
      <c r="U30" s="113">
        <f>AB18</f>
        <v>-6.5624769355327585E-9</v>
      </c>
      <c r="AB30" s="378">
        <f>SettlementDate</f>
        <v>41855</v>
      </c>
      <c r="AC30" s="105">
        <f>$H$32</f>
        <v>1.4200000002550551E-3</v>
      </c>
      <c r="AD30" s="105">
        <f t="shared" ref="AD30:AD61" si="13">$O$32+$O$31*(AB30-SettlementDate)</f>
        <v>1.4593287510561985E-3</v>
      </c>
      <c r="AE30" s="105">
        <f t="shared" ref="AE30:AE61" si="14">$T$32+$T$31*(AB30-SettlementDate)+$T$30*(AB30-SettlementDate)^2</f>
        <v>1.9226329450020654E-3</v>
      </c>
    </row>
    <row r="31" spans="1:36" x14ac:dyDescent="0.2">
      <c r="D31" s="36">
        <v>4</v>
      </c>
      <c r="E31" s="42"/>
      <c r="F31" s="42" t="s">
        <v>60</v>
      </c>
      <c r="G31" s="114">
        <f>_xll.ohFilter(I2:I3,J2:J3)</f>
        <v>3.1000000020976195E-4</v>
      </c>
      <c r="H31" s="115">
        <f>_xll.ohFilter(I6:I9,J6:J9)</f>
        <v>1.4200000002550551E-3</v>
      </c>
      <c r="I31" s="115">
        <f>_xll.ohFilter(I15:I18,J15:J18)</f>
        <v>2.3900000000000418E-3</v>
      </c>
      <c r="J31" s="116">
        <f>_xll.ohFilter(I25:I26,J25:J26)</f>
        <v>4.2900000002266793E-3</v>
      </c>
      <c r="M31" s="41" t="s">
        <v>47</v>
      </c>
      <c r="N31" s="105">
        <f>K4</f>
        <v>-6.2567969598846715E-7</v>
      </c>
      <c r="O31" s="105">
        <f>K9</f>
        <v>-4.2748642175155842E-7</v>
      </c>
      <c r="P31" s="105">
        <f>AVERAGE(K19:K21)</f>
        <v>2.1268090906189303E-7</v>
      </c>
      <c r="Q31" s="105">
        <f>K26</f>
        <v>2.6024879631009912E-7</v>
      </c>
      <c r="R31" s="105"/>
      <c r="S31" s="117" t="s">
        <v>47</v>
      </c>
      <c r="T31" s="118">
        <f>AB10</f>
        <v>-2.0802163421052429E-5</v>
      </c>
      <c r="U31" s="69">
        <f>AB19</f>
        <v>1.8859611322672527E-6</v>
      </c>
      <c r="AB31" s="378">
        <f>_xll.qlCalendarAdvance(Calendar,AB30,"1d","mf")</f>
        <v>41856</v>
      </c>
      <c r="AC31" s="105">
        <f t="shared" ref="AC31:AC94" si="15">$H$32</f>
        <v>1.4200000002550551E-3</v>
      </c>
      <c r="AD31" s="105">
        <f t="shared" si="13"/>
        <v>1.458901264634447E-3</v>
      </c>
      <c r="AE31" s="105">
        <f t="shared" si="14"/>
        <v>1.9019917928898343E-3</v>
      </c>
    </row>
    <row r="32" spans="1:36" x14ac:dyDescent="0.2">
      <c r="E32" s="42"/>
      <c r="F32" s="42" t="s">
        <v>61</v>
      </c>
      <c r="G32" s="114">
        <f>IF(G31&lt;H31,G31,H31)</f>
        <v>3.1000000020976195E-4</v>
      </c>
      <c r="H32" s="115">
        <f>H31</f>
        <v>1.4200000002550551E-3</v>
      </c>
      <c r="I32" s="115">
        <f>IF(I31&lt;H31,H31,I31)</f>
        <v>2.3900000000000418E-3</v>
      </c>
      <c r="J32" s="116">
        <f>IF(J31&lt;I31,I31,J31)</f>
        <v>4.2900000002266793E-3</v>
      </c>
      <c r="M32" s="41" t="s">
        <v>48</v>
      </c>
      <c r="N32" s="105">
        <f>L4</f>
        <v>3.2939607078540442E-4</v>
      </c>
      <c r="O32" s="105">
        <f>L9</f>
        <v>1.4593287510561985E-3</v>
      </c>
      <c r="P32" s="105">
        <f>L18</f>
        <v>2.3508667127326533E-3</v>
      </c>
      <c r="Q32" s="105">
        <f>L26</f>
        <v>4.1950091895734927E-3</v>
      </c>
      <c r="R32" s="105"/>
      <c r="S32" s="117" t="s">
        <v>48</v>
      </c>
      <c r="T32" s="118">
        <f>AB11</f>
        <v>1.9226329450020654E-3</v>
      </c>
      <c r="U32" s="69">
        <f>AB20</f>
        <v>2.2905513155412512E-3</v>
      </c>
      <c r="AB32" s="378">
        <f>_xll.qlCalendarAdvance(Calendar,AB31,"1d","mf")</f>
        <v>41857</v>
      </c>
      <c r="AC32" s="105">
        <f t="shared" si="15"/>
        <v>1.4200000002550551E-3</v>
      </c>
      <c r="AD32" s="105">
        <f t="shared" si="13"/>
        <v>1.4584737782126955E-3</v>
      </c>
      <c r="AE32" s="105">
        <f t="shared" si="14"/>
        <v>1.8816726633952461E-3</v>
      </c>
    </row>
    <row r="33" spans="2:31" x14ac:dyDescent="0.2">
      <c r="B33" s="37" t="s">
        <v>40</v>
      </c>
      <c r="C33" s="38"/>
      <c r="D33" s="37" t="s">
        <v>41</v>
      </c>
      <c r="E33" s="38" t="s">
        <v>42</v>
      </c>
      <c r="F33" s="39" t="s">
        <v>43</v>
      </c>
      <c r="G33" s="37" t="s">
        <v>62</v>
      </c>
      <c r="H33" s="38" t="s">
        <v>63</v>
      </c>
      <c r="I33" s="38" t="s">
        <v>64</v>
      </c>
      <c r="J33" s="40" t="s">
        <v>32</v>
      </c>
      <c r="K33" s="37" t="s">
        <v>65</v>
      </c>
      <c r="L33" s="40" t="s">
        <v>45</v>
      </c>
      <c r="N33" s="37" t="s">
        <v>62</v>
      </c>
      <c r="O33" s="38" t="s">
        <v>63</v>
      </c>
      <c r="P33" s="38" t="s">
        <v>64</v>
      </c>
      <c r="Q33" s="40" t="s">
        <v>32</v>
      </c>
      <c r="R33" s="38"/>
      <c r="S33" s="119"/>
      <c r="T33" s="38" t="s">
        <v>63</v>
      </c>
      <c r="U33" s="40" t="s">
        <v>64</v>
      </c>
      <c r="AB33" s="378">
        <f>_xll.qlCalendarAdvance(Calendar,AB32,"1d","mf")</f>
        <v>41858</v>
      </c>
      <c r="AC33" s="105">
        <f t="shared" si="15"/>
        <v>1.4200000002550551E-3</v>
      </c>
      <c r="AD33" s="105">
        <f t="shared" si="13"/>
        <v>1.4580462917909438E-3</v>
      </c>
      <c r="AE33" s="105">
        <f t="shared" si="14"/>
        <v>1.8616755565183005E-3</v>
      </c>
    </row>
    <row r="34" spans="2:31" x14ac:dyDescent="0.2">
      <c r="B34" s="43" t="str">
        <f>_xll.qlMakeDatedOIS(,E34,F34,OvernightIndex,0,,,,EvaluationDate)</f>
        <v>obj_003b5#0000</v>
      </c>
      <c r="C34" s="106" t="b">
        <f>_xll.qlInstrumentSetPricingEngine(B34,OisEngine)</f>
        <v>1</v>
      </c>
      <c r="D34" s="120" t="s">
        <v>66</v>
      </c>
      <c r="E34" s="121">
        <f t="shared" ref="E34:E49" si="16">SettlementDate</f>
        <v>41855</v>
      </c>
      <c r="F34" s="122">
        <f>_xll.qlCalendarAdvance(Calendar,SettlementDate,D34,"Following")</f>
        <v>41856</v>
      </c>
      <c r="G34" s="123">
        <f t="shared" ref="G34:J49" si="17">$L34+IF(G$30,G$32,N34)</f>
        <v>8.287703883348976E-4</v>
      </c>
      <c r="H34" s="123">
        <f t="shared" si="17"/>
        <v>2.4122855309732945E-3</v>
      </c>
      <c r="I34" s="123">
        <f t="shared" si="17"/>
        <v>2.7914921058605547E-3</v>
      </c>
      <c r="J34" s="123">
        <f t="shared" si="17"/>
        <v>4.6952694356152845E-3</v>
      </c>
      <c r="K34" s="272">
        <f t="shared" ref="K34:K49" si="18">F34-SettlementDate</f>
        <v>1</v>
      </c>
      <c r="L34" s="125">
        <f>_xll.qlOvernightIndexedSwapFairRate(B34,_xll.ohTrigger(C34,InterestRatesTrigger))</f>
        <v>4.9999999724548161E-4</v>
      </c>
      <c r="N34" s="126">
        <f>N$31*$K34+N$32</f>
        <v>3.2877039108941594E-4</v>
      </c>
      <c r="O34" s="118">
        <f t="shared" ref="O34:P40" si="19">IF(O$30,T34,O$31*$K34+O$32)</f>
        <v>1.9122855337278129E-3</v>
      </c>
      <c r="P34" s="118">
        <f t="shared" si="19"/>
        <v>2.2914921086150731E-3</v>
      </c>
      <c r="Q34" s="69">
        <f t="shared" ref="Q34:Q49" si="20">Q$31*$K34+Q$32</f>
        <v>4.1952694383698029E-3</v>
      </c>
      <c r="R34" s="118"/>
      <c r="S34" s="127" t="s">
        <v>66</v>
      </c>
      <c r="T34" s="118">
        <f t="shared" ref="T34:U40" si="21">$K34*$K34/3*T$30+$K34/2*T$31+T$32</f>
        <v>1.9122855337278129E-3</v>
      </c>
      <c r="U34" s="69">
        <f t="shared" si="21"/>
        <v>2.2914921086150731E-3</v>
      </c>
      <c r="AB34" s="378">
        <f>_xll.qlCalendarAdvance(Calendar,AB33,"1d","mf")</f>
        <v>41859</v>
      </c>
      <c r="AC34" s="105">
        <f t="shared" si="15"/>
        <v>1.4200000002550551E-3</v>
      </c>
      <c r="AD34" s="105">
        <f t="shared" si="13"/>
        <v>1.4576188053691923E-3</v>
      </c>
      <c r="AE34" s="105">
        <f t="shared" si="14"/>
        <v>1.8420004722589979E-3</v>
      </c>
    </row>
    <row r="35" spans="2:31" x14ac:dyDescent="0.2">
      <c r="B35" s="79" t="str">
        <f>_xll.qlMakeDatedOIS(,E35,F35,OvernightIndex,0,,,,EvaluationDate)</f>
        <v>obj_003ab#0000</v>
      </c>
      <c r="C35" s="70" t="b">
        <f>_xll.qlInstrumentSetPricingEngine(B35,OisEngine)</f>
        <v>1</v>
      </c>
      <c r="D35" s="128" t="s">
        <v>67</v>
      </c>
      <c r="E35" s="65">
        <f t="shared" si="16"/>
        <v>41855</v>
      </c>
      <c r="F35" s="129">
        <f>_xll.qlCalendarAdvance(Calendar,SettlementDate,D35,"Following")</f>
        <v>41862</v>
      </c>
      <c r="G35" s="123">
        <f t="shared" si="17"/>
        <v>6.8501631106817869E-4</v>
      </c>
      <c r="H35" s="123">
        <f t="shared" si="17"/>
        <v>2.2124552225604912E-3</v>
      </c>
      <c r="I35" s="123">
        <f t="shared" si="17"/>
        <v>2.6570449905355996E-3</v>
      </c>
      <c r="J35" s="123">
        <f t="shared" si="17"/>
        <v>4.5568309293023569E-3</v>
      </c>
      <c r="K35" s="130">
        <f t="shared" si="18"/>
        <v>7</v>
      </c>
      <c r="L35" s="131">
        <f>_xll.qlOvernightIndexedSwapFairRate(B35,_xll.ohTrigger(C35,InterestRatesTrigger))</f>
        <v>3.5999999815469356E-4</v>
      </c>
      <c r="N35" s="126">
        <f>N$31*$K35+N$32</f>
        <v>3.2501631291348513E-4</v>
      </c>
      <c r="O35" s="118">
        <f t="shared" si="19"/>
        <v>1.8524552244057978E-3</v>
      </c>
      <c r="P35" s="118">
        <f t="shared" si="19"/>
        <v>2.297044992380906E-3</v>
      </c>
      <c r="Q35" s="69">
        <f t="shared" si="20"/>
        <v>4.1968309311476637E-3</v>
      </c>
      <c r="R35" s="118"/>
      <c r="S35" s="132" t="s">
        <v>67</v>
      </c>
      <c r="T35" s="118">
        <f t="shared" si="21"/>
        <v>1.8524552244057978E-3</v>
      </c>
      <c r="U35" s="69">
        <f t="shared" si="21"/>
        <v>2.297044992380906E-3</v>
      </c>
      <c r="AB35" s="378">
        <f>_xll.qlCalendarAdvance(Calendar,AB34,"1d","mf")</f>
        <v>41862</v>
      </c>
      <c r="AC35" s="105">
        <f t="shared" si="15"/>
        <v>1.4200000002550551E-3</v>
      </c>
      <c r="AD35" s="105">
        <f t="shared" si="13"/>
        <v>1.4563363461039375E-3</v>
      </c>
      <c r="AE35" s="105">
        <f t="shared" si="14"/>
        <v>1.7849073551869461E-3</v>
      </c>
    </row>
    <row r="36" spans="2:31" x14ac:dyDescent="0.2">
      <c r="B36" s="79" t="str">
        <f>_xll.qlMakeDatedOIS(,E36,F36,OvernightIndex,0,,,,EvaluationDate)</f>
        <v>obj_003b6#0000</v>
      </c>
      <c r="C36" s="70" t="b">
        <f>_xll.qlInstrumentSetPricingEngine(B36,OisEngine)</f>
        <v>1</v>
      </c>
      <c r="D36" s="128" t="s">
        <v>68</v>
      </c>
      <c r="E36" s="65">
        <f t="shared" si="16"/>
        <v>41855</v>
      </c>
      <c r="F36" s="129">
        <f>_xll.qlCalendarAdvance(Calendar,SettlementDate,D36,"Following")</f>
        <v>41869</v>
      </c>
      <c r="G36" s="123">
        <f t="shared" si="17"/>
        <v>7.6063655422567487E-4</v>
      </c>
      <c r="H36" s="123">
        <f t="shared" si="17"/>
        <v>2.2275372057484711E-3</v>
      </c>
      <c r="I36" s="123">
        <f t="shared" si="17"/>
        <v>2.7433242941581094E-3</v>
      </c>
      <c r="J36" s="123">
        <f t="shared" si="17"/>
        <v>4.6386526719059424E-3</v>
      </c>
      <c r="K36" s="130">
        <f t="shared" si="18"/>
        <v>14</v>
      </c>
      <c r="L36" s="131">
        <f>_xll.qlOvernightIndexedSwapFairRate(B36,_xll.ohTrigger(C36,InterestRatesTrigger))</f>
        <v>4.3999999918410899E-4</v>
      </c>
      <c r="N36" s="126">
        <f>N$31*$K36+N$32</f>
        <v>3.2063655504156589E-4</v>
      </c>
      <c r="O36" s="118">
        <f t="shared" si="19"/>
        <v>1.7875372065643623E-3</v>
      </c>
      <c r="P36" s="118">
        <f t="shared" si="19"/>
        <v>2.3033242949740003E-3</v>
      </c>
      <c r="Q36" s="69">
        <f t="shared" si="20"/>
        <v>4.1986526727218337E-3</v>
      </c>
      <c r="R36" s="118"/>
      <c r="S36" s="132" t="s">
        <v>68</v>
      </c>
      <c r="T36" s="118">
        <f t="shared" si="21"/>
        <v>1.7875372065643623E-3</v>
      </c>
      <c r="U36" s="69">
        <f t="shared" si="21"/>
        <v>2.3033242949740003E-3</v>
      </c>
      <c r="AB36" s="378">
        <f>_xll.qlCalendarAdvance(Calendar,AB35,"1d","mf")</f>
        <v>41863</v>
      </c>
      <c r="AC36" s="105">
        <f t="shared" si="15"/>
        <v>1.4200000002550551E-3</v>
      </c>
      <c r="AD36" s="105">
        <f t="shared" si="13"/>
        <v>1.455908859682186E-3</v>
      </c>
      <c r="AE36" s="105">
        <f t="shared" si="14"/>
        <v>1.7665203613982145E-3</v>
      </c>
    </row>
    <row r="37" spans="2:31" x14ac:dyDescent="0.2">
      <c r="B37" s="133" t="str">
        <f>_xll.qlMakeDatedOIS(,E37,F37,OvernightIndex,0,,,,EvaluationDate)</f>
        <v>obj_003b8#0000</v>
      </c>
      <c r="C37" s="134" t="b">
        <f>_xll.qlInstrumentSetPricingEngine(B37,OisEngine)</f>
        <v>1</v>
      </c>
      <c r="D37" s="135" t="s">
        <v>69</v>
      </c>
      <c r="E37" s="136">
        <f t="shared" si="16"/>
        <v>41855</v>
      </c>
      <c r="F37" s="137">
        <f>_xll.qlCalendarAdvance(Calendar,SettlementDate,D37,"Following")</f>
        <v>41876</v>
      </c>
      <c r="G37" s="138">
        <f t="shared" si="17"/>
        <v>8.0625679678136017E-4</v>
      </c>
      <c r="H37" s="138">
        <f t="shared" si="17"/>
        <v>2.2178788910894717E-3</v>
      </c>
      <c r="I37" s="138">
        <f t="shared" si="17"/>
        <v>2.7993892229322475E-3</v>
      </c>
      <c r="J37" s="138">
        <f t="shared" si="17"/>
        <v>4.690474413907718E-3</v>
      </c>
      <c r="K37" s="139">
        <f t="shared" si="18"/>
        <v>21</v>
      </c>
      <c r="L37" s="140">
        <f>_xll.qlOvernightIndexedSwapFairRate(B37,_xll.ohTrigger(C37,InterestRatesTrigger))</f>
        <v>4.8999999961171358E-4</v>
      </c>
      <c r="N37" s="141">
        <f>N$31*$K37+N$32</f>
        <v>3.1625679716964659E-4</v>
      </c>
      <c r="O37" s="142">
        <f t="shared" si="19"/>
        <v>1.7278788914777583E-3</v>
      </c>
      <c r="P37" s="142">
        <f t="shared" si="19"/>
        <v>2.3093892233205342E-3</v>
      </c>
      <c r="Q37" s="143">
        <f t="shared" si="20"/>
        <v>4.2004744142960047E-3</v>
      </c>
      <c r="R37" s="142"/>
      <c r="S37" s="144" t="s">
        <v>69</v>
      </c>
      <c r="T37" s="142">
        <f t="shared" si="21"/>
        <v>1.7278788914777583E-3</v>
      </c>
      <c r="U37" s="143">
        <f t="shared" si="21"/>
        <v>2.3093892233205342E-3</v>
      </c>
      <c r="AB37" s="378">
        <f>_xll.qlCalendarAdvance(Calendar,AB36,"1d","mf")</f>
        <v>41864</v>
      </c>
      <c r="AC37" s="105">
        <f t="shared" si="15"/>
        <v>1.4200000002550551E-3</v>
      </c>
      <c r="AD37" s="105">
        <f t="shared" si="13"/>
        <v>1.4554813732604345E-3</v>
      </c>
      <c r="AE37" s="105">
        <f t="shared" si="14"/>
        <v>1.7484553902271257E-3</v>
      </c>
    </row>
    <row r="38" spans="2:31" x14ac:dyDescent="0.2">
      <c r="B38" s="79" t="str">
        <f>_xll.qlMakeDatedOIS(,E38,F38,OvernightIndex,0,,,,EvaluationDate)</f>
        <v>obj_003a6#0000</v>
      </c>
      <c r="C38" s="70" t="b">
        <f>_xll.qlInstrumentSetPricingEngine(B38,OisEngine)</f>
        <v>1</v>
      </c>
      <c r="D38" s="128" t="s">
        <v>62</v>
      </c>
      <c r="E38" s="65">
        <f t="shared" si="16"/>
        <v>41855</v>
      </c>
      <c r="F38" s="129">
        <f>_xll.qlCalendarAdvance(Calendar,SettlementDate,D38,"mf",TRUE)</f>
        <v>41886</v>
      </c>
      <c r="G38" s="145">
        <f t="shared" si="17"/>
        <v>9.7999999999999997E-4</v>
      </c>
      <c r="H38" s="145">
        <f t="shared" si="17"/>
        <v>2.3217767010251075E-3</v>
      </c>
      <c r="I38" s="145">
        <f t="shared" si="17"/>
        <v>2.9876815327699495E-3</v>
      </c>
      <c r="J38" s="145">
        <f t="shared" si="17"/>
        <v>4.8730769020493437E-3</v>
      </c>
      <c r="K38" s="124">
        <f t="shared" si="18"/>
        <v>31</v>
      </c>
      <c r="L38" s="131">
        <f>_xll.qlOvernightIndexedSwapFairRate(B38,_xll.ohTrigger(C38,InterestRatesTrigger))</f>
        <v>6.6999999979023802E-4</v>
      </c>
      <c r="N38" s="126">
        <f>N$31*$K38+N$32</f>
        <v>3.1000000020976195E-4</v>
      </c>
      <c r="O38" s="118">
        <f t="shared" si="19"/>
        <v>1.6517767012348694E-3</v>
      </c>
      <c r="P38" s="118">
        <f t="shared" si="19"/>
        <v>2.3176815329797114E-3</v>
      </c>
      <c r="Q38" s="69">
        <f t="shared" si="20"/>
        <v>4.203076902259106E-3</v>
      </c>
      <c r="R38" s="118"/>
      <c r="S38" s="132" t="s">
        <v>62</v>
      </c>
      <c r="T38" s="118">
        <f t="shared" si="21"/>
        <v>1.6517767012348694E-3</v>
      </c>
      <c r="U38" s="69">
        <f t="shared" si="21"/>
        <v>2.3176815329797114E-3</v>
      </c>
      <c r="AB38" s="378">
        <f>_xll.qlCalendarAdvance(Calendar,AB37,"1d","mf")</f>
        <v>41865</v>
      </c>
      <c r="AC38" s="105">
        <f t="shared" si="15"/>
        <v>1.4200000002550551E-3</v>
      </c>
      <c r="AD38" s="105">
        <f t="shared" si="13"/>
        <v>1.455053886838683E-3</v>
      </c>
      <c r="AE38" s="105">
        <f t="shared" si="14"/>
        <v>1.7307124416736795E-3</v>
      </c>
    </row>
    <row r="39" spans="2:31" x14ac:dyDescent="0.2">
      <c r="B39" s="79" t="str">
        <f>_xll.qlMakeDatedOIS(,E39,F39,OvernightIndex,0,,,,EvaluationDate)</f>
        <v>obj_003a8#0000</v>
      </c>
      <c r="C39" s="70" t="b">
        <f>_xll.qlInstrumentSetPricingEngine(B39,OisEngine)</f>
        <v>1</v>
      </c>
      <c r="D39" s="128" t="s">
        <v>70</v>
      </c>
      <c r="E39" s="65">
        <f t="shared" si="16"/>
        <v>41855</v>
      </c>
      <c r="F39" s="129">
        <f>_xll.qlCalendarAdvance(Calendar,SettlementDate,D39,"mf",TRUE)</f>
        <v>41918</v>
      </c>
      <c r="G39" s="146"/>
      <c r="H39" s="123">
        <f t="shared" si="17"/>
        <v>2.1903827588060729E-3</v>
      </c>
      <c r="I39" s="123">
        <f t="shared" si="17"/>
        <v>3.0512769342184273E-3</v>
      </c>
      <c r="J39" s="123">
        <f t="shared" si="17"/>
        <v>4.9214048637374963E-3</v>
      </c>
      <c r="K39" s="130">
        <f t="shared" si="18"/>
        <v>63</v>
      </c>
      <c r="L39" s="131">
        <f>_xll.qlOvernightIndexedSwapFairRate(B39,_xll.ohTrigger(C39,InterestRatesTrigger))</f>
        <v>7.0999999999646747E-4</v>
      </c>
      <c r="N39" s="146"/>
      <c r="O39" s="118">
        <f t="shared" si="19"/>
        <v>1.4803827588096053E-3</v>
      </c>
      <c r="P39" s="118">
        <f t="shared" si="19"/>
        <v>2.34127693422196E-3</v>
      </c>
      <c r="Q39" s="69">
        <f t="shared" si="20"/>
        <v>4.2114048637410285E-3</v>
      </c>
      <c r="R39" s="118"/>
      <c r="S39" s="132" t="s">
        <v>70</v>
      </c>
      <c r="T39" s="118">
        <f t="shared" si="21"/>
        <v>1.4803827588096053E-3</v>
      </c>
      <c r="U39" s="69">
        <f t="shared" si="21"/>
        <v>2.34127693422196E-3</v>
      </c>
      <c r="AB39" s="378">
        <f>_xll.qlCalendarAdvance(Calendar,AB38,"1d","mf")</f>
        <v>41866</v>
      </c>
      <c r="AC39" s="105">
        <f t="shared" si="15"/>
        <v>1.4200000002550551E-3</v>
      </c>
      <c r="AD39" s="105">
        <f t="shared" si="13"/>
        <v>1.4546264004169315E-3</v>
      </c>
      <c r="AE39" s="105">
        <f t="shared" si="14"/>
        <v>1.7132915157378763E-3</v>
      </c>
    </row>
    <row r="40" spans="2:31" x14ac:dyDescent="0.2">
      <c r="B40" s="79" t="str">
        <f>_xll.qlMakeDatedOIS(,E40,F40,OvernightIndex,0,,,,EvaluationDate)</f>
        <v>obj_003ad#0000</v>
      </c>
      <c r="C40" s="70" t="b">
        <f>_xll.qlInstrumentSetPricingEngine(B40,OisEngine)</f>
        <v>1</v>
      </c>
      <c r="D40" s="128" t="s">
        <v>63</v>
      </c>
      <c r="E40" s="65">
        <f t="shared" si="16"/>
        <v>41855</v>
      </c>
      <c r="F40" s="129">
        <f>_xll.qlCalendarAdvance(Calendar,SettlementDate,D40,"mf",TRUE)</f>
        <v>41947</v>
      </c>
      <c r="G40" s="147"/>
      <c r="H40" s="123">
        <f t="shared" si="17"/>
        <v>2.0899999999999972E-3</v>
      </c>
      <c r="I40" s="123">
        <f t="shared" si="17"/>
        <v>3.0287905924430399E-3</v>
      </c>
      <c r="J40" s="123">
        <f t="shared" si="17"/>
        <v>4.8889520785789665E-3</v>
      </c>
      <c r="K40" s="130">
        <f t="shared" si="18"/>
        <v>92</v>
      </c>
      <c r="L40" s="131">
        <f>_xll.qlOvernightIndexedSwapFairRate(B40,_xll.ohTrigger(C40,InterestRatesTrigger))</f>
        <v>6.6999999974494471E-4</v>
      </c>
      <c r="N40" s="147"/>
      <c r="O40" s="118">
        <f t="shared" si="19"/>
        <v>1.4200000002550527E-3</v>
      </c>
      <c r="P40" s="118">
        <f t="shared" si="19"/>
        <v>2.358790592698095E-3</v>
      </c>
      <c r="Q40" s="69">
        <f t="shared" si="20"/>
        <v>4.2189520788340215E-3</v>
      </c>
      <c r="R40" s="118"/>
      <c r="S40" s="132" t="s">
        <v>63</v>
      </c>
      <c r="T40" s="118">
        <f t="shared" si="21"/>
        <v>1.4200000002550527E-3</v>
      </c>
      <c r="U40" s="69">
        <f t="shared" si="21"/>
        <v>2.358790592698095E-3</v>
      </c>
      <c r="AB40" s="378">
        <f>_xll.qlCalendarAdvance(Calendar,AB39,"1d","mf")</f>
        <v>41869</v>
      </c>
      <c r="AC40" s="105">
        <f t="shared" si="15"/>
        <v>1.4200000002550551E-3</v>
      </c>
      <c r="AD40" s="105">
        <f t="shared" si="13"/>
        <v>1.4533439411516767E-3</v>
      </c>
      <c r="AE40" s="105">
        <f t="shared" si="14"/>
        <v>1.6629608736363226E-3</v>
      </c>
    </row>
    <row r="41" spans="2:31" x14ac:dyDescent="0.2">
      <c r="B41" s="79" t="str">
        <f>_xll.qlMakeDatedOIS(,E41,F41,OvernightIndex,0,,,,EvaluationDate)</f>
        <v>obj_003b7#0000</v>
      </c>
      <c r="C41" s="70" t="b">
        <f>_xll.qlInstrumentSetPricingEngine(B41,OisEngine)</f>
        <v>1</v>
      </c>
      <c r="D41" s="128" t="s">
        <v>71</v>
      </c>
      <c r="E41" s="65">
        <f t="shared" si="16"/>
        <v>41855</v>
      </c>
      <c r="F41" s="129">
        <f>_xll.qlCalendarAdvance(Calendar,SettlementDate,D41,"mf",TRUE)</f>
        <v>41977</v>
      </c>
      <c r="G41" s="148"/>
      <c r="H41" s="149"/>
      <c r="I41" s="123">
        <f t="shared" si="17"/>
        <v>3.0530363082901055E-3</v>
      </c>
      <c r="J41" s="123">
        <f t="shared" si="17"/>
        <v>4.9067595419733665E-3</v>
      </c>
      <c r="K41" s="130">
        <f t="shared" si="18"/>
        <v>122</v>
      </c>
      <c r="L41" s="131">
        <f>_xll.qlOvernightIndexedSwapFairRate(B41,_xll.ohTrigger(C41,InterestRatesTrigger))</f>
        <v>6.799999992500419E-4</v>
      </c>
      <c r="N41" s="148"/>
      <c r="O41" s="149"/>
      <c r="P41" s="118">
        <f>IF(P$30,U41,P$31*$K41+P$32)</f>
        <v>2.3730363090400637E-3</v>
      </c>
      <c r="Q41" s="69">
        <f t="shared" si="20"/>
        <v>4.2267595427233247E-3</v>
      </c>
      <c r="R41" s="118"/>
      <c r="S41" s="132" t="s">
        <v>71</v>
      </c>
      <c r="T41" s="149"/>
      <c r="U41" s="69">
        <f>$K41*$K41/3*U$30+$K41/2*U$31+U$32</f>
        <v>2.3730363090400637E-3</v>
      </c>
      <c r="AB41" s="378">
        <f>_xll.qlCalendarAdvance(Calendar,AB40,"1d","mf")</f>
        <v>41870</v>
      </c>
      <c r="AC41" s="105">
        <f t="shared" si="15"/>
        <v>1.4200000002550551E-3</v>
      </c>
      <c r="AD41" s="105">
        <f t="shared" si="13"/>
        <v>1.4529164547299252E-3</v>
      </c>
      <c r="AE41" s="105">
        <f t="shared" si="14"/>
        <v>1.6468280381710903E-3</v>
      </c>
    </row>
    <row r="42" spans="2:31" x14ac:dyDescent="0.2">
      <c r="B42" s="79" t="str">
        <f>_xll.qlMakeDatedOIS(,E42,F42,OvernightIndex,0,,,,EvaluationDate)</f>
        <v>obj_003b0#0000</v>
      </c>
      <c r="C42" s="70" t="b">
        <f>_xll.qlInstrumentSetPricingEngine(B42,OisEngine)</f>
        <v>1</v>
      </c>
      <c r="D42" s="128" t="s">
        <v>72</v>
      </c>
      <c r="E42" s="65">
        <f t="shared" si="16"/>
        <v>41855</v>
      </c>
      <c r="F42" s="129">
        <f>_xll.qlCalendarAdvance(Calendar,SettlementDate,D42,"mf",TRUE)</f>
        <v>42009</v>
      </c>
      <c r="G42" s="148"/>
      <c r="H42" s="150"/>
      <c r="I42" s="123">
        <f t="shared" si="17"/>
        <v>3.0738917544626643E-3</v>
      </c>
      <c r="J42" s="123">
        <f t="shared" si="17"/>
        <v>4.9250875036097805E-3</v>
      </c>
      <c r="K42" s="130">
        <f t="shared" si="18"/>
        <v>154</v>
      </c>
      <c r="L42" s="131">
        <f>_xll.qlOvernightIndexedSwapFairRate(B42,_xll.ohTrigger(C42,InterestRatesTrigger))</f>
        <v>6.8999999940453282E-4</v>
      </c>
      <c r="N42" s="148"/>
      <c r="O42" s="150"/>
      <c r="P42" s="118">
        <f>IF(P$30,U42,P$31*$K42+P$32)</f>
        <v>2.3838917550581314E-3</v>
      </c>
      <c r="Q42" s="69">
        <f t="shared" si="20"/>
        <v>4.2350875042052481E-3</v>
      </c>
      <c r="R42" s="118"/>
      <c r="S42" s="132" t="s">
        <v>72</v>
      </c>
      <c r="T42" s="150"/>
      <c r="U42" s="69">
        <f>$K42*$K42/3*U$30+$K42/2*U$31+U$32</f>
        <v>2.3838917550581314E-3</v>
      </c>
      <c r="AB42" s="378">
        <f>_xll.qlCalendarAdvance(Calendar,AB41,"1d","mf")</f>
        <v>41871</v>
      </c>
      <c r="AC42" s="105">
        <f t="shared" si="15"/>
        <v>1.4200000002550551E-3</v>
      </c>
      <c r="AD42" s="105">
        <f t="shared" si="13"/>
        <v>1.4524889683081737E-3</v>
      </c>
      <c r="AE42" s="105">
        <f t="shared" si="14"/>
        <v>1.631017225323501E-3</v>
      </c>
    </row>
    <row r="43" spans="2:31" x14ac:dyDescent="0.2">
      <c r="B43" s="79" t="str">
        <f>_xll.qlMakeDatedOIS(,E43,F43,OvernightIndex,0,,,,EvaluationDate)</f>
        <v>obj_003ac#0000</v>
      </c>
      <c r="C43" s="70" t="b">
        <f>_xll.qlInstrumentSetPricingEngine(B43,OisEngine)</f>
        <v>1</v>
      </c>
      <c r="D43" s="151" t="s">
        <v>64</v>
      </c>
      <c r="E43" s="65">
        <f t="shared" si="16"/>
        <v>41855</v>
      </c>
      <c r="F43" s="129">
        <f>_xll.qlCalendarAdvance(Calendar,SettlementDate,D43,"mf",TRUE)</f>
        <v>42039</v>
      </c>
      <c r="G43" s="148"/>
      <c r="H43" s="150"/>
      <c r="I43" s="123">
        <f t="shared" si="17"/>
        <v>3.0599999999999972E-3</v>
      </c>
      <c r="J43" s="123">
        <f t="shared" si="17"/>
        <v>4.9128949680945092E-3</v>
      </c>
      <c r="K43" s="130">
        <f t="shared" si="18"/>
        <v>184</v>
      </c>
      <c r="L43" s="131">
        <f>_xll.qlOvernightIndexedSwapFairRate(B43,_xll.ohTrigger(C43,InterestRatesTrigger))</f>
        <v>6.6999999999995806E-4</v>
      </c>
      <c r="N43" s="148"/>
      <c r="O43" s="150"/>
      <c r="P43" s="118">
        <f>IF(P$30,U43,P$31*$K43+P$32)</f>
        <v>2.3900000000000392E-3</v>
      </c>
      <c r="Q43" s="69">
        <f t="shared" si="20"/>
        <v>4.2428949680945512E-3</v>
      </c>
      <c r="R43" s="118"/>
      <c r="S43" s="152" t="s">
        <v>64</v>
      </c>
      <c r="T43" s="153"/>
      <c r="U43" s="143">
        <f>$K43*$K43/3*U$30+$K43/2*U$31+U$32</f>
        <v>2.3900000000000392E-3</v>
      </c>
      <c r="AB43" s="378">
        <f>_xll.qlCalendarAdvance(Calendar,AB42,"1d","mf")</f>
        <v>41872</v>
      </c>
      <c r="AC43" s="105">
        <f t="shared" si="15"/>
        <v>1.4200000002550551E-3</v>
      </c>
      <c r="AD43" s="105">
        <f t="shared" si="13"/>
        <v>1.452061481886422E-3</v>
      </c>
      <c r="AE43" s="105">
        <f t="shared" si="14"/>
        <v>1.6155284350935543E-3</v>
      </c>
    </row>
    <row r="44" spans="2:31" x14ac:dyDescent="0.2">
      <c r="B44" s="79" t="str">
        <f>_xll.qlMakeDatedOIS(,E44,F44,OvernightIndex,0,,,,EvaluationDate)</f>
        <v>obj_003af#0000</v>
      </c>
      <c r="C44" s="70" t="b">
        <f>_xll.qlInstrumentSetPricingEngine(B44,OisEngine)</f>
        <v>1</v>
      </c>
      <c r="D44" s="151" t="s">
        <v>73</v>
      </c>
      <c r="E44" s="65">
        <f t="shared" si="16"/>
        <v>41855</v>
      </c>
      <c r="F44" s="129">
        <f>_xll.qlCalendarAdvance(Calendar,SettlementDate,D44,"mf",TRUE)</f>
        <v>42067</v>
      </c>
      <c r="G44" s="148"/>
      <c r="H44" s="154"/>
      <c r="I44" s="149"/>
      <c r="J44" s="123">
        <f t="shared" si="17"/>
        <v>4.9501819340146153E-3</v>
      </c>
      <c r="K44" s="130">
        <f t="shared" si="18"/>
        <v>212</v>
      </c>
      <c r="L44" s="131">
        <f>_xll.qlOvernightIndexedSwapFairRate(B44,_xll.ohTrigger(C44,InterestRatesTrigger))</f>
        <v>6.9999999962338133E-4</v>
      </c>
      <c r="N44" s="155" t="s">
        <v>74</v>
      </c>
      <c r="O44" s="156"/>
      <c r="P44" s="149"/>
      <c r="Q44" s="69">
        <f t="shared" si="20"/>
        <v>4.2501819343912341E-3</v>
      </c>
      <c r="R44" s="118"/>
      <c r="S44" s="118"/>
      <c r="AB44" s="378">
        <f>_xll.qlCalendarAdvance(Calendar,AB43,"1d","mf")</f>
        <v>41873</v>
      </c>
      <c r="AC44" s="105">
        <f t="shared" si="15"/>
        <v>1.4200000002550551E-3</v>
      </c>
      <c r="AD44" s="105">
        <f t="shared" si="13"/>
        <v>1.4516339954646705E-3</v>
      </c>
      <c r="AE44" s="105">
        <f t="shared" si="14"/>
        <v>1.6003616674812502E-3</v>
      </c>
    </row>
    <row r="45" spans="2:31" x14ac:dyDescent="0.2">
      <c r="B45" s="79" t="str">
        <f>_xll.qlMakeDatedOIS(,E45,F45,OvernightIndex,0,,,,EvaluationDate)</f>
        <v>obj_003a9#0000</v>
      </c>
      <c r="C45" s="70" t="b">
        <f>_xll.qlInstrumentSetPricingEngine(B45,OisEngine)</f>
        <v>1</v>
      </c>
      <c r="D45" s="151" t="s">
        <v>75</v>
      </c>
      <c r="E45" s="65">
        <f t="shared" si="16"/>
        <v>41855</v>
      </c>
      <c r="F45" s="129">
        <f>_xll.qlCalendarAdvance(Calendar,SettlementDate,D45,"mf",TRUE)</f>
        <v>42101</v>
      </c>
      <c r="G45" s="148"/>
      <c r="H45" s="154"/>
      <c r="I45" s="150"/>
      <c r="J45" s="123">
        <f t="shared" si="17"/>
        <v>4.9490303930683098E-3</v>
      </c>
      <c r="K45" s="130">
        <f t="shared" si="18"/>
        <v>246</v>
      </c>
      <c r="L45" s="131">
        <f>_xll.qlOvernightIndexedSwapFairRate(B45,_xll.ohTrigger(C45,InterestRatesTrigger))</f>
        <v>6.8999999960253286E-4</v>
      </c>
      <c r="N45" s="157"/>
      <c r="O45" s="158" t="s">
        <v>76</v>
      </c>
      <c r="P45" s="159"/>
      <c r="Q45" s="69">
        <f t="shared" si="20"/>
        <v>4.2590303934657769E-3</v>
      </c>
      <c r="R45" s="118"/>
      <c r="S45" s="118"/>
      <c r="AB45" s="378">
        <f>_xll.qlCalendarAdvance(Calendar,AB44,"1d","mf")</f>
        <v>41876</v>
      </c>
      <c r="AC45" s="105">
        <f t="shared" si="15"/>
        <v>1.4200000002550551E-3</v>
      </c>
      <c r="AD45" s="105">
        <f t="shared" si="13"/>
        <v>1.4503515361994157E-3</v>
      </c>
      <c r="AE45" s="105">
        <f t="shared" si="14"/>
        <v>1.5567935003501948E-3</v>
      </c>
    </row>
    <row r="46" spans="2:31" x14ac:dyDescent="0.2">
      <c r="B46" s="79" t="str">
        <f>_xll.qlMakeDatedOIS(,E46,F46,OvernightIndex,0,,,,EvaluationDate)</f>
        <v>obj_003b2#0000</v>
      </c>
      <c r="C46" s="70" t="b">
        <f>_xll.qlInstrumentSetPricingEngine(B46,OisEngine)</f>
        <v>1</v>
      </c>
      <c r="D46" s="151" t="s">
        <v>77</v>
      </c>
      <c r="E46" s="65">
        <f t="shared" si="16"/>
        <v>41855</v>
      </c>
      <c r="F46" s="129">
        <f>_xll.qlCalendarAdvance(Calendar,SettlementDate,D46,"mf",TRUE)</f>
        <v>42128</v>
      </c>
      <c r="G46" s="148"/>
      <c r="H46" s="154"/>
      <c r="I46" s="150"/>
      <c r="J46" s="123">
        <f t="shared" si="17"/>
        <v>4.9260571109661696E-3</v>
      </c>
      <c r="K46" s="130">
        <f t="shared" si="18"/>
        <v>273</v>
      </c>
      <c r="L46" s="131">
        <f>_xll.qlOvernightIndexedSwapFairRate(B46,_xll.ohTrigger(C46,InterestRatesTrigger))</f>
        <v>6.6000000000001962E-4</v>
      </c>
      <c r="N46" s="148"/>
      <c r="O46" s="156"/>
      <c r="P46" s="160" t="s">
        <v>78</v>
      </c>
      <c r="Q46" s="69">
        <f t="shared" si="20"/>
        <v>4.2660571109661496E-3</v>
      </c>
      <c r="R46" s="118"/>
      <c r="S46" s="118"/>
      <c r="AB46" s="378">
        <f>_xll.qlCalendarAdvance(Calendar,AB45,"1d","mf")</f>
        <v>41877</v>
      </c>
      <c r="AC46" s="105">
        <f t="shared" si="15"/>
        <v>1.4200000002550551E-3</v>
      </c>
      <c r="AD46" s="105">
        <f t="shared" si="13"/>
        <v>1.4499240497776642E-3</v>
      </c>
      <c r="AE46" s="105">
        <f t="shared" si="14"/>
        <v>1.5429148232084619E-3</v>
      </c>
    </row>
    <row r="47" spans="2:31" x14ac:dyDescent="0.2">
      <c r="B47" s="79" t="str">
        <f>_xll.qlMakeDatedOIS(,E47,F47,OvernightIndex,0,,,,EvaluationDate)</f>
        <v>obj_003b9#0000</v>
      </c>
      <c r="C47" s="70" t="b">
        <f>_xll.qlInstrumentSetPricingEngine(B47,OisEngine)</f>
        <v>1</v>
      </c>
      <c r="D47" s="151" t="s">
        <v>79</v>
      </c>
      <c r="E47" s="65">
        <f t="shared" si="16"/>
        <v>41855</v>
      </c>
      <c r="F47" s="129">
        <f>_xll.qlCalendarAdvance(Calendar,SettlementDate,D47,"mf",TRUE)</f>
        <v>42159</v>
      </c>
      <c r="G47" s="148"/>
      <c r="H47" s="154"/>
      <c r="I47" s="150"/>
      <c r="J47" s="123">
        <f t="shared" si="17"/>
        <v>4.9141248233597716E-3</v>
      </c>
      <c r="K47" s="130">
        <f t="shared" si="18"/>
        <v>304</v>
      </c>
      <c r="L47" s="131">
        <f>_xll.qlOvernightIndexedSwapFairRate(B47,_xll.ohTrigger(C47,InterestRatesTrigger))</f>
        <v>6.3999999970800858E-4</v>
      </c>
      <c r="N47" s="148"/>
      <c r="O47" s="154"/>
      <c r="P47" s="150"/>
      <c r="Q47" s="69">
        <f t="shared" si="20"/>
        <v>4.2741248236517629E-3</v>
      </c>
      <c r="R47" s="118"/>
      <c r="S47" s="118"/>
      <c r="AB47" s="378">
        <f>_xll.qlCalendarAdvance(Calendar,AB46,"1d","mf")</f>
        <v>41878</v>
      </c>
      <c r="AC47" s="105">
        <f t="shared" si="15"/>
        <v>1.4200000002550551E-3</v>
      </c>
      <c r="AD47" s="105">
        <f t="shared" si="13"/>
        <v>1.4494965633559127E-3</v>
      </c>
      <c r="AE47" s="105">
        <f t="shared" si="14"/>
        <v>1.5293581686843718E-3</v>
      </c>
    </row>
    <row r="48" spans="2:31" x14ac:dyDescent="0.2">
      <c r="B48" s="79" t="str">
        <f>_xll.qlMakeDatedOIS(,E48,F48,OvernightIndex,0,,,,EvaluationDate)</f>
        <v>obj_003b3#0000</v>
      </c>
      <c r="C48" s="70" t="b">
        <f>_xll.qlInstrumentSetPricingEngine(B48,OisEngine)</f>
        <v>1</v>
      </c>
      <c r="D48" s="151" t="s">
        <v>80</v>
      </c>
      <c r="E48" s="65">
        <f t="shared" si="16"/>
        <v>41855</v>
      </c>
      <c r="F48" s="129">
        <f>_xll.qlCalendarAdvance(Calendar,SettlementDate,D48,"mf",TRUE)</f>
        <v>42191</v>
      </c>
      <c r="G48" s="148"/>
      <c r="H48" s="154"/>
      <c r="I48" s="150"/>
      <c r="J48" s="123">
        <f t="shared" si="17"/>
        <v>4.8924527851337812E-3</v>
      </c>
      <c r="K48" s="130">
        <f t="shared" si="18"/>
        <v>336</v>
      </c>
      <c r="L48" s="131">
        <f>_xll.qlOvernightIndexedSwapFairRate(B48,_xll.ohTrigger(C48,InterestRatesTrigger))</f>
        <v>6.1000000000009452E-4</v>
      </c>
      <c r="N48" s="148"/>
      <c r="O48" s="154"/>
      <c r="P48" s="150"/>
      <c r="Q48" s="69">
        <f t="shared" si="20"/>
        <v>4.2824527851336863E-3</v>
      </c>
      <c r="R48" s="118"/>
      <c r="S48" s="118"/>
      <c r="AB48" s="378">
        <f>_xll.qlCalendarAdvance(Calendar,AB47,"1d","mf")</f>
        <v>41879</v>
      </c>
      <c r="AC48" s="105">
        <f t="shared" si="15"/>
        <v>1.4200000002550551E-3</v>
      </c>
      <c r="AD48" s="105">
        <f t="shared" si="13"/>
        <v>1.4490690769341612E-3</v>
      </c>
      <c r="AE48" s="105">
        <f t="shared" si="14"/>
        <v>1.5161235367779245E-3</v>
      </c>
    </row>
    <row r="49" spans="2:31" x14ac:dyDescent="0.2">
      <c r="B49" s="133" t="str">
        <f>_xll.qlMakeDatedOIS(,E49,F49,OvernightIndex,0,,,,EvaluationDate)</f>
        <v>obj_003b4#0000</v>
      </c>
      <c r="C49" s="134" t="b">
        <f>_xll.qlInstrumentSetPricingEngine(B49,OisEngine)</f>
        <v>1</v>
      </c>
      <c r="D49" s="151" t="s">
        <v>81</v>
      </c>
      <c r="E49" s="65">
        <f t="shared" si="16"/>
        <v>41855</v>
      </c>
      <c r="F49" s="129">
        <f>_xll.qlCalendarAdvance(Calendar,SettlementDate,D49,"mf",TRUE)</f>
        <v>42220</v>
      </c>
      <c r="G49" s="148"/>
      <c r="H49" s="154"/>
      <c r="I49" s="150"/>
      <c r="J49" s="123">
        <f t="shared" si="17"/>
        <v>4.8900000000000002E-3</v>
      </c>
      <c r="K49" s="130">
        <f t="shared" si="18"/>
        <v>365</v>
      </c>
      <c r="L49" s="131">
        <f>_xll.qlOvernightIndexedSwapFairRate(B49,_xll.ohTrigger(C49,InterestRatesTrigger))</f>
        <v>5.999999997733207E-4</v>
      </c>
      <c r="N49" s="161"/>
      <c r="O49" s="162"/>
      <c r="P49" s="153"/>
      <c r="Q49" s="143">
        <f t="shared" si="20"/>
        <v>4.2900000002266793E-3</v>
      </c>
      <c r="R49" s="118"/>
      <c r="S49" s="118"/>
      <c r="AB49" s="378">
        <f>_xll.qlCalendarAdvance(Calendar,AB48,"1d","mf")</f>
        <v>41880</v>
      </c>
      <c r="AC49" s="105">
        <f t="shared" si="15"/>
        <v>1.4200000002550551E-3</v>
      </c>
      <c r="AD49" s="105">
        <f t="shared" si="13"/>
        <v>1.4486415905124097E-3</v>
      </c>
      <c r="AE49" s="105">
        <f t="shared" si="14"/>
        <v>1.5032109274891198E-3</v>
      </c>
    </row>
    <row r="50" spans="2:31" x14ac:dyDescent="0.2">
      <c r="D50" s="106"/>
      <c r="E50" s="106"/>
      <c r="F50" s="106"/>
      <c r="G50" s="106"/>
      <c r="H50" s="106"/>
      <c r="I50" s="106"/>
      <c r="J50" s="106"/>
      <c r="K50" s="106"/>
      <c r="L50" s="106"/>
      <c r="AB50" s="378">
        <f>_xll.qlCalendarAdvance(Calendar,AB49,"1d","mf")</f>
        <v>41883</v>
      </c>
      <c r="AC50" s="105">
        <f t="shared" si="15"/>
        <v>1.4200000002550551E-3</v>
      </c>
      <c r="AD50" s="105">
        <f t="shared" si="13"/>
        <v>1.4473591312471549E-3</v>
      </c>
      <c r="AE50" s="105">
        <f t="shared" si="14"/>
        <v>1.4664052353285627E-3</v>
      </c>
    </row>
    <row r="51" spans="2:31" x14ac:dyDescent="0.2">
      <c r="N51" s="163"/>
      <c r="O51" s="163"/>
      <c r="P51" s="163"/>
      <c r="Q51" s="163"/>
      <c r="R51" s="163"/>
      <c r="S51" s="163"/>
      <c r="AB51" s="378">
        <f>_xll.qlCalendarAdvance(Calendar,AB50,"1d","mf")</f>
        <v>41884</v>
      </c>
      <c r="AC51" s="105">
        <f t="shared" si="15"/>
        <v>1.4200000002550551E-3</v>
      </c>
      <c r="AD51" s="105">
        <f t="shared" si="13"/>
        <v>1.4469316448254034E-3</v>
      </c>
      <c r="AE51" s="105">
        <f t="shared" si="14"/>
        <v>1.4547807165103293E-3</v>
      </c>
    </row>
    <row r="52" spans="2:31" x14ac:dyDescent="0.2">
      <c r="AB52" s="378">
        <f>_xll.qlCalendarAdvance(Calendar,AB51,"1d","mf")</f>
        <v>41885</v>
      </c>
      <c r="AC52" s="105">
        <f t="shared" si="15"/>
        <v>1.4200000002550551E-3</v>
      </c>
      <c r="AD52" s="105">
        <f t="shared" si="13"/>
        <v>1.4465041584036519E-3</v>
      </c>
      <c r="AE52" s="105">
        <f t="shared" si="14"/>
        <v>1.4434782203097383E-3</v>
      </c>
    </row>
    <row r="53" spans="2:31" x14ac:dyDescent="0.2">
      <c r="AB53" s="378">
        <f>_xll.qlCalendarAdvance(Calendar,AB52,"1d","mf")</f>
        <v>41886</v>
      </c>
      <c r="AC53" s="105">
        <f t="shared" si="15"/>
        <v>1.4200000002550551E-3</v>
      </c>
      <c r="AD53" s="105">
        <f t="shared" si="13"/>
        <v>1.4460766719819002E-3</v>
      </c>
      <c r="AE53" s="105">
        <f t="shared" si="14"/>
        <v>1.4324977467267905E-3</v>
      </c>
    </row>
    <row r="54" spans="2:31" x14ac:dyDescent="0.2">
      <c r="AB54" s="378">
        <f>_xll.qlCalendarAdvance(Calendar,AB53,"1d","mf")</f>
        <v>41887</v>
      </c>
      <c r="AC54" s="105">
        <f t="shared" si="15"/>
        <v>1.4200000002550551E-3</v>
      </c>
      <c r="AD54" s="105">
        <f t="shared" si="13"/>
        <v>1.4456491855601486E-3</v>
      </c>
      <c r="AE54" s="105">
        <f t="shared" si="14"/>
        <v>1.4218392957614852E-3</v>
      </c>
    </row>
    <row r="55" spans="2:31" x14ac:dyDescent="0.2">
      <c r="AB55" s="378">
        <f>_xll.qlCalendarAdvance(Calendar,AB54,"1d","mf")</f>
        <v>41890</v>
      </c>
      <c r="AC55" s="105">
        <f t="shared" si="15"/>
        <v>1.4200000002550551E-3</v>
      </c>
      <c r="AD55" s="105">
        <f t="shared" si="13"/>
        <v>1.4443667262948939E-3</v>
      </c>
      <c r="AE55" s="105">
        <f t="shared" si="14"/>
        <v>1.3917960785714261E-3</v>
      </c>
    </row>
    <row r="56" spans="2:31" x14ac:dyDescent="0.2">
      <c r="AB56" s="378">
        <f>_xll.qlCalendarAdvance(Calendar,AB55,"1d","mf")</f>
        <v>41891</v>
      </c>
      <c r="AC56" s="105">
        <f t="shared" si="15"/>
        <v>1.4200000002550551E-3</v>
      </c>
      <c r="AD56" s="105">
        <f t="shared" si="13"/>
        <v>1.4439392398731424E-3</v>
      </c>
      <c r="AE56" s="105">
        <f t="shared" si="14"/>
        <v>1.3824257180766921E-3</v>
      </c>
    </row>
    <row r="57" spans="2:31" x14ac:dyDescent="0.2">
      <c r="AB57" s="378">
        <f>_xll.qlCalendarAdvance(Calendar,AB56,"1d","mf")</f>
        <v>41892</v>
      </c>
      <c r="AC57" s="105">
        <f t="shared" si="15"/>
        <v>1.4200000002550551E-3</v>
      </c>
      <c r="AD57" s="105">
        <f t="shared" si="13"/>
        <v>1.4435117534513909E-3</v>
      </c>
      <c r="AE57" s="105">
        <f t="shared" si="14"/>
        <v>1.3733773801996006E-3</v>
      </c>
    </row>
    <row r="58" spans="2:31" x14ac:dyDescent="0.2">
      <c r="AB58" s="378">
        <f>_xll.qlCalendarAdvance(Calendar,AB57,"1d","mf")</f>
        <v>41893</v>
      </c>
      <c r="AC58" s="105">
        <f t="shared" si="15"/>
        <v>1.4200000002550551E-3</v>
      </c>
      <c r="AD58" s="105">
        <f t="shared" si="13"/>
        <v>1.4430842670296394E-3</v>
      </c>
      <c r="AE58" s="105">
        <f t="shared" si="14"/>
        <v>1.3646510649401519E-3</v>
      </c>
    </row>
    <row r="59" spans="2:31" x14ac:dyDescent="0.2">
      <c r="AB59" s="378">
        <f>_xll.qlCalendarAdvance(Calendar,AB58,"1d","mf")</f>
        <v>41894</v>
      </c>
      <c r="AC59" s="105">
        <f t="shared" si="15"/>
        <v>1.4200000002550551E-3</v>
      </c>
      <c r="AD59" s="105">
        <f t="shared" si="13"/>
        <v>1.4426567806078879E-3</v>
      </c>
      <c r="AE59" s="105">
        <f t="shared" si="14"/>
        <v>1.3562467722983461E-3</v>
      </c>
    </row>
    <row r="60" spans="2:31" x14ac:dyDescent="0.2">
      <c r="AB60" s="378">
        <f>_xll.qlCalendarAdvance(Calendar,AB59,"1d","mf")</f>
        <v>41897</v>
      </c>
      <c r="AC60" s="105">
        <f t="shared" si="15"/>
        <v>1.4200000002550551E-3</v>
      </c>
      <c r="AD60" s="105">
        <f t="shared" si="13"/>
        <v>1.4413743213426331E-3</v>
      </c>
      <c r="AE60" s="105">
        <f t="shared" si="14"/>
        <v>1.3329660300787855E-3</v>
      </c>
    </row>
    <row r="61" spans="2:31" x14ac:dyDescent="0.2">
      <c r="AB61" s="378">
        <f>_xll.qlCalendarAdvance(Calendar,AB60,"1d","mf")</f>
        <v>41898</v>
      </c>
      <c r="AC61" s="105">
        <f t="shared" si="15"/>
        <v>1.4200000002550551E-3</v>
      </c>
      <c r="AD61" s="105">
        <f t="shared" si="13"/>
        <v>1.4409468349208816E-3</v>
      </c>
      <c r="AE61" s="105">
        <f t="shared" si="14"/>
        <v>1.3258498279075507E-3</v>
      </c>
    </row>
    <row r="62" spans="2:31" x14ac:dyDescent="0.2">
      <c r="AB62" s="378">
        <f>_xll.qlCalendarAdvance(Calendar,AB61,"1d","mf")</f>
        <v>41899</v>
      </c>
      <c r="AC62" s="105">
        <f t="shared" si="15"/>
        <v>1.4200000002550551E-3</v>
      </c>
      <c r="AD62" s="105">
        <f t="shared" ref="AD62:AD93" si="22">$O$32+$O$31*(AB62-SettlementDate)</f>
        <v>1.4405193484991301E-3</v>
      </c>
      <c r="AE62" s="105">
        <f t="shared" ref="AE62:AE93" si="23">$T$32+$T$31*(AB62-SettlementDate)+$T$30*(AB62-SettlementDate)^2</f>
        <v>1.3190556483539586E-3</v>
      </c>
    </row>
    <row r="63" spans="2:31" x14ac:dyDescent="0.2">
      <c r="AB63" s="378">
        <f>_xll.qlCalendarAdvance(Calendar,AB62,"1d","mf")</f>
        <v>41900</v>
      </c>
      <c r="AC63" s="105">
        <f t="shared" si="15"/>
        <v>1.4200000002550551E-3</v>
      </c>
      <c r="AD63" s="105">
        <f t="shared" si="22"/>
        <v>1.4400918620773783E-3</v>
      </c>
      <c r="AE63" s="105">
        <f t="shared" si="23"/>
        <v>1.3125834914180096E-3</v>
      </c>
    </row>
    <row r="64" spans="2:31" x14ac:dyDescent="0.2">
      <c r="AB64" s="378">
        <f>_xll.qlCalendarAdvance(Calendar,AB63,"1d","mf")</f>
        <v>41901</v>
      </c>
      <c r="AC64" s="105">
        <f t="shared" si="15"/>
        <v>1.4200000002550551E-3</v>
      </c>
      <c r="AD64" s="105">
        <f t="shared" si="22"/>
        <v>1.4396643756556268E-3</v>
      </c>
      <c r="AE64" s="105">
        <f t="shared" si="23"/>
        <v>1.3064333570997027E-3</v>
      </c>
    </row>
    <row r="65" spans="28:31" x14ac:dyDescent="0.2">
      <c r="AB65" s="378">
        <f>_xll.qlCalendarAdvance(Calendar,AB64,"1d","mf")</f>
        <v>41904</v>
      </c>
      <c r="AC65" s="105">
        <f t="shared" si="15"/>
        <v>1.4200000002550551E-3</v>
      </c>
      <c r="AD65" s="105">
        <f t="shared" si="22"/>
        <v>1.4383819163903721E-3</v>
      </c>
      <c r="AE65" s="105">
        <f t="shared" si="23"/>
        <v>1.2899150898506402E-3</v>
      </c>
    </row>
    <row r="66" spans="28:31" x14ac:dyDescent="0.2">
      <c r="AB66" s="378">
        <f>_xll.qlCalendarAdvance(Calendar,AB65,"1d","mf")</f>
        <v>41905</v>
      </c>
      <c r="AC66" s="105">
        <f t="shared" si="15"/>
        <v>1.4200000002550551E-3</v>
      </c>
      <c r="AD66" s="105">
        <f t="shared" si="22"/>
        <v>1.4379544299686206E-3</v>
      </c>
      <c r="AE66" s="105">
        <f t="shared" si="23"/>
        <v>1.2850530460029048E-3</v>
      </c>
    </row>
    <row r="67" spans="28:31" x14ac:dyDescent="0.2">
      <c r="AB67" s="378">
        <f>_xll.qlCalendarAdvance(Calendar,AB66,"1d","mf")</f>
        <v>41906</v>
      </c>
      <c r="AC67" s="105">
        <f t="shared" si="15"/>
        <v>1.4200000002550551E-3</v>
      </c>
      <c r="AD67" s="105">
        <f t="shared" si="22"/>
        <v>1.4375269435468691E-3</v>
      </c>
      <c r="AE67" s="105">
        <f t="shared" si="23"/>
        <v>1.2805130247728123E-3</v>
      </c>
    </row>
    <row r="68" spans="28:31" x14ac:dyDescent="0.2">
      <c r="AB68" s="378">
        <f>_xll.qlCalendarAdvance(Calendar,AB67,"1d","mf")</f>
        <v>41907</v>
      </c>
      <c r="AC68" s="105">
        <f t="shared" si="15"/>
        <v>1.4200000002550551E-3</v>
      </c>
      <c r="AD68" s="105">
        <f t="shared" si="22"/>
        <v>1.4370994571251175E-3</v>
      </c>
      <c r="AE68" s="105">
        <f t="shared" si="23"/>
        <v>1.2762950261603625E-3</v>
      </c>
    </row>
    <row r="69" spans="28:31" x14ac:dyDescent="0.2">
      <c r="AB69" s="378">
        <f>_xll.qlCalendarAdvance(Calendar,AB68,"1d","mf")</f>
        <v>41908</v>
      </c>
      <c r="AC69" s="105">
        <f t="shared" si="15"/>
        <v>1.4200000002550551E-3</v>
      </c>
      <c r="AD69" s="105">
        <f t="shared" si="22"/>
        <v>1.436671970703366E-3</v>
      </c>
      <c r="AE69" s="105">
        <f t="shared" si="23"/>
        <v>1.2723990501655551E-3</v>
      </c>
    </row>
    <row r="70" spans="28:31" x14ac:dyDescent="0.2">
      <c r="AB70" s="378">
        <f>_xll.qlCalendarAdvance(Calendar,AB69,"1d","mf")</f>
        <v>41911</v>
      </c>
      <c r="AC70" s="105">
        <f t="shared" si="15"/>
        <v>1.4200000002550551E-3</v>
      </c>
      <c r="AD70" s="105">
        <f t="shared" si="22"/>
        <v>1.4353895114381113E-3</v>
      </c>
      <c r="AE70" s="105">
        <f t="shared" si="23"/>
        <v>1.2626432578869908E-3</v>
      </c>
    </row>
    <row r="71" spans="28:31" x14ac:dyDescent="0.2">
      <c r="AB71" s="378">
        <f>_xll.qlCalendarAdvance(Calendar,AB70,"1d","mf")</f>
        <v>41912</v>
      </c>
      <c r="AC71" s="105">
        <f t="shared" si="15"/>
        <v>1.4200000002550551E-3</v>
      </c>
      <c r="AD71" s="105">
        <f t="shared" si="22"/>
        <v>1.4349620250163598E-3</v>
      </c>
      <c r="AE71" s="105">
        <f t="shared" si="23"/>
        <v>1.2600353723627546E-3</v>
      </c>
    </row>
    <row r="72" spans="28:31" x14ac:dyDescent="0.2">
      <c r="AB72" s="378">
        <f>_xll.qlCalendarAdvance(Calendar,AB71,"1d","mf")</f>
        <v>41913</v>
      </c>
      <c r="AC72" s="105">
        <f t="shared" si="15"/>
        <v>1.4200000002550551E-3</v>
      </c>
      <c r="AD72" s="105">
        <f t="shared" si="22"/>
        <v>1.434534538594608E-3</v>
      </c>
      <c r="AE72" s="105">
        <f t="shared" si="23"/>
        <v>1.2577495094561616E-3</v>
      </c>
    </row>
    <row r="73" spans="28:31" x14ac:dyDescent="0.2">
      <c r="AB73" s="378">
        <f>_xll.qlCalendarAdvance(Calendar,AB72,"1d","mf")</f>
        <v>41914</v>
      </c>
      <c r="AC73" s="105">
        <f t="shared" si="15"/>
        <v>1.4200000002550551E-3</v>
      </c>
      <c r="AD73" s="105">
        <f t="shared" si="22"/>
        <v>1.4341070521728565E-3</v>
      </c>
      <c r="AE73" s="105">
        <f t="shared" si="23"/>
        <v>1.2557856691672109E-3</v>
      </c>
    </row>
    <row r="74" spans="28:31" x14ac:dyDescent="0.2">
      <c r="AB74" s="378">
        <f>_xll.qlCalendarAdvance(Calendar,AB73,"1d","mf")</f>
        <v>41915</v>
      </c>
      <c r="AC74" s="105">
        <f t="shared" si="15"/>
        <v>1.4200000002550551E-3</v>
      </c>
      <c r="AD74" s="105">
        <f t="shared" si="22"/>
        <v>1.433679565751105E-3</v>
      </c>
      <c r="AE74" s="105">
        <f t="shared" si="23"/>
        <v>1.2541438514959032E-3</v>
      </c>
    </row>
    <row r="75" spans="28:31" x14ac:dyDescent="0.2">
      <c r="AB75" s="378">
        <f>_xll.qlCalendarAdvance(Calendar,AB74,"1d","mf")</f>
        <v>41918</v>
      </c>
      <c r="AC75" s="105">
        <f t="shared" si="15"/>
        <v>1.4200000002550551E-3</v>
      </c>
      <c r="AD75" s="105">
        <f t="shared" si="22"/>
        <v>1.4323971064858503E-3</v>
      </c>
      <c r="AE75" s="105">
        <f t="shared" si="23"/>
        <v>1.2511505341878367E-3</v>
      </c>
    </row>
    <row r="76" spans="28:31" x14ac:dyDescent="0.2">
      <c r="AB76" s="378">
        <f>_xll.qlCalendarAdvance(Calendar,AB75,"1d","mf")</f>
        <v>41919</v>
      </c>
      <c r="AC76" s="105">
        <f t="shared" si="15"/>
        <v>1.4200000002550551E-3</v>
      </c>
      <c r="AD76" s="105">
        <f t="shared" si="22"/>
        <v>1.4319696200640988E-3</v>
      </c>
      <c r="AE76" s="105">
        <f t="shared" si="23"/>
        <v>1.2507968069871002E-3</v>
      </c>
    </row>
    <row r="77" spans="28:31" x14ac:dyDescent="0.2">
      <c r="AB77" s="378">
        <f>_xll.qlCalendarAdvance(Calendar,AB76,"1d","mf")</f>
        <v>41920</v>
      </c>
      <c r="AC77" s="105">
        <f t="shared" si="15"/>
        <v>1.4200000002550551E-3</v>
      </c>
      <c r="AD77" s="105">
        <f t="shared" si="22"/>
        <v>1.4315421336423472E-3</v>
      </c>
      <c r="AE77" s="105">
        <f t="shared" si="23"/>
        <v>1.2507651024040063E-3</v>
      </c>
    </row>
    <row r="78" spans="28:31" x14ac:dyDescent="0.2">
      <c r="AB78" s="378">
        <f>_xll.qlCalendarAdvance(Calendar,AB77,"1d","mf")</f>
        <v>41921</v>
      </c>
      <c r="AC78" s="105">
        <f t="shared" si="15"/>
        <v>1.4200000002550551E-3</v>
      </c>
      <c r="AD78" s="105">
        <f t="shared" si="22"/>
        <v>1.4311146472205957E-3</v>
      </c>
      <c r="AE78" s="105">
        <f t="shared" si="23"/>
        <v>1.2510554204385553E-3</v>
      </c>
    </row>
    <row r="79" spans="28:31" x14ac:dyDescent="0.2">
      <c r="AB79" s="378">
        <f>_xll.qlCalendarAdvance(Calendar,AB78,"1d","mf")</f>
        <v>41922</v>
      </c>
      <c r="AC79" s="105">
        <f t="shared" si="15"/>
        <v>1.4200000002550551E-3</v>
      </c>
      <c r="AD79" s="105">
        <f t="shared" si="22"/>
        <v>1.4306871607988442E-3</v>
      </c>
      <c r="AE79" s="105">
        <f t="shared" si="23"/>
        <v>1.251667761090747E-3</v>
      </c>
    </row>
    <row r="80" spans="28:31" x14ac:dyDescent="0.2">
      <c r="AB80" s="378">
        <f>_xll.qlCalendarAdvance(Calendar,AB79,"1d","mf")</f>
        <v>41925</v>
      </c>
      <c r="AC80" s="105">
        <f t="shared" si="15"/>
        <v>1.4200000002550551E-3</v>
      </c>
      <c r="AD80" s="105">
        <f t="shared" si="22"/>
        <v>1.4294047015335895E-3</v>
      </c>
      <c r="AE80" s="105">
        <f t="shared" si="23"/>
        <v>1.2554369187531785E-3</v>
      </c>
    </row>
    <row r="81" spans="28:31" x14ac:dyDescent="0.2">
      <c r="AB81" s="378">
        <f>_xll.qlCalendarAdvance(Calendar,AB80,"1d","mf")</f>
        <v>41926</v>
      </c>
      <c r="AC81" s="105">
        <f t="shared" si="15"/>
        <v>1.4200000002550551E-3</v>
      </c>
      <c r="AD81" s="105">
        <f t="shared" si="22"/>
        <v>1.428977215111838E-3</v>
      </c>
      <c r="AE81" s="105">
        <f t="shared" si="23"/>
        <v>1.2573373498759415E-3</v>
      </c>
    </row>
    <row r="82" spans="28:31" x14ac:dyDescent="0.2">
      <c r="AB82" s="378">
        <f>_xll.qlCalendarAdvance(Calendar,AB81,"1d","mf")</f>
        <v>41927</v>
      </c>
      <c r="AC82" s="105">
        <f t="shared" si="15"/>
        <v>1.4200000002550551E-3</v>
      </c>
      <c r="AD82" s="105">
        <f t="shared" si="22"/>
        <v>1.4285497286900862E-3</v>
      </c>
      <c r="AE82" s="105">
        <f t="shared" si="23"/>
        <v>1.259559803616347E-3</v>
      </c>
    </row>
    <row r="83" spans="28:31" x14ac:dyDescent="0.2">
      <c r="AB83" s="378">
        <f>_xll.qlCalendarAdvance(Calendar,AB82,"1d","mf")</f>
        <v>41928</v>
      </c>
      <c r="AC83" s="105">
        <f t="shared" si="15"/>
        <v>1.4200000002550551E-3</v>
      </c>
      <c r="AD83" s="105">
        <f t="shared" si="22"/>
        <v>1.4281222422683347E-3</v>
      </c>
      <c r="AE83" s="105">
        <f t="shared" si="23"/>
        <v>1.2621042799743952E-3</v>
      </c>
    </row>
    <row r="84" spans="28:31" x14ac:dyDescent="0.2">
      <c r="AB84" s="378">
        <f>_xll.qlCalendarAdvance(Calendar,AB83,"1d","mf")</f>
        <v>41929</v>
      </c>
      <c r="AC84" s="105">
        <f t="shared" si="15"/>
        <v>1.4200000002550551E-3</v>
      </c>
      <c r="AD84" s="105">
        <f t="shared" si="22"/>
        <v>1.4276947558465832E-3</v>
      </c>
      <c r="AE84" s="105">
        <f t="shared" si="23"/>
        <v>1.2649707789500863E-3</v>
      </c>
    </row>
    <row r="85" spans="28:31" x14ac:dyDescent="0.2">
      <c r="AB85" s="378">
        <f>_xll.qlCalendarAdvance(Calendar,AB84,"1d","mf")</f>
        <v>41932</v>
      </c>
      <c r="AC85" s="105">
        <f t="shared" si="15"/>
        <v>1.4200000002550551E-3</v>
      </c>
      <c r="AD85" s="105">
        <f t="shared" si="22"/>
        <v>1.4264122965813285E-3</v>
      </c>
      <c r="AE85" s="105">
        <f t="shared" si="23"/>
        <v>1.2755024115830159E-3</v>
      </c>
    </row>
    <row r="86" spans="28:31" x14ac:dyDescent="0.2">
      <c r="AB86" s="378">
        <f>_xll.qlCalendarAdvance(Calendar,AB85,"1d","mf")</f>
        <v>41933</v>
      </c>
      <c r="AC86" s="105">
        <f t="shared" si="15"/>
        <v>1.4200000002550551E-3</v>
      </c>
      <c r="AD86" s="105">
        <f t="shared" si="22"/>
        <v>1.4259848101595769E-3</v>
      </c>
      <c r="AE86" s="105">
        <f t="shared" si="23"/>
        <v>1.2796570010292782E-3</v>
      </c>
    </row>
    <row r="87" spans="28:31" x14ac:dyDescent="0.2">
      <c r="AB87" s="378">
        <f>_xll.qlCalendarAdvance(Calendar,AB86,"1d","mf")</f>
        <v>41934</v>
      </c>
      <c r="AC87" s="105">
        <f t="shared" si="15"/>
        <v>1.4200000002550551E-3</v>
      </c>
      <c r="AD87" s="105">
        <f t="shared" si="22"/>
        <v>1.4255573237378254E-3</v>
      </c>
      <c r="AE87" s="105">
        <f t="shared" si="23"/>
        <v>1.284133613093183E-3</v>
      </c>
    </row>
    <row r="88" spans="28:31" x14ac:dyDescent="0.2">
      <c r="AB88" s="378">
        <f>_xll.qlCalendarAdvance(Calendar,AB87,"1d","mf")</f>
        <v>41935</v>
      </c>
      <c r="AC88" s="105">
        <f t="shared" si="15"/>
        <v>1.4200000002550551E-3</v>
      </c>
      <c r="AD88" s="105">
        <f t="shared" si="22"/>
        <v>1.4251298373160739E-3</v>
      </c>
      <c r="AE88" s="105">
        <f t="shared" si="23"/>
        <v>1.2889322477747309E-3</v>
      </c>
    </row>
    <row r="89" spans="28:31" x14ac:dyDescent="0.2">
      <c r="AB89" s="378">
        <f>_xll.qlCalendarAdvance(Calendar,AB88,"1d","mf")</f>
        <v>41936</v>
      </c>
      <c r="AC89" s="105">
        <f t="shared" si="15"/>
        <v>1.4200000002550551E-3</v>
      </c>
      <c r="AD89" s="105">
        <f t="shared" si="22"/>
        <v>1.4247023508943224E-3</v>
      </c>
      <c r="AE89" s="105">
        <f t="shared" si="23"/>
        <v>1.2940529050739214E-3</v>
      </c>
    </row>
    <row r="90" spans="28:31" x14ac:dyDescent="0.2">
      <c r="AB90" s="378">
        <f>_xll.qlCalendarAdvance(Calendar,AB89,"1d","mf")</f>
        <v>41939</v>
      </c>
      <c r="AC90" s="105">
        <f t="shared" si="15"/>
        <v>1.4200000002550551E-3</v>
      </c>
      <c r="AD90" s="105">
        <f t="shared" si="22"/>
        <v>1.4234198916290677E-3</v>
      </c>
      <c r="AE90" s="105">
        <f t="shared" si="23"/>
        <v>1.3113470126773492E-3</v>
      </c>
    </row>
    <row r="91" spans="28:31" x14ac:dyDescent="0.2">
      <c r="AB91" s="378">
        <f>_xll.qlCalendarAdvance(Calendar,AB90,"1d","mf")</f>
        <v>41940</v>
      </c>
      <c r="AC91" s="105">
        <f t="shared" si="15"/>
        <v>1.4200000002550551E-3</v>
      </c>
      <c r="AD91" s="105">
        <f t="shared" si="22"/>
        <v>1.4229924052073161E-3</v>
      </c>
      <c r="AE91" s="105">
        <f t="shared" si="23"/>
        <v>1.3177557604471108E-3</v>
      </c>
    </row>
    <row r="92" spans="28:31" x14ac:dyDescent="0.2">
      <c r="AB92" s="378">
        <f>_xll.qlCalendarAdvance(Calendar,AB91,"1d","mf")</f>
        <v>41941</v>
      </c>
      <c r="AC92" s="105">
        <f t="shared" si="15"/>
        <v>1.4200000002550551E-3</v>
      </c>
      <c r="AD92" s="105">
        <f t="shared" si="22"/>
        <v>1.4225649187855644E-3</v>
      </c>
      <c r="AE92" s="105">
        <f t="shared" si="23"/>
        <v>1.324486530834515E-3</v>
      </c>
    </row>
    <row r="93" spans="28:31" x14ac:dyDescent="0.2">
      <c r="AB93" s="378">
        <f>_xll.qlCalendarAdvance(Calendar,AB92,"1d","mf")</f>
        <v>41942</v>
      </c>
      <c r="AC93" s="105">
        <f t="shared" si="15"/>
        <v>1.4200000002550551E-3</v>
      </c>
      <c r="AD93" s="105">
        <f t="shared" si="22"/>
        <v>1.4221374323638129E-3</v>
      </c>
      <c r="AE93" s="105">
        <f t="shared" si="23"/>
        <v>1.331539323839562E-3</v>
      </c>
    </row>
    <row r="94" spans="28:31" x14ac:dyDescent="0.2">
      <c r="AB94" s="378">
        <f>_xll.qlCalendarAdvance(Calendar,AB93,"1d","mf")</f>
        <v>41943</v>
      </c>
      <c r="AC94" s="105">
        <f t="shared" si="15"/>
        <v>1.4200000002550551E-3</v>
      </c>
      <c r="AD94" s="105">
        <f t="shared" ref="AD94:AD125" si="24">$O$32+$O$31*(AB94-SettlementDate)</f>
        <v>1.4217099459420614E-3</v>
      </c>
      <c r="AE94" s="105">
        <f t="shared" ref="AE94:AE125" si="25">$T$32+$T$31*(AB94-SettlementDate)+$T$30*(AB94-SettlementDate)^2</f>
        <v>1.3389141394622519E-3</v>
      </c>
    </row>
    <row r="95" spans="28:31" x14ac:dyDescent="0.2">
      <c r="AB95" s="378">
        <f>_xll.qlCalendarAdvance(Calendar,AB94,"1d","mf")</f>
        <v>41946</v>
      </c>
      <c r="AC95" s="105">
        <f t="shared" ref="AC95:AC143" si="26">$H$32</f>
        <v>1.4200000002550551E-3</v>
      </c>
      <c r="AD95" s="105">
        <f t="shared" si="24"/>
        <v>1.4204274866768066E-3</v>
      </c>
      <c r="AE95" s="105">
        <f t="shared" si="25"/>
        <v>1.362970722036178E-3</v>
      </c>
    </row>
    <row r="96" spans="28:31" x14ac:dyDescent="0.2">
      <c r="AB96" s="378">
        <f>_xll.qlCalendarAdvance(Calendar,AB95,"1d","mf")</f>
        <v>41947</v>
      </c>
      <c r="AC96" s="105">
        <f t="shared" si="26"/>
        <v>1.4200000002550551E-3</v>
      </c>
      <c r="AD96" s="105">
        <f t="shared" si="24"/>
        <v>1.4200000002550551E-3</v>
      </c>
      <c r="AE96" s="105">
        <f t="shared" si="25"/>
        <v>1.3716336281294388E-3</v>
      </c>
    </row>
    <row r="97" spans="28:31" x14ac:dyDescent="0.2">
      <c r="AB97" s="378"/>
      <c r="AC97" s="105"/>
      <c r="AD97" s="105"/>
      <c r="AE97" s="105"/>
    </row>
    <row r="98" spans="28:31" x14ac:dyDescent="0.2">
      <c r="AB98" s="378"/>
      <c r="AC98" s="105"/>
      <c r="AD98" s="105"/>
      <c r="AE98" s="105"/>
    </row>
    <row r="99" spans="28:31" x14ac:dyDescent="0.2">
      <c r="AB99" s="378"/>
      <c r="AC99" s="105"/>
      <c r="AD99" s="105"/>
      <c r="AE99" s="105"/>
    </row>
    <row r="100" spans="28:31" x14ac:dyDescent="0.2">
      <c r="AB100" s="378"/>
      <c r="AC100" s="105"/>
      <c r="AD100" s="105"/>
      <c r="AE100" s="105"/>
    </row>
    <row r="101" spans="28:31" x14ac:dyDescent="0.2">
      <c r="AB101" s="378"/>
      <c r="AC101" s="105"/>
      <c r="AD101" s="105"/>
      <c r="AE101" s="105"/>
    </row>
    <row r="102" spans="28:31" x14ac:dyDescent="0.2">
      <c r="AB102" s="378"/>
      <c r="AC102" s="105"/>
      <c r="AD102" s="105"/>
      <c r="AE102" s="105"/>
    </row>
    <row r="103" spans="28:31" x14ac:dyDescent="0.2">
      <c r="AB103" s="378"/>
      <c r="AC103" s="105"/>
      <c r="AD103" s="105"/>
      <c r="AE103" s="105"/>
    </row>
    <row r="104" spans="28:31" x14ac:dyDescent="0.2">
      <c r="AB104" s="378"/>
      <c r="AC104" s="105"/>
      <c r="AD104" s="105"/>
      <c r="AE104" s="105"/>
    </row>
    <row r="105" spans="28:31" x14ac:dyDescent="0.2">
      <c r="AB105" s="378"/>
      <c r="AC105" s="105"/>
      <c r="AD105" s="105"/>
      <c r="AE105" s="105"/>
    </row>
    <row r="106" spans="28:31" x14ac:dyDescent="0.2">
      <c r="AB106" s="378"/>
      <c r="AC106" s="105"/>
      <c r="AD106" s="105"/>
      <c r="AE106" s="105"/>
    </row>
    <row r="107" spans="28:31" x14ac:dyDescent="0.2">
      <c r="AB107" s="378"/>
      <c r="AC107" s="105"/>
      <c r="AD107" s="105"/>
      <c r="AE107" s="105"/>
    </row>
    <row r="108" spans="28:31" x14ac:dyDescent="0.2">
      <c r="AB108" s="378"/>
      <c r="AC108" s="105"/>
      <c r="AD108" s="105"/>
      <c r="AE108" s="105"/>
    </row>
    <row r="109" spans="28:31" x14ac:dyDescent="0.2">
      <c r="AB109" s="378"/>
      <c r="AC109" s="105"/>
      <c r="AD109" s="105"/>
      <c r="AE109" s="105"/>
    </row>
    <row r="110" spans="28:31" x14ac:dyDescent="0.2">
      <c r="AB110" s="378"/>
      <c r="AC110" s="105"/>
      <c r="AD110" s="105"/>
      <c r="AE110" s="105"/>
    </row>
    <row r="111" spans="28:31" x14ac:dyDescent="0.2">
      <c r="AB111" s="378"/>
      <c r="AC111" s="105"/>
      <c r="AD111" s="105"/>
      <c r="AE111" s="105"/>
    </row>
    <row r="112" spans="28:31" x14ac:dyDescent="0.2">
      <c r="AB112" s="378"/>
      <c r="AC112" s="105"/>
      <c r="AD112" s="105"/>
      <c r="AE112" s="105"/>
    </row>
    <row r="113" spans="28:31" x14ac:dyDescent="0.2">
      <c r="AB113" s="378"/>
      <c r="AC113" s="105"/>
      <c r="AD113" s="105"/>
      <c r="AE113" s="105"/>
    </row>
    <row r="114" spans="28:31" x14ac:dyDescent="0.2">
      <c r="AB114" s="378"/>
      <c r="AC114" s="105"/>
      <c r="AD114" s="105"/>
      <c r="AE114" s="105"/>
    </row>
    <row r="115" spans="28:31" x14ac:dyDescent="0.2">
      <c r="AB115" s="378"/>
      <c r="AC115" s="105"/>
      <c r="AD115" s="105"/>
      <c r="AE115" s="105"/>
    </row>
    <row r="116" spans="28:31" x14ac:dyDescent="0.2">
      <c r="AB116" s="378"/>
      <c r="AC116" s="105"/>
      <c r="AD116" s="105"/>
      <c r="AE116" s="105"/>
    </row>
    <row r="117" spans="28:31" x14ac:dyDescent="0.2">
      <c r="AB117" s="378"/>
      <c r="AC117" s="105"/>
      <c r="AD117" s="105"/>
      <c r="AE117" s="105"/>
    </row>
    <row r="118" spans="28:31" x14ac:dyDescent="0.2">
      <c r="AB118" s="378"/>
      <c r="AC118" s="105"/>
      <c r="AD118" s="105"/>
      <c r="AE118" s="105"/>
    </row>
    <row r="119" spans="28:31" x14ac:dyDescent="0.2">
      <c r="AB119" s="378"/>
      <c r="AC119" s="105"/>
      <c r="AD119" s="105"/>
      <c r="AE119" s="105"/>
    </row>
    <row r="120" spans="28:31" x14ac:dyDescent="0.2">
      <c r="AB120" s="378"/>
      <c r="AC120" s="105"/>
      <c r="AD120" s="105"/>
      <c r="AE120" s="105"/>
    </row>
    <row r="121" spans="28:31" x14ac:dyDescent="0.2">
      <c r="AB121" s="378"/>
      <c r="AC121" s="105"/>
      <c r="AD121" s="105"/>
      <c r="AE121" s="105"/>
    </row>
    <row r="122" spans="28:31" x14ac:dyDescent="0.2">
      <c r="AB122" s="378"/>
      <c r="AC122" s="105"/>
      <c r="AD122" s="105"/>
      <c r="AE122" s="105"/>
    </row>
    <row r="123" spans="28:31" x14ac:dyDescent="0.2">
      <c r="AB123" s="378"/>
      <c r="AC123" s="105"/>
      <c r="AD123" s="105"/>
      <c r="AE123" s="105"/>
    </row>
    <row r="124" spans="28:31" x14ac:dyDescent="0.2">
      <c r="AB124" s="378"/>
      <c r="AC124" s="105"/>
      <c r="AD124" s="105"/>
      <c r="AE124" s="105"/>
    </row>
    <row r="125" spans="28:31" x14ac:dyDescent="0.2">
      <c r="AB125" s="378"/>
      <c r="AC125" s="105"/>
      <c r="AD125" s="105"/>
      <c r="AE125" s="105"/>
    </row>
    <row r="126" spans="28:31" x14ac:dyDescent="0.2">
      <c r="AB126" s="378"/>
      <c r="AC126" s="105"/>
      <c r="AD126" s="105"/>
      <c r="AE126" s="105"/>
    </row>
    <row r="127" spans="28:31" x14ac:dyDescent="0.2">
      <c r="AB127" s="378"/>
      <c r="AC127" s="105"/>
      <c r="AD127" s="105"/>
      <c r="AE127" s="105"/>
    </row>
    <row r="128" spans="28:31" x14ac:dyDescent="0.2">
      <c r="AB128" s="378"/>
      <c r="AC128" s="105"/>
      <c r="AD128" s="105"/>
      <c r="AE128" s="105"/>
    </row>
    <row r="129" spans="28:31" x14ac:dyDescent="0.2">
      <c r="AB129" s="378"/>
      <c r="AC129" s="105"/>
      <c r="AD129" s="105"/>
      <c r="AE129" s="105"/>
    </row>
    <row r="130" spans="28:31" x14ac:dyDescent="0.2">
      <c r="AB130" s="378"/>
      <c r="AC130" s="105"/>
      <c r="AD130" s="105"/>
      <c r="AE130" s="105"/>
    </row>
    <row r="131" spans="28:31" x14ac:dyDescent="0.2">
      <c r="AB131" s="378"/>
      <c r="AC131" s="105"/>
      <c r="AD131" s="105"/>
      <c r="AE131" s="105"/>
    </row>
    <row r="132" spans="28:31" x14ac:dyDescent="0.2">
      <c r="AB132" s="378"/>
      <c r="AC132" s="105"/>
      <c r="AD132" s="105"/>
      <c r="AE132" s="105"/>
    </row>
    <row r="133" spans="28:31" x14ac:dyDescent="0.2">
      <c r="AB133" s="378"/>
      <c r="AC133" s="105"/>
      <c r="AD133" s="105"/>
      <c r="AE133" s="105"/>
    </row>
    <row r="134" spans="28:31" x14ac:dyDescent="0.2">
      <c r="AB134" s="378"/>
      <c r="AC134" s="105"/>
      <c r="AD134" s="105"/>
      <c r="AE134" s="105"/>
    </row>
    <row r="135" spans="28:31" x14ac:dyDescent="0.2">
      <c r="AB135" s="378"/>
      <c r="AC135" s="105"/>
      <c r="AD135" s="105"/>
      <c r="AE135" s="105"/>
    </row>
    <row r="136" spans="28:31" x14ac:dyDescent="0.2">
      <c r="AB136" s="378"/>
      <c r="AC136" s="105"/>
      <c r="AD136" s="105"/>
      <c r="AE136" s="105"/>
    </row>
    <row r="137" spans="28:31" x14ac:dyDescent="0.2">
      <c r="AB137" s="378"/>
      <c r="AC137" s="105"/>
      <c r="AD137" s="105"/>
      <c r="AE137" s="105"/>
    </row>
    <row r="138" spans="28:31" x14ac:dyDescent="0.2">
      <c r="AB138" s="378"/>
      <c r="AC138" s="105"/>
      <c r="AD138" s="105"/>
      <c r="AE138" s="105"/>
    </row>
    <row r="139" spans="28:31" x14ac:dyDescent="0.2">
      <c r="AB139" s="378"/>
      <c r="AC139" s="105"/>
      <c r="AD139" s="105"/>
      <c r="AE139" s="105"/>
    </row>
    <row r="140" spans="28:31" x14ac:dyDescent="0.2">
      <c r="AB140" s="378"/>
      <c r="AC140" s="105"/>
      <c r="AD140" s="105"/>
      <c r="AE140" s="105"/>
    </row>
    <row r="141" spans="28:31" x14ac:dyDescent="0.2">
      <c r="AB141" s="378"/>
      <c r="AC141" s="105"/>
      <c r="AD141" s="105"/>
      <c r="AE141" s="105"/>
    </row>
    <row r="142" spans="28:31" x14ac:dyDescent="0.2">
      <c r="AB142" s="378"/>
      <c r="AC142" s="105"/>
      <c r="AD142" s="105"/>
      <c r="AE142" s="105"/>
    </row>
    <row r="143" spans="28:31" x14ac:dyDescent="0.2">
      <c r="AB143" s="378"/>
      <c r="AC143" s="105"/>
      <c r="AD143" s="105"/>
      <c r="AE143" s="105"/>
    </row>
  </sheetData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L6" sqref="A1:L6"/>
    </sheetView>
  </sheetViews>
  <sheetFormatPr defaultRowHeight="11.25" outlineLevelCol="1" x14ac:dyDescent="0.2"/>
  <cols>
    <col min="1" max="1" width="6.6640625" style="195" hidden="1" customWidth="1" outlineLevel="1"/>
    <col min="2" max="3" width="7" style="225" hidden="1" customWidth="1" outlineLevel="1"/>
    <col min="4" max="4" width="6" style="225" customWidth="1" collapsed="1"/>
    <col min="5" max="5" width="31.1640625" style="195" bestFit="1" customWidth="1"/>
    <col min="6" max="6" width="22.5" style="195" bestFit="1" customWidth="1"/>
    <col min="7" max="8" width="9.33203125" style="225" bestFit="1" customWidth="1"/>
    <col min="9" max="10" width="10.5" style="225" bestFit="1" customWidth="1"/>
    <col min="11" max="12" width="20.1640625" style="225" bestFit="1" customWidth="1"/>
    <col min="13" max="13" width="3.1640625" style="195" bestFit="1" customWidth="1"/>
    <col min="14" max="16384" width="9.33203125" style="195"/>
  </cols>
  <sheetData>
    <row r="1" spans="2:13" ht="22.5" x14ac:dyDescent="0.2">
      <c r="B1" s="394" t="s">
        <v>103</v>
      </c>
      <c r="C1" s="395"/>
      <c r="D1" s="395"/>
      <c r="E1" s="193" t="s">
        <v>104</v>
      </c>
      <c r="F1" s="193" t="s">
        <v>105</v>
      </c>
      <c r="G1" s="193" t="s">
        <v>106</v>
      </c>
      <c r="H1" s="193" t="s">
        <v>107</v>
      </c>
      <c r="I1" s="193" t="s">
        <v>108</v>
      </c>
      <c r="J1" s="193" t="s">
        <v>109</v>
      </c>
      <c r="K1" s="193" t="s">
        <v>110</v>
      </c>
      <c r="L1" s="194" t="s">
        <v>111</v>
      </c>
    </row>
    <row r="2" spans="2:13" x14ac:dyDescent="0.2">
      <c r="B2" s="196"/>
      <c r="C2" s="197" t="s">
        <v>32</v>
      </c>
      <c r="D2" s="198" t="s">
        <v>112</v>
      </c>
      <c r="E2" s="265" t="str">
        <f>Contribution!$D$40</f>
        <v>EUR1YD_SYNTH1Y_Quote#0000</v>
      </c>
      <c r="F2" s="265" t="str">
        <f>_xll.qlDepositRateHelper(,E2,$F$10,)</f>
        <v>obj_003ba#0000</v>
      </c>
      <c r="G2" s="199">
        <f>_xll.qlRateHelperQuoteValue(F2,InterestRatesTrigger)</f>
        <v>4.8900000000000002E-3</v>
      </c>
      <c r="H2" s="200" t="b">
        <v>1</v>
      </c>
      <c r="I2" s="200">
        <v>70</v>
      </c>
      <c r="J2" s="200">
        <v>1</v>
      </c>
      <c r="K2" s="201">
        <f>_xll.qlRateHelperEarliestDate($F2,InterestRatesTrigger)</f>
        <v>41855</v>
      </c>
      <c r="L2" s="202">
        <f>_xll.qlRateHelperLatestDate($F2,InterestRatesTrigger)</f>
        <v>42220</v>
      </c>
    </row>
    <row r="3" spans="2:13" ht="11.25" customHeight="1" x14ac:dyDescent="0.2">
      <c r="B3" s="203">
        <v>12</v>
      </c>
      <c r="C3" s="204" t="s">
        <v>113</v>
      </c>
      <c r="D3" s="204" t="s">
        <v>114</v>
      </c>
      <c r="E3" s="266" t="s">
        <v>115</v>
      </c>
      <c r="F3" s="266" t="str">
        <f>_xll.qlFraRateHelper(,E3,B3&amp;"M",$F$10)</f>
        <v>obj_003b1#0000</v>
      </c>
      <c r="G3" s="205">
        <f>_xll.qlRateHelperQuoteValue(F3,InterestRatesTrigger)</f>
        <v>5.3400000000000001E-3</v>
      </c>
      <c r="H3" s="206" t="b">
        <v>1</v>
      </c>
      <c r="I3" s="206">
        <v>70</v>
      </c>
      <c r="J3" s="206">
        <v>1</v>
      </c>
      <c r="K3" s="207">
        <f>_xll.qlRateHelperEarliestDate($F3,InterestRatesTrigger)</f>
        <v>42220</v>
      </c>
      <c r="L3" s="208">
        <f>_xll.qlRateHelperLatestDate($F3,InterestRatesTrigger)</f>
        <v>42586</v>
      </c>
      <c r="M3" s="209"/>
    </row>
    <row r="4" spans="2:13" x14ac:dyDescent="0.2">
      <c r="B4" s="210" t="s">
        <v>116</v>
      </c>
      <c r="C4" s="211" t="s">
        <v>117</v>
      </c>
      <c r="D4" s="212" t="s">
        <v>118</v>
      </c>
      <c r="E4" s="267" t="s">
        <v>119</v>
      </c>
      <c r="F4" s="267" t="str">
        <f>_xll.qlSwapRateHelper2(,E4,D4,Calendar,"annual","mf","30/360 (Bond Basis)",$F$10,0,"0D",OisCurve)</f>
        <v>obj_003a7#0000</v>
      </c>
      <c r="G4" s="213">
        <f>_xll.qlRateHelperQuoteValue(F4,InterestRatesTrigger)</f>
        <v>5.7800000000000004E-3</v>
      </c>
      <c r="H4" s="214" t="b">
        <v>1</v>
      </c>
      <c r="I4" s="214">
        <v>50</v>
      </c>
      <c r="J4" s="214">
        <v>1</v>
      </c>
      <c r="K4" s="215">
        <f>_xll.qlRateHelperEarliestDate($F4,InterestRatesTrigger)</f>
        <v>41855</v>
      </c>
      <c r="L4" s="216">
        <f>_xll.qlRateHelperLatestDate($F4,InterestRatesTrigger)</f>
        <v>42951</v>
      </c>
    </row>
    <row r="5" spans="2:13" x14ac:dyDescent="0.2">
      <c r="B5" s="217" t="s">
        <v>116</v>
      </c>
      <c r="C5" s="218" t="s">
        <v>117</v>
      </c>
      <c r="D5" s="219" t="s">
        <v>120</v>
      </c>
      <c r="E5" s="268" t="s">
        <v>121</v>
      </c>
      <c r="F5" s="268" t="str">
        <f>_xll.qlSwapRateHelper2(,E5,D5,Calendar,"annual","mf","30/360 (Bond Basis)",$F$10,0,"0D",OisCurve)</f>
        <v>obj_003ae#0000</v>
      </c>
      <c r="G5" s="220">
        <f>_xll.qlRateHelperQuoteValue(F5,InterestRatesTrigger)</f>
        <v>6.8500000000000002E-3</v>
      </c>
      <c r="H5" s="221" t="b">
        <v>1</v>
      </c>
      <c r="I5" s="221">
        <v>50</v>
      </c>
      <c r="J5" s="221">
        <v>1</v>
      </c>
      <c r="K5" s="222">
        <f>_xll.qlRateHelperEarliestDate($F5,InterestRatesTrigger)</f>
        <v>41855</v>
      </c>
      <c r="L5" s="223">
        <f>_xll.qlRateHelperLatestDate($F5,InterestRatesTrigger)</f>
        <v>43318</v>
      </c>
    </row>
    <row r="6" spans="2:13" x14ac:dyDescent="0.2">
      <c r="B6" s="224" t="s">
        <v>116</v>
      </c>
      <c r="C6" s="197" t="s">
        <v>117</v>
      </c>
      <c r="D6" s="198" t="s">
        <v>122</v>
      </c>
      <c r="E6" s="265" t="s">
        <v>123</v>
      </c>
      <c r="F6" s="265" t="str">
        <f>_xll.qlSwapRateHelper2(,E6,D6,Calendar,"annual","mf","30/360 (Bond Basis)",$F$10,0,"0D",OisCurve)</f>
        <v>obj_003aa#0000</v>
      </c>
      <c r="G6" s="199">
        <f>_xll.qlRateHelperQuoteValue(F6,InterestRatesTrigger)</f>
        <v>8.1900000000000011E-3</v>
      </c>
      <c r="H6" s="200" t="b">
        <v>1</v>
      </c>
      <c r="I6" s="200">
        <v>50</v>
      </c>
      <c r="J6" s="200">
        <v>1</v>
      </c>
      <c r="K6" s="201">
        <f>_xll.qlRateHelperEarliestDate($F6,InterestRatesTrigger)</f>
        <v>41855</v>
      </c>
      <c r="L6" s="202">
        <f>_xll.qlRateHelperLatestDate($F6,InterestRatesTrigger)</f>
        <v>43682</v>
      </c>
    </row>
    <row r="10" spans="2:13" x14ac:dyDescent="0.2">
      <c r="F10" s="195" t="str">
        <f>_xll.qlEuribor(,IborTenor,,,EvaluationDate)</f>
        <v>obj_003a0#0000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D127"/>
  <sheetViews>
    <sheetView topLeftCell="C1" zoomScaleNormal="100" workbookViewId="0">
      <selection activeCell="F48" sqref="F48"/>
    </sheetView>
  </sheetViews>
  <sheetFormatPr defaultRowHeight="11.25" outlineLevelCol="1" x14ac:dyDescent="0.2"/>
  <cols>
    <col min="1" max="1" width="17.6640625" style="225" bestFit="1" customWidth="1"/>
    <col min="2" max="2" width="9.33203125" style="225" bestFit="1" customWidth="1"/>
    <col min="3" max="4" width="20.1640625" style="225" bestFit="1" customWidth="1"/>
    <col min="5" max="5" width="11.6640625" style="195" bestFit="1" customWidth="1"/>
    <col min="6" max="6" width="7.33203125" style="195" customWidth="1"/>
    <col min="7" max="7" width="20.1640625" style="195" customWidth="1" outlineLevel="1"/>
    <col min="8" max="8" width="17.6640625" style="195" customWidth="1" outlineLevel="1"/>
    <col min="9" max="10" width="20.1640625" style="195" customWidth="1"/>
    <col min="11" max="12" width="9.33203125" style="195" bestFit="1" customWidth="1"/>
    <col min="13" max="13" width="10.5" style="195" bestFit="1" customWidth="1"/>
    <col min="14" max="14" width="9.33203125" style="195" customWidth="1"/>
    <col min="15" max="15" width="17.6640625" style="195" bestFit="1" customWidth="1"/>
    <col min="16" max="16" width="9.33203125" style="195"/>
    <col min="17" max="17" width="2.83203125" style="195" customWidth="1"/>
    <col min="18" max="18" width="27.5" style="195" bestFit="1" customWidth="1"/>
    <col min="19" max="19" width="20.1640625" style="195" hidden="1" customWidth="1"/>
    <col min="20" max="20" width="20.1640625" style="195" bestFit="1" customWidth="1"/>
    <col min="21" max="21" width="20.1640625" style="195" customWidth="1"/>
    <col min="22" max="22" width="20.1640625" style="195" hidden="1" customWidth="1"/>
    <col min="23" max="23" width="10" style="195" bestFit="1" customWidth="1"/>
    <col min="24" max="24" width="9.33203125" style="195" customWidth="1"/>
    <col min="25" max="25" width="10" style="195" bestFit="1" customWidth="1"/>
    <col min="26" max="26" width="9.33203125" style="195"/>
    <col min="27" max="27" width="2.83203125" style="195" customWidth="1"/>
    <col min="28" max="16384" width="9.33203125" style="195"/>
  </cols>
  <sheetData>
    <row r="1" spans="1:30" ht="22.5" x14ac:dyDescent="0.2">
      <c r="A1" s="226" t="s">
        <v>124</v>
      </c>
      <c r="B1" s="193" t="s">
        <v>125</v>
      </c>
      <c r="C1" s="193" t="s">
        <v>110</v>
      </c>
      <c r="D1" s="194" t="s">
        <v>111</v>
      </c>
      <c r="E1" s="227" t="s">
        <v>125</v>
      </c>
      <c r="F1" s="227"/>
      <c r="G1" s="227" t="s">
        <v>126</v>
      </c>
      <c r="H1" s="227"/>
      <c r="I1" s="227" t="s">
        <v>127</v>
      </c>
      <c r="J1" s="227" t="s">
        <v>128</v>
      </c>
      <c r="K1" s="227" t="s">
        <v>129</v>
      </c>
      <c r="L1" s="227" t="s">
        <v>45</v>
      </c>
      <c r="M1" s="227" t="s">
        <v>130</v>
      </c>
      <c r="N1" s="227" t="s">
        <v>131</v>
      </c>
    </row>
    <row r="2" spans="1:30" x14ac:dyDescent="0.2">
      <c r="A2" s="228"/>
      <c r="B2" s="229"/>
      <c r="C2" s="230"/>
      <c r="D2" s="231">
        <f>SettlementDate</f>
        <v>41855</v>
      </c>
      <c r="E2" s="232">
        <f t="array" ref="E2:E127">_xll.qlPiecewiseYieldCurveData(YieldCurve,InterestRatesTrigger)</f>
        <v>1</v>
      </c>
      <c r="F2" s="195">
        <v>0</v>
      </c>
      <c r="G2" s="233">
        <f>_xll.qlInterestRateIndexFixingDate(IborIndex,I2)</f>
        <v>41851</v>
      </c>
      <c r="H2" s="195" t="str">
        <f>_xll.qlMakeDatedOIS(,I2,J2,OvernightIndex,0,"Act/360",0)</f>
        <v>obj_003eb#0016</v>
      </c>
      <c r="I2" s="233">
        <f>_xll.qlCalendarAdvance(Calendar,$D$2,F2&amp;"M","mf")</f>
        <v>41855</v>
      </c>
      <c r="J2" s="233">
        <f>_xll.qlInterestRateIndexMaturity(IborIndex,I2)</f>
        <v>42220</v>
      </c>
      <c r="K2" s="232">
        <f>_xll.qlIndexFixing(IborIndex,G2,TRUE,InterestRatesTrigger)</f>
        <v>4.8900000000000063E-3</v>
      </c>
      <c r="L2" s="232">
        <f>_xll.qlOvernightIndexedSwapFairRate(H2,Contribution!$P$25)</f>
        <v>5.999999997733207E-4</v>
      </c>
      <c r="M2" s="209">
        <f>ROUND(K2-L2,6)</f>
        <v>4.2900000000000004E-3</v>
      </c>
      <c r="N2" s="232"/>
      <c r="O2" s="195" t="str">
        <f>_xll.qlSimpleQuote(,,,,EvaluationDate)</f>
        <v>obj_00388#0015</v>
      </c>
      <c r="P2" s="232">
        <f>_xll.qlSimpleQuoteSetValue(O2,M2)</f>
        <v>0</v>
      </c>
      <c r="AB2" s="209"/>
      <c r="AC2" s="209"/>
      <c r="AD2" s="369"/>
    </row>
    <row r="3" spans="1:30" x14ac:dyDescent="0.2">
      <c r="A3" s="234" t="str">
        <f>RateHelpersFra!F2</f>
        <v>obj_003ba#0000</v>
      </c>
      <c r="B3" s="235">
        <f>_xll.qlRateHelperRate($A3,InterestRatesTrigger)</f>
        <v>4.8900000000000002E-3</v>
      </c>
      <c r="C3" s="236">
        <f>_xll.qlRateHelperEarliestDate($A3)</f>
        <v>41855</v>
      </c>
      <c r="D3" s="231">
        <f>_xll.qlRateHelperLatestDate($A3)</f>
        <v>42220</v>
      </c>
      <c r="E3" s="232">
        <v>0.99506654300200792</v>
      </c>
      <c r="F3" s="195">
        <v>12</v>
      </c>
      <c r="G3" s="233">
        <f>_xll.qlInterestRateIndexFixingDate(IborIndex,I3)</f>
        <v>42216</v>
      </c>
      <c r="H3" s="195" t="str">
        <f>_xll.qlMakeDatedOIS(,I3,J3,OvernightIndex,0,"Act/360",0)</f>
        <v>obj_003e8#0016</v>
      </c>
      <c r="I3" s="233">
        <f>_xll.qlCalendarAdvance(Calendar,$D$2,F3&amp;"M","mf")</f>
        <v>42220</v>
      </c>
      <c r="J3" s="233">
        <f>_xll.qlInterestRateIndexMaturity(IborIndex,I3)</f>
        <v>42586</v>
      </c>
      <c r="K3" s="232">
        <f>_xll.qlIndexFixing(IborIndex,G3,TRUE,InterestRatesTrigger)</f>
        <v>5.3400000000001268E-3</v>
      </c>
      <c r="L3" s="232">
        <f>_xll.qlOvernightIndexedSwapFairRate(H3,Contribution!$P$25)</f>
        <v>8.5975812967063856E-4</v>
      </c>
      <c r="M3" s="209">
        <f>ROUND(K3-L3,6)</f>
        <v>4.4799999999999996E-3</v>
      </c>
      <c r="N3" s="232"/>
      <c r="O3" s="195" t="str">
        <f>_xll.qlSimpleQuote(,,,,EvaluationDate)</f>
        <v>obj_00381#0015</v>
      </c>
      <c r="P3" s="232">
        <f>_xll.qlSimpleQuoteSetValue(O3,M3)</f>
        <v>0</v>
      </c>
      <c r="AB3" s="209"/>
      <c r="AC3" s="209"/>
      <c r="AD3" s="369"/>
    </row>
    <row r="4" spans="1:30" x14ac:dyDescent="0.2">
      <c r="A4" s="234" t="str">
        <f>RateHelpersFra!F3</f>
        <v>obj_003b1#0000</v>
      </c>
      <c r="B4" s="235">
        <f>_xll.qlRateHelperRate($A4,InterestRatesTrigger)</f>
        <v>5.3400000000000001E-3</v>
      </c>
      <c r="C4" s="236">
        <f>_xll.qlRateHelperEarliestDate($A4)</f>
        <v>42220</v>
      </c>
      <c r="D4" s="231">
        <f>_xll.qlRateHelperLatestDate($A4)</f>
        <v>42586</v>
      </c>
      <c r="E4" s="232">
        <v>0.98969349700675813</v>
      </c>
      <c r="F4" s="195">
        <v>24</v>
      </c>
      <c r="G4" s="233">
        <f>_xll.qlInterestRateIndexFixingDate(IborIndex,I4)</f>
        <v>42584</v>
      </c>
      <c r="H4" s="195" t="str">
        <f>_xll.qlMakeDatedOIS(,I4,J4,OvernightIndex,0,"Act/360",0)</f>
        <v>obj_003ec#0016</v>
      </c>
      <c r="I4" s="233">
        <f>_xll.qlCalendarAdvance(Calendar,$D$2,F4&amp;"M","mf")</f>
        <v>42586</v>
      </c>
      <c r="J4" s="233">
        <f>_xll.qlInterestRateIndexMaturity(IborIndex,I4)</f>
        <v>42951</v>
      </c>
      <c r="K4" s="232">
        <f>_xll.qlIndexFixing(IborIndex,G4,TRUE,InterestRatesTrigger)</f>
        <v>6.8613081025686671E-3</v>
      </c>
      <c r="L4" s="232">
        <f>_xll.qlOvernightIndexedSwapFairRate(H4,Contribution!$P$25)</f>
        <v>2.3545343331549864E-3</v>
      </c>
      <c r="M4" s="209">
        <f>ROUND(K4-L4,6)</f>
        <v>4.5069999999999997E-3</v>
      </c>
      <c r="N4" s="232"/>
      <c r="O4" s="195" t="str">
        <f>_xll.qlSimpleQuote(,,,,EvaluationDate)</f>
        <v>obj_00398#0015</v>
      </c>
      <c r="P4" s="232">
        <f>_xll.qlSimpleQuoteSetValue(O4,M4)</f>
        <v>0</v>
      </c>
      <c r="AB4" s="209"/>
      <c r="AC4" s="209"/>
      <c r="AD4" s="369"/>
    </row>
    <row r="5" spans="1:30" x14ac:dyDescent="0.2">
      <c r="A5" s="234" t="str">
        <f>RateHelpersFra!F4</f>
        <v>obj_003a7#0000</v>
      </c>
      <c r="B5" s="235">
        <f>_xll.qlRateHelperRate($A5,InterestRatesTrigger)</f>
        <v>5.7800000000000004E-3</v>
      </c>
      <c r="C5" s="236">
        <f>_xll.qlRateHelperEarliestDate($A5)</f>
        <v>41855</v>
      </c>
      <c r="D5" s="231">
        <f>_xll.qlRateHelperLatestDate($A5)</f>
        <v>42951</v>
      </c>
      <c r="E5" s="232">
        <v>0.98285615589363651</v>
      </c>
      <c r="F5" s="195">
        <v>36</v>
      </c>
      <c r="G5" s="233">
        <f>_xll.qlInterestRateIndexFixingDate(IborIndex,I5)</f>
        <v>42949</v>
      </c>
      <c r="H5" s="195" t="str">
        <f>_xll.qlMakeDatedOIS(,I5,J5,OvernightIndex,0,"Act/360",0)</f>
        <v>obj_003f3#0016</v>
      </c>
      <c r="I5" s="233">
        <f>_xll.qlCalendarAdvance(Calendar,$D$2,F5&amp;"M","mf")</f>
        <v>42951</v>
      </c>
      <c r="J5" s="233">
        <f>_xll.qlInterestRateIndexMaturity(IborIndex,I5)</f>
        <v>43318</v>
      </c>
      <c r="K5" s="232">
        <f>_xll.qlIndexFixing(IborIndex,G5,TRUE,InterestRatesTrigger)</f>
        <v>9.9274501952876758E-3</v>
      </c>
      <c r="L5" s="232">
        <f>_xll.qlOvernightIndexedSwapFairRate(H5,Contribution!$P$25)</f>
        <v>4.9967362926392591E-3</v>
      </c>
      <c r="M5" s="209">
        <f>ROUND(K5-L5,6)</f>
        <v>4.9309999999999996E-3</v>
      </c>
      <c r="N5" s="232"/>
      <c r="O5" s="195" t="str">
        <f>_xll.qlSimpleQuote(,,,,EvaluationDate)</f>
        <v>obj_0037a#0015</v>
      </c>
      <c r="P5" s="232">
        <f>_xll.qlSimpleQuoteSetValue(O5,M5)</f>
        <v>0</v>
      </c>
      <c r="AB5" s="209"/>
      <c r="AC5" s="209"/>
      <c r="AD5" s="369"/>
    </row>
    <row r="6" spans="1:30" x14ac:dyDescent="0.2">
      <c r="A6" s="234" t="str">
        <f>RateHelpersFra!F5</f>
        <v>obj_003ae#0000</v>
      </c>
      <c r="B6" s="235">
        <f>_xll.qlRateHelperRate($A6,InterestRatesTrigger)</f>
        <v>6.8500000000000002E-3</v>
      </c>
      <c r="C6" s="236">
        <f>_xll.qlRateHelperEarliestDate($A6)</f>
        <v>41855</v>
      </c>
      <c r="D6" s="231">
        <f>_xll.qlRateHelperLatestDate($A6)</f>
        <v>43318</v>
      </c>
      <c r="E6" s="232">
        <v>0.97300883559072271</v>
      </c>
      <c r="F6" s="195">
        <v>48</v>
      </c>
      <c r="G6" s="233">
        <f>_xll.qlInterestRateIndexFixingDate(IborIndex,I6)</f>
        <v>43314</v>
      </c>
      <c r="H6" s="195" t="str">
        <f>_xll.qlMakeDatedOIS(,I6,J6,OvernightIndex,0,"Act/360",0)</f>
        <v>obj_00400#0015</v>
      </c>
      <c r="I6" s="233">
        <f>_xll.qlCalendarAdvance(Calendar,$D$2,F6&amp;"M","mf")</f>
        <v>43318</v>
      </c>
      <c r="J6" s="233">
        <f>_xll.qlInterestRateIndexMaturity(IborIndex,I6)</f>
        <v>43683</v>
      </c>
      <c r="K6" s="232">
        <f>_xll.qlIndexFixing(IborIndex,G6,TRUE,InterestRatesTrigger)</f>
        <v>1.3461872739445194E-2</v>
      </c>
      <c r="L6" s="232">
        <f>_xll.qlOvernightIndexedSwapFairRate(H6,Contribution!$P$25)</f>
        <v>8.4981972510532241E-3</v>
      </c>
      <c r="M6" s="209">
        <f>ROUND(K6-L6,6)</f>
        <v>4.9639999999999997E-3</v>
      </c>
      <c r="N6" s="232"/>
      <c r="O6" s="195" t="str">
        <f>_xll.qlSimpleQuote(,,,,EvaluationDate)</f>
        <v>obj_00392#0015</v>
      </c>
      <c r="P6" s="232">
        <f>_xll.qlSimpleQuoteSetValue(O6,M6)</f>
        <v>0</v>
      </c>
      <c r="AB6" s="209"/>
      <c r="AC6" s="209"/>
      <c r="AD6" s="369"/>
    </row>
    <row r="7" spans="1:30" x14ac:dyDescent="0.2">
      <c r="A7" s="234" t="str">
        <f>RateHelpersFra!F6</f>
        <v>obj_003aa#0000</v>
      </c>
      <c r="B7" s="235">
        <f>_xll.qlRateHelperRate($A7,InterestRatesTrigger)</f>
        <v>8.1900000000000011E-3</v>
      </c>
      <c r="C7" s="236">
        <f>_xll.qlRateHelperEarliestDate($A7)</f>
        <v>41855</v>
      </c>
      <c r="D7" s="231">
        <f>_xll.qlRateHelperLatestDate($A7)</f>
        <v>43682</v>
      </c>
      <c r="E7" s="232">
        <v>0.9599448354343747</v>
      </c>
      <c r="G7" s="233"/>
      <c r="I7" s="233"/>
      <c r="J7" s="233"/>
      <c r="K7" s="232"/>
      <c r="L7" s="232"/>
      <c r="M7" s="209"/>
      <c r="AB7" s="209"/>
      <c r="AC7" s="209"/>
      <c r="AD7" s="369"/>
    </row>
    <row r="8" spans="1:30" x14ac:dyDescent="0.2">
      <c r="A8" s="234"/>
      <c r="B8" s="235"/>
      <c r="C8" s="236"/>
      <c r="D8" s="231"/>
      <c r="E8" s="232" t="e">
        <v>#N/A</v>
      </c>
      <c r="F8" s="374">
        <v>0</v>
      </c>
      <c r="G8" s="375">
        <f>_xll.qlInterestRateIndexFixingDate(IborIndex,I8)</f>
        <v>41851</v>
      </c>
      <c r="H8" s="374" t="str">
        <f>_xll.qlMakeDatedOIS(,I8,J8,OvernightIndex,0,"Act/360",0)</f>
        <v>obj_00425#0015</v>
      </c>
      <c r="I8" s="375">
        <f>_xll.qlCalendarAdvance(Calendar,$D$2,F8&amp;"M","mf")</f>
        <v>41855</v>
      </c>
      <c r="J8" s="375">
        <f>_xll.qlInterestRateIndexMaturity(IborIndex,I8)</f>
        <v>42220</v>
      </c>
      <c r="K8" s="374"/>
      <c r="L8" s="376">
        <f>_xll.qlOvernightIndexedSwapFairRate(H8,_xll.ohTrigger($P$2:$P$6))</f>
        <v>5.999999997733207E-4</v>
      </c>
      <c r="M8" s="377">
        <f>_xll.qlInterpolationInterpolate(BasisInterpolator,I8,,L8)</f>
        <v>4.2900000000000004E-3</v>
      </c>
      <c r="N8" s="376">
        <f>L8+M8</f>
        <v>4.8899999997733213E-3</v>
      </c>
      <c r="AB8" s="209"/>
      <c r="AC8" s="209"/>
      <c r="AD8" s="369"/>
    </row>
    <row r="9" spans="1:30" x14ac:dyDescent="0.2">
      <c r="A9" s="234"/>
      <c r="B9" s="235"/>
      <c r="C9" s="236"/>
      <c r="D9" s="231"/>
      <c r="E9" s="232" t="e">
        <v>#N/A</v>
      </c>
      <c r="F9" s="195">
        <v>1</v>
      </c>
      <c r="G9" s="233">
        <f>_xll.qlInterestRateIndexFixingDate(IborIndex,I9)</f>
        <v>41884</v>
      </c>
      <c r="H9" s="195" t="str">
        <f>_xll.qlMakeDatedOIS(,I9,J9,OvernightIndex,0,"Act/360",0)</f>
        <v>obj_00405#0015</v>
      </c>
      <c r="I9" s="233">
        <f>_xll.qlCalendarAdvance(Calendar,$D$2,F9&amp;"M","mf")</f>
        <v>41886</v>
      </c>
      <c r="J9" s="233">
        <f>_xll.qlInterestRateIndexMaturity(IborIndex,I9)</f>
        <v>42251</v>
      </c>
      <c r="L9" s="232">
        <f>_xll.qlOvernightIndexedSwapFairRate(H9,_xll.ohTrigger($P$2:$P$6))</f>
        <v>5.8504959501168644E-4</v>
      </c>
      <c r="M9" s="209">
        <f>_xll.qlInterpolationInterpolate(BasisInterpolator,I9,,L9)</f>
        <v>4.3127942630057691E-3</v>
      </c>
      <c r="N9" s="232">
        <f>L9+M9</f>
        <v>4.8978438580174555E-3</v>
      </c>
      <c r="O9" s="369"/>
      <c r="AB9" s="209"/>
      <c r="AC9" s="209"/>
      <c r="AD9" s="369"/>
    </row>
    <row r="10" spans="1:30" x14ac:dyDescent="0.2">
      <c r="A10" s="234"/>
      <c r="B10" s="235"/>
      <c r="C10" s="236"/>
      <c r="D10" s="231"/>
      <c r="E10" s="232" t="e">
        <v>#N/A</v>
      </c>
      <c r="F10" s="195">
        <v>2</v>
      </c>
      <c r="G10" s="233">
        <f>_xll.qlInterestRateIndexFixingDate(IborIndex,I10)</f>
        <v>41914</v>
      </c>
      <c r="H10" s="195" t="str">
        <f>_xll.qlMakeDatedOIS(,I10,J10,OvernightIndex,0,"Act/360",0)</f>
        <v>obj_00423#0015</v>
      </c>
      <c r="I10" s="233">
        <f>_xll.qlCalendarAdvance(Calendar,$D$2,F10&amp;"M","mf")</f>
        <v>41918</v>
      </c>
      <c r="J10" s="233">
        <f>_xll.qlInterestRateIndexMaturity(IborIndex,I10)</f>
        <v>42283</v>
      </c>
      <c r="L10" s="232">
        <f>_xll.qlOvernightIndexedSwapFairRate(H10,_xll.ohTrigger($P$2:$P$6))</f>
        <v>5.6176066472716395E-4</v>
      </c>
      <c r="M10" s="209">
        <f>_xll.qlInterpolationInterpolate(BasisInterpolator,I10,,L10)</f>
        <v>4.3360161360499168E-3</v>
      </c>
      <c r="N10" s="232">
        <f t="shared" ref="N10:N56" si="0">L10+M10</f>
        <v>4.8977768007770804E-3</v>
      </c>
      <c r="O10" s="369"/>
      <c r="AB10" s="209"/>
      <c r="AC10" s="209"/>
      <c r="AD10" s="369"/>
    </row>
    <row r="11" spans="1:30" x14ac:dyDescent="0.2">
      <c r="A11" s="234"/>
      <c r="B11" s="235"/>
      <c r="C11" s="236"/>
      <c r="D11" s="231"/>
      <c r="E11" s="232" t="e">
        <v>#N/A</v>
      </c>
      <c r="F11" s="195">
        <v>3</v>
      </c>
      <c r="G11" s="233">
        <f>_xll.qlInterestRateIndexFixingDate(IborIndex,I11)</f>
        <v>41943</v>
      </c>
      <c r="H11" s="195" t="str">
        <f>_xll.qlMakeDatedOIS(,I11,J11,OvernightIndex,0,"Act/360",0)</f>
        <v>obj_0041a#0015</v>
      </c>
      <c r="I11" s="233">
        <f>_xll.qlCalendarAdvance(Calendar,$D$2,F11&amp;"M","mf")</f>
        <v>41947</v>
      </c>
      <c r="J11" s="233">
        <f>_xll.qlInterestRateIndexMaturity(IborIndex,I11)</f>
        <v>42312</v>
      </c>
      <c r="L11" s="232">
        <f>_xll.qlOvernightIndexedSwapFairRate(H11,_xll.ohTrigger($P$2:$P$6))</f>
        <v>5.5729385370681134E-4</v>
      </c>
      <c r="M11" s="209">
        <f>_xll.qlInterpolationInterpolate(BasisInterpolator,I11,,L11)</f>
        <v>4.3565267214026324E-3</v>
      </c>
      <c r="N11" s="232">
        <f t="shared" si="0"/>
        <v>4.9138205751094437E-3</v>
      </c>
      <c r="O11" s="369"/>
      <c r="AB11" s="209"/>
      <c r="AC11" s="209"/>
      <c r="AD11" s="369"/>
    </row>
    <row r="12" spans="1:30" x14ac:dyDescent="0.2">
      <c r="A12" s="234"/>
      <c r="B12" s="235"/>
      <c r="C12" s="236"/>
      <c r="D12" s="231"/>
      <c r="E12" s="232" t="e">
        <v>#N/A</v>
      </c>
      <c r="F12" s="195">
        <v>4</v>
      </c>
      <c r="G12" s="233">
        <f>_xll.qlInterestRateIndexFixingDate(IborIndex,I12)</f>
        <v>41975</v>
      </c>
      <c r="H12" s="195" t="str">
        <f>_xll.qlMakeDatedOIS(,I12,J12,OvernightIndex,0,"Act/360",0)</f>
        <v>obj_003f9#0015</v>
      </c>
      <c r="I12" s="233">
        <f>_xll.qlCalendarAdvance(Calendar,$D$2,F12&amp;"M","mf")</f>
        <v>41977</v>
      </c>
      <c r="J12" s="233">
        <f>_xll.qlInterestRateIndexMaturity(IborIndex,I12)</f>
        <v>42342</v>
      </c>
      <c r="L12" s="232">
        <f>_xll.qlOvernightIndexedSwapFairRate(H12,_xll.ohTrigger($P$2:$P$6))</f>
        <v>5.4910645987103334E-4</v>
      </c>
      <c r="M12" s="209">
        <f>_xll.qlInterpolationInterpolate(BasisInterpolator,I12,,L12)</f>
        <v>4.3769485074118706E-3</v>
      </c>
      <c r="N12" s="232">
        <f t="shared" si="0"/>
        <v>4.926054967282904E-3</v>
      </c>
      <c r="O12" s="369"/>
      <c r="AB12" s="209"/>
      <c r="AC12" s="209"/>
      <c r="AD12" s="369"/>
    </row>
    <row r="13" spans="1:30" x14ac:dyDescent="0.2">
      <c r="A13" s="234"/>
      <c r="B13" s="235"/>
      <c r="C13" s="236"/>
      <c r="D13" s="231"/>
      <c r="E13" s="232" t="e">
        <v>#N/A</v>
      </c>
      <c r="F13" s="195">
        <v>5</v>
      </c>
      <c r="G13" s="233">
        <f>_xll.qlInterestRateIndexFixingDate(IborIndex,I13)</f>
        <v>42004</v>
      </c>
      <c r="H13" s="195" t="str">
        <f>_xll.qlMakeDatedOIS(,I13,J13,OvernightIndex,0,"Act/360",0)</f>
        <v>obj_00418#0015</v>
      </c>
      <c r="I13" s="233">
        <f>_xll.qlCalendarAdvance(Calendar,$D$2,F13&amp;"M","mf")</f>
        <v>42009</v>
      </c>
      <c r="J13" s="233">
        <f>_xll.qlInterestRateIndexMaturity(IborIndex,I13)</f>
        <v>42374</v>
      </c>
      <c r="L13" s="232">
        <f>_xll.qlOvernightIndexedSwapFairRate(H13,_xll.ohTrigger($P$2:$P$6))</f>
        <v>5.4680103239296046E-4</v>
      </c>
      <c r="M13" s="209">
        <f>_xll.qlInterpolationInterpolate(BasisInterpolator,I13,,L13)</f>
        <v>4.3975462971664447E-3</v>
      </c>
      <c r="N13" s="232">
        <f t="shared" si="0"/>
        <v>4.9443473295594049E-3</v>
      </c>
      <c r="O13" s="369"/>
      <c r="AB13" s="209"/>
      <c r="AC13" s="209"/>
      <c r="AD13" s="369"/>
    </row>
    <row r="14" spans="1:30" x14ac:dyDescent="0.2">
      <c r="A14" s="234"/>
      <c r="B14" s="235"/>
      <c r="C14" s="236"/>
      <c r="D14" s="231"/>
      <c r="E14" s="232" t="e">
        <v>#N/A</v>
      </c>
      <c r="F14" s="195">
        <v>6</v>
      </c>
      <c r="G14" s="233">
        <f>_xll.qlInterestRateIndexFixingDate(IborIndex,I14)</f>
        <v>42037</v>
      </c>
      <c r="H14" s="195" t="str">
        <f>_xll.qlMakeDatedOIS(,I14,J14,OvernightIndex,0,"Act/360",0)</f>
        <v>obj_00430#0015</v>
      </c>
      <c r="I14" s="233">
        <f>_xll.qlCalendarAdvance(Calendar,$D$2,F14&amp;"M","mf")</f>
        <v>42039</v>
      </c>
      <c r="J14" s="233">
        <f>_xll.qlInterestRateIndexMaturity(IborIndex,I14)</f>
        <v>42404</v>
      </c>
      <c r="L14" s="232">
        <f>_xll.qlOvernightIndexedSwapFairRate(H14,_xll.ohTrigger($P$2:$P$6))</f>
        <v>5.6470294929109835E-4</v>
      </c>
      <c r="M14" s="209">
        <f>_xll.qlInterpolationInterpolate(BasisInterpolator,I14,,L14)</f>
        <v>4.4154675274184502E-3</v>
      </c>
      <c r="N14" s="232">
        <f t="shared" si="0"/>
        <v>4.9801704767095485E-3</v>
      </c>
      <c r="O14" s="369"/>
      <c r="AB14" s="209"/>
      <c r="AC14" s="209"/>
      <c r="AD14" s="369"/>
    </row>
    <row r="15" spans="1:30" x14ac:dyDescent="0.2">
      <c r="A15" s="234"/>
      <c r="B15" s="235"/>
      <c r="C15" s="236"/>
      <c r="D15" s="231"/>
      <c r="E15" s="232" t="e">
        <v>#N/A</v>
      </c>
      <c r="F15" s="195">
        <v>7</v>
      </c>
      <c r="G15" s="233">
        <f>_xll.qlInterestRateIndexFixingDate(IborIndex,I15)</f>
        <v>42065</v>
      </c>
      <c r="H15" s="195" t="str">
        <f>_xll.qlMakeDatedOIS(,I15,J15,OvernightIndex,0,"Act/360",0)</f>
        <v>obj_00426#0015</v>
      </c>
      <c r="I15" s="233">
        <f>_xll.qlCalendarAdvance(Calendar,$D$2,F15&amp;"M","mf")</f>
        <v>42067</v>
      </c>
      <c r="J15" s="233">
        <f>_xll.qlInterestRateIndexMaturity(IborIndex,I15)</f>
        <v>42433</v>
      </c>
      <c r="L15" s="232">
        <f>_xll.qlOvernightIndexedSwapFairRate(H15,_xll.ohTrigger($P$2:$P$6))</f>
        <v>5.6272132517927605E-4</v>
      </c>
      <c r="M15" s="209">
        <f>_xll.qlInterpolationInterpolate(BasisInterpolator,I15,,L15)</f>
        <v>4.4307437619853021E-3</v>
      </c>
      <c r="N15" s="232">
        <f t="shared" si="0"/>
        <v>4.9934650871645784E-3</v>
      </c>
      <c r="O15" s="369"/>
      <c r="AB15" s="209"/>
      <c r="AC15" s="209"/>
      <c r="AD15" s="369"/>
    </row>
    <row r="16" spans="1:30" x14ac:dyDescent="0.2">
      <c r="A16" s="234"/>
      <c r="B16" s="235"/>
      <c r="C16" s="236"/>
      <c r="D16" s="231"/>
      <c r="E16" s="232" t="e">
        <v>#N/A</v>
      </c>
      <c r="F16" s="195">
        <v>8</v>
      </c>
      <c r="G16" s="233">
        <f>_xll.qlInterestRateIndexFixingDate(IborIndex,I16)</f>
        <v>42095</v>
      </c>
      <c r="H16" s="195" t="str">
        <f>_xll.qlMakeDatedOIS(,I16,J16,OvernightIndex,0,"Act/360",0)</f>
        <v>obj_00407#0015</v>
      </c>
      <c r="I16" s="233">
        <f>_xll.qlCalendarAdvance(Calendar,$D$2,F16&amp;"M","mf")</f>
        <v>42101</v>
      </c>
      <c r="J16" s="233">
        <f>_xll.qlInterestRateIndexMaturity(IborIndex,I16)</f>
        <v>42467</v>
      </c>
      <c r="L16" s="232">
        <f>_xll.qlOvernightIndexedSwapFairRate(H16,_xll.ohTrigger($P$2:$P$6))</f>
        <v>5.930014991555794E-4</v>
      </c>
      <c r="M16" s="209">
        <f>_xll.qlInterpolationInterpolate(BasisInterpolator,I16,,L16)</f>
        <v>4.4470961271162136E-3</v>
      </c>
      <c r="N16" s="232">
        <f t="shared" si="0"/>
        <v>5.0400976262717934E-3</v>
      </c>
      <c r="O16" s="369"/>
      <c r="AB16" s="209"/>
      <c r="AC16" s="209"/>
      <c r="AD16" s="369"/>
    </row>
    <row r="17" spans="1:30" x14ac:dyDescent="0.2">
      <c r="A17" s="234"/>
      <c r="B17" s="235"/>
      <c r="C17" s="236"/>
      <c r="D17" s="231"/>
      <c r="E17" s="232" t="e">
        <v>#N/A</v>
      </c>
      <c r="F17" s="195">
        <v>9</v>
      </c>
      <c r="G17" s="233">
        <f>_xll.qlInterestRateIndexFixingDate(IborIndex,I17)</f>
        <v>42123</v>
      </c>
      <c r="H17" s="195" t="str">
        <f>_xll.qlMakeDatedOIS(,I17,J17,OvernightIndex,0,"Act/360",0)</f>
        <v>obj_003d9#0016</v>
      </c>
      <c r="I17" s="233">
        <f>_xll.qlCalendarAdvance(Calendar,$D$2,F17&amp;"M","mf")</f>
        <v>42128</v>
      </c>
      <c r="J17" s="233">
        <f>_xll.qlInterestRateIndexMaturity(IborIndex,I17)</f>
        <v>42494</v>
      </c>
      <c r="L17" s="232">
        <f>_xll.qlOvernightIndexedSwapFairRate(H17,_xll.ohTrigger($P$2:$P$6))</f>
        <v>6.4257294582789116E-4</v>
      </c>
      <c r="M17" s="209">
        <f>_xll.qlInterpolationInterpolate(BasisInterpolator,I17,,L17)</f>
        <v>4.4581270202513771E-3</v>
      </c>
      <c r="N17" s="232">
        <f t="shared" si="0"/>
        <v>5.100699966079268E-3</v>
      </c>
      <c r="O17" s="369"/>
      <c r="AB17" s="209"/>
      <c r="AC17" s="209"/>
      <c r="AD17" s="369"/>
    </row>
    <row r="18" spans="1:30" x14ac:dyDescent="0.2">
      <c r="A18" s="234"/>
      <c r="B18" s="235"/>
      <c r="C18" s="236"/>
      <c r="D18" s="231"/>
      <c r="E18" s="232" t="e">
        <v>#N/A</v>
      </c>
      <c r="F18" s="195">
        <v>10</v>
      </c>
      <c r="G18" s="233">
        <f>_xll.qlInterestRateIndexFixingDate(IborIndex,I18)</f>
        <v>42157</v>
      </c>
      <c r="H18" s="195" t="str">
        <f>_xll.qlMakeDatedOIS(,I18,J18,OvernightIndex,0,"Act/360",0)</f>
        <v>obj_003fc#0015</v>
      </c>
      <c r="I18" s="233">
        <f>_xll.qlCalendarAdvance(Calendar,$D$2,F18&amp;"M","mf")</f>
        <v>42159</v>
      </c>
      <c r="J18" s="233">
        <f>_xll.qlInterestRateIndexMaturity(IborIndex,I18)</f>
        <v>42527</v>
      </c>
      <c r="L18" s="232">
        <f>_xll.qlOvernightIndexedSwapFairRate(H18,_xll.ohTrigger($P$2:$P$6))</f>
        <v>7.0526863899445446E-4</v>
      </c>
      <c r="M18" s="209">
        <f>_xll.qlInterpolationInterpolate(BasisInterpolator,I18,,L18)</f>
        <v>4.468389512520177E-3</v>
      </c>
      <c r="N18" s="232">
        <f t="shared" si="0"/>
        <v>5.1736581515146318E-3</v>
      </c>
      <c r="O18" s="369"/>
      <c r="AB18" s="209"/>
      <c r="AC18" s="209"/>
      <c r="AD18" s="369"/>
    </row>
    <row r="19" spans="1:30" x14ac:dyDescent="0.2">
      <c r="A19" s="234"/>
      <c r="B19" s="235"/>
      <c r="C19" s="236"/>
      <c r="D19" s="231"/>
      <c r="E19" s="232" t="e">
        <v>#N/A</v>
      </c>
      <c r="F19" s="195">
        <v>11</v>
      </c>
      <c r="G19" s="233">
        <f>_xll.qlInterestRateIndexFixingDate(IborIndex,I19)</f>
        <v>42187</v>
      </c>
      <c r="H19" s="195" t="str">
        <f>_xll.qlMakeDatedOIS(,I19,J19,OvernightIndex,0,"Act/360",0)</f>
        <v>obj_003f7#0016</v>
      </c>
      <c r="I19" s="233">
        <f>_xll.qlCalendarAdvance(Calendar,$D$2,F19&amp;"M","mf")</f>
        <v>42191</v>
      </c>
      <c r="J19" s="233">
        <f>_xll.qlInterestRateIndexMaturity(IborIndex,I19)</f>
        <v>42557</v>
      </c>
      <c r="L19" s="232">
        <f>_xll.qlOvernightIndexedSwapFairRate(H19,_xll.ohTrigger($P$2:$P$6))</f>
        <v>7.868143852139619E-4</v>
      </c>
      <c r="M19" s="209">
        <f>_xll.qlInterpolationInterpolate(BasisInterpolator,I19,,L19)</f>
        <v>4.4759945439328576E-3</v>
      </c>
      <c r="N19" s="232">
        <f t="shared" si="0"/>
        <v>5.2628089291468193E-3</v>
      </c>
      <c r="O19" s="369"/>
      <c r="AB19" s="209"/>
      <c r="AC19" s="209"/>
      <c r="AD19" s="369"/>
    </row>
    <row r="20" spans="1:30" x14ac:dyDescent="0.2">
      <c r="A20" s="234"/>
      <c r="B20" s="235"/>
      <c r="C20" s="236"/>
      <c r="D20" s="231"/>
      <c r="E20" s="232" t="e">
        <v>#N/A</v>
      </c>
      <c r="F20" s="370">
        <v>12</v>
      </c>
      <c r="G20" s="371">
        <f>_xll.qlInterestRateIndexFixingDate(IborIndex,I20)</f>
        <v>42216</v>
      </c>
      <c r="H20" s="370" t="str">
        <f>_xll.qlMakeDatedOIS(,I20,J20,OvernightIndex,0,"Act/360",0)</f>
        <v>obj_00403#0015</v>
      </c>
      <c r="I20" s="371">
        <f>_xll.qlCalendarAdvance(Calendar,$D$2,F20&amp;"M","mf")</f>
        <v>42220</v>
      </c>
      <c r="J20" s="371">
        <f>_xll.qlInterestRateIndexMaturity(IborIndex,I20)</f>
        <v>42586</v>
      </c>
      <c r="K20" s="370"/>
      <c r="L20" s="372">
        <f>_xll.qlOvernightIndexedSwapFairRate(H20,_xll.ohTrigger($P$2:$P$6))</f>
        <v>8.5975812967063856E-4</v>
      </c>
      <c r="M20" s="373">
        <f>_xll.qlInterpolationInterpolate(BasisInterpolator,I20,,L20)</f>
        <v>4.4799999999999996E-3</v>
      </c>
      <c r="N20" s="372">
        <f t="shared" ref="N20" si="1">L20+M20</f>
        <v>5.3397581296706379E-3</v>
      </c>
      <c r="O20" s="369"/>
      <c r="AB20" s="209"/>
      <c r="AC20" s="209"/>
      <c r="AD20" s="369"/>
    </row>
    <row r="21" spans="1:30" x14ac:dyDescent="0.2">
      <c r="A21" s="234"/>
      <c r="B21" s="235"/>
      <c r="C21" s="236"/>
      <c r="D21" s="231"/>
      <c r="E21" s="232" t="e">
        <v>#N/A</v>
      </c>
      <c r="F21" s="195">
        <v>13</v>
      </c>
      <c r="G21" s="233">
        <f>_xll.qlInterestRateIndexFixingDate(IborIndex,I21)</f>
        <v>42249</v>
      </c>
      <c r="H21" s="195" t="str">
        <f>_xll.qlMakeDatedOIS(,I21,J21,OvernightIndex,0,"Act/360",0)</f>
        <v>obj_00408#0015</v>
      </c>
      <c r="I21" s="233">
        <f>_xll.qlCalendarAdvance(Calendar,$D$2,F21&amp;"M","mf")</f>
        <v>42251</v>
      </c>
      <c r="J21" s="233">
        <f>_xll.qlInterestRateIndexMaturity(IborIndex,I21)</f>
        <v>42618</v>
      </c>
      <c r="L21" s="232">
        <f>_xll.qlOvernightIndexedSwapFairRate(H21,_xll.ohTrigger($P$2:$P$6))</f>
        <v>9.4803799160475565E-4</v>
      </c>
      <c r="M21" s="209">
        <f>_xll.qlInterpolationInterpolate(BasisInterpolator,I21,,L21)</f>
        <v>4.4822999232971604E-3</v>
      </c>
      <c r="N21" s="232">
        <f t="shared" si="0"/>
        <v>5.4303379149019159E-3</v>
      </c>
      <c r="O21" s="369"/>
      <c r="AB21" s="209"/>
      <c r="AC21" s="209"/>
      <c r="AD21" s="369"/>
    </row>
    <row r="22" spans="1:30" x14ac:dyDescent="0.2">
      <c r="A22" s="234"/>
      <c r="B22" s="235"/>
      <c r="C22" s="236"/>
      <c r="D22" s="231"/>
      <c r="E22" s="232" t="e">
        <v>#N/A</v>
      </c>
      <c r="F22" s="195">
        <v>14</v>
      </c>
      <c r="G22" s="233">
        <f>_xll.qlInterestRateIndexFixingDate(IborIndex,I22)</f>
        <v>42278</v>
      </c>
      <c r="H22" s="195" t="str">
        <f>_xll.qlMakeDatedOIS(,I22,J22,OvernightIndex,0,"Act/360",0)</f>
        <v>obj_0040d#0015</v>
      </c>
      <c r="I22" s="233">
        <f>_xll.qlCalendarAdvance(Calendar,$D$2,F22&amp;"M","mf")</f>
        <v>42282</v>
      </c>
      <c r="J22" s="233">
        <f>_xll.qlInterestRateIndexMaturity(IborIndex,I22)</f>
        <v>42648</v>
      </c>
      <c r="L22" s="232">
        <f>_xll.qlOvernightIndexedSwapFairRate(H22,_xll.ohTrigger($P$2:$P$6))</f>
        <v>1.0442576174563194E-3</v>
      </c>
      <c r="M22" s="209">
        <f>_xll.qlInterpolationInterpolate(BasisInterpolator,I22,,L22)</f>
        <v>4.4838921492848984E-3</v>
      </c>
      <c r="N22" s="232">
        <f t="shared" si="0"/>
        <v>5.5281497667412178E-3</v>
      </c>
      <c r="O22" s="369"/>
      <c r="AB22" s="209"/>
      <c r="AC22" s="209"/>
      <c r="AD22" s="369"/>
    </row>
    <row r="23" spans="1:30" x14ac:dyDescent="0.2">
      <c r="A23" s="234"/>
      <c r="B23" s="235"/>
      <c r="C23" s="236"/>
      <c r="D23" s="231"/>
      <c r="E23" s="232" t="e">
        <v>#N/A</v>
      </c>
      <c r="F23" s="195">
        <v>15</v>
      </c>
      <c r="G23" s="233">
        <f>_xll.qlInterestRateIndexFixingDate(IborIndex,I23)</f>
        <v>42310</v>
      </c>
      <c r="H23" s="195" t="str">
        <f>_xll.qlMakeDatedOIS(,I23,J23,OvernightIndex,0,"Act/360",0)</f>
        <v>obj_0042a#0015</v>
      </c>
      <c r="I23" s="233">
        <f>_xll.qlCalendarAdvance(Calendar,$D$2,F23&amp;"M","mf")</f>
        <v>42312</v>
      </c>
      <c r="J23" s="233">
        <f>_xll.qlInterestRateIndexMaturity(IborIndex,I23)</f>
        <v>42678</v>
      </c>
      <c r="L23" s="232">
        <f>_xll.qlOvernightIndexedSwapFairRate(H23,_xll.ohTrigger($P$2:$P$6))</f>
        <v>1.1462336475707195E-3</v>
      </c>
      <c r="M23" s="209">
        <f>_xll.qlInterpolationInterpolate(BasisInterpolator,I23,,L23)</f>
        <v>4.4849624155911772E-3</v>
      </c>
      <c r="N23" s="232">
        <f t="shared" si="0"/>
        <v>5.6311960631618965E-3</v>
      </c>
      <c r="O23" s="369"/>
      <c r="AB23" s="209"/>
      <c r="AC23" s="209"/>
      <c r="AD23" s="369"/>
    </row>
    <row r="24" spans="1:30" x14ac:dyDescent="0.2">
      <c r="A24" s="234"/>
      <c r="B24" s="235"/>
      <c r="C24" s="236"/>
      <c r="D24" s="231"/>
      <c r="E24" s="232" t="e">
        <v>#N/A</v>
      </c>
      <c r="F24" s="195">
        <v>16</v>
      </c>
      <c r="G24" s="233">
        <f>_xll.qlInterestRateIndexFixingDate(IborIndex,I24)</f>
        <v>42340</v>
      </c>
      <c r="H24" s="195" t="str">
        <f>_xll.qlMakeDatedOIS(,I24,J24,OvernightIndex,0,"Act/360",0)</f>
        <v>obj_00412#0015</v>
      </c>
      <c r="I24" s="233">
        <f>_xll.qlCalendarAdvance(Calendar,$D$2,F24&amp;"M","mf")</f>
        <v>42342</v>
      </c>
      <c r="J24" s="233">
        <f>_xll.qlInterestRateIndexMaturity(IborIndex,I24)</f>
        <v>42709</v>
      </c>
      <c r="L24" s="232">
        <f>_xll.qlOvernightIndexedSwapFairRate(H24,_xll.ohTrigger($P$2:$P$6))</f>
        <v>1.254538712773213E-3</v>
      </c>
      <c r="M24" s="209">
        <f>_xll.qlInterpolationInterpolate(BasisInterpolator,I24,,L24)</f>
        <v>4.4857675193058907E-3</v>
      </c>
      <c r="N24" s="232">
        <f t="shared" si="0"/>
        <v>5.7403062320791039E-3</v>
      </c>
      <c r="O24" s="369"/>
      <c r="AB24" s="209"/>
      <c r="AC24" s="209"/>
      <c r="AD24" s="369"/>
    </row>
    <row r="25" spans="1:30" x14ac:dyDescent="0.2">
      <c r="A25" s="234"/>
      <c r="B25" s="235"/>
      <c r="C25" s="236"/>
      <c r="D25" s="231"/>
      <c r="E25" s="232" t="e">
        <v>#N/A</v>
      </c>
      <c r="F25" s="195">
        <v>17</v>
      </c>
      <c r="G25" s="233">
        <f>_xll.qlInterestRateIndexFixingDate(IborIndex,I25)</f>
        <v>42368</v>
      </c>
      <c r="H25" s="195" t="str">
        <f>_xll.qlMakeDatedOIS(,I25,J25,OvernightIndex,0,"Act/360",0)</f>
        <v>obj_00404#0015</v>
      </c>
      <c r="I25" s="233">
        <f>_xll.qlCalendarAdvance(Calendar,$D$2,F25&amp;"M","mf")</f>
        <v>42373</v>
      </c>
      <c r="J25" s="233">
        <f>_xll.qlInterestRateIndexMaturity(IborIndex,I25)</f>
        <v>42739</v>
      </c>
      <c r="L25" s="232">
        <f>_xll.qlOvernightIndexedSwapFairRate(H25,_xll.ohTrigger($P$2:$P$6))</f>
        <v>1.3675436419697527E-3</v>
      </c>
      <c r="M25" s="209">
        <f>_xll.qlInterpolationInterpolate(BasisInterpolator,I25,,L25)</f>
        <v>4.4865286078816227E-3</v>
      </c>
      <c r="N25" s="232">
        <f t="shared" si="0"/>
        <v>5.8540722498513758E-3</v>
      </c>
      <c r="O25" s="369"/>
      <c r="AB25" s="209"/>
      <c r="AC25" s="209"/>
      <c r="AD25" s="369"/>
    </row>
    <row r="26" spans="1:30" x14ac:dyDescent="0.2">
      <c r="A26" s="234"/>
      <c r="B26" s="235"/>
      <c r="C26" s="236"/>
      <c r="D26" s="231"/>
      <c r="E26" s="232" t="e">
        <v>#N/A</v>
      </c>
      <c r="F26" s="195">
        <v>18</v>
      </c>
      <c r="G26" s="233">
        <f>_xll.qlInterestRateIndexFixingDate(IborIndex,I26)</f>
        <v>42402</v>
      </c>
      <c r="H26" s="195" t="str">
        <f>_xll.qlMakeDatedOIS(,I26,J26,OvernightIndex,0,"Act/360",0)</f>
        <v>obj_00416#0015</v>
      </c>
      <c r="I26" s="233">
        <f>_xll.qlCalendarAdvance(Calendar,$D$2,F26&amp;"M","mf")</f>
        <v>42404</v>
      </c>
      <c r="J26" s="233">
        <f>_xll.qlInterestRateIndexMaturity(IborIndex,I26)</f>
        <v>42772</v>
      </c>
      <c r="L26" s="232">
        <f>_xll.qlOvernightIndexedSwapFairRate(H26,_xll.ohTrigger($P$2:$P$6))</f>
        <v>1.4937061415228349E-3</v>
      </c>
      <c r="M26" s="209">
        <f>_xll.qlInterpolationInterpolate(BasisInterpolator,I26,,L26)</f>
        <v>4.4874311243212339E-3</v>
      </c>
      <c r="N26" s="232">
        <f t="shared" si="0"/>
        <v>5.9811372658440691E-3</v>
      </c>
      <c r="O26" s="369"/>
      <c r="AB26" s="209"/>
      <c r="AC26" s="209"/>
      <c r="AD26" s="369"/>
    </row>
    <row r="27" spans="1:30" x14ac:dyDescent="0.2">
      <c r="A27" s="234"/>
      <c r="B27" s="235"/>
      <c r="C27" s="236"/>
      <c r="D27" s="231"/>
      <c r="E27" s="232" t="e">
        <v>#N/A</v>
      </c>
      <c r="F27" s="195">
        <v>19</v>
      </c>
      <c r="G27" s="233">
        <f>_xll.qlInterestRateIndexFixingDate(IborIndex,I27)</f>
        <v>42431</v>
      </c>
      <c r="H27" s="195" t="str">
        <f>_xll.qlMakeDatedOIS(,I27,J27,OvernightIndex,0,"Act/360",0)</f>
        <v>obj_003d7#0016</v>
      </c>
      <c r="I27" s="233">
        <f>_xll.qlCalendarAdvance(Calendar,$D$2,F27&amp;"M","mf")</f>
        <v>42433</v>
      </c>
      <c r="J27" s="233">
        <f>_xll.qlInterestRateIndexMaturity(IborIndex,I27)</f>
        <v>42800</v>
      </c>
      <c r="L27" s="232">
        <f>_xll.qlOvernightIndexedSwapFairRate(H27,_xll.ohTrigger($P$2:$P$6))</f>
        <v>1.6125460263299001E-3</v>
      </c>
      <c r="M27" s="209">
        <f>_xll.qlInterpolationInterpolate(BasisInterpolator,I27,,L27)</f>
        <v>4.488594579097332E-3</v>
      </c>
      <c r="N27" s="232">
        <f t="shared" si="0"/>
        <v>6.1011406054272323E-3</v>
      </c>
      <c r="O27" s="369"/>
      <c r="AB27" s="209"/>
      <c r="AC27" s="209"/>
      <c r="AD27" s="369"/>
    </row>
    <row r="28" spans="1:30" x14ac:dyDescent="0.2">
      <c r="A28" s="234"/>
      <c r="B28" s="235"/>
      <c r="C28" s="236"/>
      <c r="D28" s="231"/>
      <c r="E28" s="232" t="e">
        <v>#N/A</v>
      </c>
      <c r="F28" s="195">
        <v>20</v>
      </c>
      <c r="G28" s="233">
        <f>_xll.qlInterestRateIndexFixingDate(IborIndex,I28)</f>
        <v>42460</v>
      </c>
      <c r="H28" s="195" t="str">
        <f>_xll.qlMakeDatedOIS(,I28,J28,OvernightIndex,0,"Act/360",0)</f>
        <v>obj_003d0#0016</v>
      </c>
      <c r="I28" s="233">
        <f>_xll.qlCalendarAdvance(Calendar,$D$2,F28&amp;"M","mf")</f>
        <v>42464</v>
      </c>
      <c r="J28" s="233">
        <f>_xll.qlInterestRateIndexMaturity(IborIndex,I28)</f>
        <v>42829</v>
      </c>
      <c r="L28" s="232">
        <f>_xll.qlOvernightIndexedSwapFairRate(H28,_xll.ohTrigger($P$2:$P$6))</f>
        <v>1.7444610761902187E-3</v>
      </c>
      <c r="M28" s="209">
        <f>_xll.qlInterpolationInterpolate(BasisInterpolator,I28,,L28)</f>
        <v>4.4903837596529453E-3</v>
      </c>
      <c r="N28" s="232">
        <f t="shared" si="0"/>
        <v>6.2348448358431636E-3</v>
      </c>
      <c r="O28" s="369"/>
      <c r="AB28" s="209"/>
      <c r="AC28" s="209"/>
      <c r="AD28" s="369"/>
    </row>
    <row r="29" spans="1:30" x14ac:dyDescent="0.2">
      <c r="A29" s="234"/>
      <c r="B29" s="235"/>
      <c r="C29" s="236"/>
      <c r="D29" s="231"/>
      <c r="E29" s="232" t="e">
        <v>#N/A</v>
      </c>
      <c r="F29" s="195">
        <v>21</v>
      </c>
      <c r="G29" s="233">
        <f>_xll.qlInterestRateIndexFixingDate(IborIndex,I29)</f>
        <v>42492</v>
      </c>
      <c r="H29" s="195" t="str">
        <f>_xll.qlMakeDatedOIS(,I29,J29,OvernightIndex,0,"Act/360",0)</f>
        <v>obj_00402#0015</v>
      </c>
      <c r="I29" s="233">
        <f>_xll.qlCalendarAdvance(Calendar,$D$2,F29&amp;"M","mf")</f>
        <v>42494</v>
      </c>
      <c r="J29" s="233">
        <f>_xll.qlInterestRateIndexMaturity(IborIndex,I29)</f>
        <v>42859</v>
      </c>
      <c r="L29" s="232">
        <f>_xll.qlOvernightIndexedSwapFairRate(H29,_xll.ohTrigger($P$2:$P$6))</f>
        <v>1.8835607413178509E-3</v>
      </c>
      <c r="M29" s="209">
        <f>_xll.qlInterpolationInterpolate(BasisInterpolator,I29,,L29)</f>
        <v>4.492850720662328E-3</v>
      </c>
      <c r="N29" s="232">
        <f t="shared" si="0"/>
        <v>6.3764114619801792E-3</v>
      </c>
      <c r="O29" s="369"/>
      <c r="AB29" s="209"/>
      <c r="AC29" s="209"/>
      <c r="AD29" s="369"/>
    </row>
    <row r="30" spans="1:30" x14ac:dyDescent="0.2">
      <c r="A30" s="234"/>
      <c r="B30" s="235"/>
      <c r="C30" s="236"/>
      <c r="D30" s="231"/>
      <c r="E30" s="232" t="e">
        <v>#N/A</v>
      </c>
      <c r="F30" s="195">
        <v>22</v>
      </c>
      <c r="G30" s="233">
        <f>_xll.qlInterestRateIndexFixingDate(IborIndex,I30)</f>
        <v>42523</v>
      </c>
      <c r="H30" s="195" t="str">
        <f>_xll.qlMakeDatedOIS(,I30,J30,OvernightIndex,0,"Act/360",0)</f>
        <v>obj_003cf#0016</v>
      </c>
      <c r="I30" s="233">
        <f>_xll.qlCalendarAdvance(Calendar,$D$2,F30&amp;"M","mf")</f>
        <v>42527</v>
      </c>
      <c r="J30" s="233">
        <f>_xll.qlInterestRateIndexMaturity(IborIndex,I30)</f>
        <v>42892</v>
      </c>
      <c r="L30" s="232">
        <f>_xll.qlOvernightIndexedSwapFairRate(H30,_xll.ohTrigger($P$2:$P$6))</f>
        <v>2.0441693176770832E-3</v>
      </c>
      <c r="M30" s="209">
        <f>_xll.qlInterpolationInterpolate(BasisInterpolator,I30,,L30)</f>
        <v>4.496635844871661E-3</v>
      </c>
      <c r="N30" s="232">
        <f t="shared" si="0"/>
        <v>6.5408051625487438E-3</v>
      </c>
      <c r="O30" s="369"/>
      <c r="AB30" s="209"/>
      <c r="AC30" s="209"/>
      <c r="AD30" s="369"/>
    </row>
    <row r="31" spans="1:30" x14ac:dyDescent="0.2">
      <c r="A31" s="234"/>
      <c r="B31" s="235"/>
      <c r="C31" s="236"/>
      <c r="D31" s="231"/>
      <c r="E31" s="232" t="e">
        <v>#N/A</v>
      </c>
      <c r="F31" s="195">
        <v>23</v>
      </c>
      <c r="G31" s="233">
        <f>_xll.qlInterestRateIndexFixingDate(IborIndex,I31)</f>
        <v>42551</v>
      </c>
      <c r="H31" s="195" t="str">
        <f>_xll.qlMakeDatedOIS(,I31,J31,OvernightIndex,0,"Act/360",0)</f>
        <v>obj_003ed#0016</v>
      </c>
      <c r="I31" s="233">
        <f>_xll.qlCalendarAdvance(Calendar,$D$2,F31&amp;"M","mf")</f>
        <v>42555</v>
      </c>
      <c r="J31" s="233">
        <f>_xll.qlInterestRateIndexMaturity(IborIndex,I31)</f>
        <v>42920</v>
      </c>
      <c r="L31" s="232">
        <f>_xll.qlOvernightIndexedSwapFairRate(H31,_xll.ohTrigger($P$2:$P$6))</f>
        <v>2.1874232528349383E-3</v>
      </c>
      <c r="M31" s="209">
        <f>_xll.qlInterpolationInterpolate(BasisInterpolator,I31,,L31)</f>
        <v>4.5009153424911859E-3</v>
      </c>
      <c r="N31" s="232">
        <f t="shared" si="0"/>
        <v>6.6883385953261237E-3</v>
      </c>
      <c r="O31" s="369"/>
      <c r="AB31" s="209"/>
      <c r="AC31" s="209"/>
      <c r="AD31" s="369"/>
    </row>
    <row r="32" spans="1:30" x14ac:dyDescent="0.2">
      <c r="A32" s="234"/>
      <c r="B32" s="235"/>
      <c r="C32" s="236"/>
      <c r="D32" s="231"/>
      <c r="E32" s="232" t="e">
        <v>#N/A</v>
      </c>
      <c r="F32" s="374">
        <v>24</v>
      </c>
      <c r="G32" s="375">
        <f>_xll.qlInterestRateIndexFixingDate(IborIndex,I32)</f>
        <v>42584</v>
      </c>
      <c r="H32" s="374" t="str">
        <f>_xll.qlMakeDatedOIS(,I32,J32,OvernightIndex,0,"Act/360",0)</f>
        <v>obj_003fd#0015</v>
      </c>
      <c r="I32" s="375">
        <f>_xll.qlCalendarAdvance(Calendar,$D$2,F32&amp;"M","mf")</f>
        <v>42586</v>
      </c>
      <c r="J32" s="375">
        <f>_xll.qlInterestRateIndexMaturity(IborIndex,I32)</f>
        <v>42951</v>
      </c>
      <c r="K32" s="374"/>
      <c r="L32" s="376">
        <f>_xll.qlOvernightIndexedSwapFairRate(H32,_xll.ohTrigger($P$2:$P$6))</f>
        <v>2.3545343331549864E-3</v>
      </c>
      <c r="M32" s="377">
        <f>_xll.qlInterpolationInterpolate(BasisInterpolator,I32,,L32)</f>
        <v>4.5069999999999997E-3</v>
      </c>
      <c r="N32" s="376">
        <f t="shared" ref="N32" si="2">L32+M32</f>
        <v>6.8615343331549861E-3</v>
      </c>
      <c r="O32" s="369"/>
      <c r="AB32" s="209"/>
      <c r="AC32" s="209"/>
      <c r="AD32" s="369"/>
    </row>
    <row r="33" spans="1:30" x14ac:dyDescent="0.2">
      <c r="A33" s="234"/>
      <c r="B33" s="235"/>
      <c r="C33" s="236"/>
      <c r="D33" s="231"/>
      <c r="E33" s="232" t="e">
        <v>#N/A</v>
      </c>
      <c r="F33" s="195">
        <v>25</v>
      </c>
      <c r="G33" s="233">
        <f>_xll.qlInterestRateIndexFixingDate(IborIndex,I33)</f>
        <v>42614</v>
      </c>
      <c r="H33" s="195" t="str">
        <f>_xll.qlMakeDatedOIS(,I33,J33,OvernightIndex,0,"Act/360",0)</f>
        <v>obj_003fb#0015</v>
      </c>
      <c r="I33" s="233">
        <f>_xll.qlCalendarAdvance(Calendar,$D$2,F33&amp;"M","mf")</f>
        <v>42618</v>
      </c>
      <c r="J33" s="233">
        <f>_xll.qlInterestRateIndexMaturity(IborIndex,I33)</f>
        <v>42983</v>
      </c>
      <c r="L33" s="232">
        <f>_xll.qlOvernightIndexedSwapFairRate(H33,_xll.ohTrigger($P$2:$P$6))</f>
        <v>2.5372840834912108E-3</v>
      </c>
      <c r="M33" s="209">
        <f>_xll.qlInterpolationInterpolate(BasisInterpolator,I33,,L33)</f>
        <v>4.5214096570005665E-3</v>
      </c>
      <c r="N33" s="232">
        <f t="shared" si="0"/>
        <v>7.0586937404917768E-3</v>
      </c>
      <c r="O33" s="369"/>
      <c r="AB33" s="209"/>
      <c r="AC33" s="209"/>
      <c r="AD33" s="369"/>
    </row>
    <row r="34" spans="1:30" x14ac:dyDescent="0.2">
      <c r="A34" s="234"/>
      <c r="B34" s="235"/>
      <c r="C34" s="236"/>
      <c r="D34" s="231"/>
      <c r="E34" s="232" t="e">
        <v>#N/A</v>
      </c>
      <c r="F34" s="195">
        <v>26</v>
      </c>
      <c r="G34" s="233">
        <f>_xll.qlInterestRateIndexFixingDate(IborIndex,I34)</f>
        <v>42643</v>
      </c>
      <c r="H34" s="195" t="str">
        <f>_xll.qlMakeDatedOIS(,I34,J34,OvernightIndex,0,"Act/360",0)</f>
        <v>obj_003e6#0016</v>
      </c>
      <c r="I34" s="233">
        <f>_xll.qlCalendarAdvance(Calendar,$D$2,F34&amp;"M","mf")</f>
        <v>42647</v>
      </c>
      <c r="J34" s="233">
        <f>_xll.qlInterestRateIndexMaturity(IborIndex,I34)</f>
        <v>43012</v>
      </c>
      <c r="L34" s="232">
        <f>_xll.qlOvernightIndexedSwapFairRate(H34,_xll.ohTrigger($P$2:$P$6))</f>
        <v>2.7118228114120175E-3</v>
      </c>
      <c r="M34" s="209">
        <f>_xll.qlInterpolationInterpolate(BasisInterpolator,I34,,L34)</f>
        <v>4.5456432243435292E-3</v>
      </c>
      <c r="N34" s="232">
        <f t="shared" si="0"/>
        <v>7.2574660357555467E-3</v>
      </c>
      <c r="O34" s="369"/>
      <c r="AB34" s="209"/>
      <c r="AC34" s="209"/>
      <c r="AD34" s="369"/>
    </row>
    <row r="35" spans="1:30" x14ac:dyDescent="0.2">
      <c r="A35" s="234"/>
      <c r="B35" s="235"/>
      <c r="C35" s="236"/>
      <c r="D35" s="231"/>
      <c r="E35" s="232" t="e">
        <v>#N/A</v>
      </c>
      <c r="F35" s="195">
        <v>27</v>
      </c>
      <c r="G35" s="233">
        <f>_xll.qlInterestRateIndexFixingDate(IborIndex,I35)</f>
        <v>42676</v>
      </c>
      <c r="H35" s="195" t="str">
        <f>_xll.qlMakeDatedOIS(,I35,J35,OvernightIndex,0,"Act/360",0)</f>
        <v>obj_003e9#0016</v>
      </c>
      <c r="I35" s="233">
        <f>_xll.qlCalendarAdvance(Calendar,$D$2,F35&amp;"M","mf")</f>
        <v>42678</v>
      </c>
      <c r="J35" s="233">
        <f>_xll.qlInterestRateIndexMaturity(IborIndex,I35)</f>
        <v>43045</v>
      </c>
      <c r="L35" s="232">
        <f>_xll.qlOvernightIndexedSwapFairRate(H35,_xll.ohTrigger($P$2:$P$6))</f>
        <v>2.9145642146590758E-3</v>
      </c>
      <c r="M35" s="209">
        <f>_xll.qlInterpolationInterpolate(BasisInterpolator,I35,,L35)</f>
        <v>4.5809443519695828E-3</v>
      </c>
      <c r="N35" s="232">
        <f t="shared" si="0"/>
        <v>7.4955085666286586E-3</v>
      </c>
      <c r="O35" s="369"/>
      <c r="AB35" s="209"/>
      <c r="AC35" s="209"/>
      <c r="AD35" s="369"/>
    </row>
    <row r="36" spans="1:30" x14ac:dyDescent="0.2">
      <c r="A36" s="234"/>
      <c r="B36" s="235"/>
      <c r="C36" s="236"/>
      <c r="D36" s="231"/>
      <c r="E36" s="232" t="e">
        <v>#N/A</v>
      </c>
      <c r="F36" s="195">
        <v>28</v>
      </c>
      <c r="G36" s="233">
        <f>_xll.qlInterestRateIndexFixingDate(IborIndex,I36)</f>
        <v>42705</v>
      </c>
      <c r="H36" s="195" t="str">
        <f>_xll.qlMakeDatedOIS(,I36,J36,OvernightIndex,0,"Act/360",0)</f>
        <v>obj_003d6#0016</v>
      </c>
      <c r="I36" s="233">
        <f>_xll.qlCalendarAdvance(Calendar,$D$2,F36&amp;"M","mf")</f>
        <v>42709</v>
      </c>
      <c r="J36" s="233">
        <f>_xll.qlInterestRateIndexMaturity(IborIndex,I36)</f>
        <v>43074</v>
      </c>
      <c r="L36" s="232">
        <f>_xll.qlOvernightIndexedSwapFairRate(H36,_xll.ohTrigger($P$2:$P$6))</f>
        <v>3.1122199812351767E-3</v>
      </c>
      <c r="M36" s="209">
        <f>_xll.qlInterpolationInterpolate(BasisInterpolator,I36,,L36)</f>
        <v>4.6235495703713103E-3</v>
      </c>
      <c r="N36" s="232">
        <f t="shared" si="0"/>
        <v>7.735769551606487E-3</v>
      </c>
      <c r="O36" s="369"/>
      <c r="AB36" s="209"/>
      <c r="AC36" s="209"/>
      <c r="AD36" s="369"/>
    </row>
    <row r="37" spans="1:30" x14ac:dyDescent="0.2">
      <c r="A37" s="234"/>
      <c r="B37" s="235"/>
      <c r="C37" s="236"/>
      <c r="D37" s="231"/>
      <c r="E37" s="232" t="e">
        <v>#N/A</v>
      </c>
      <c r="F37" s="195">
        <v>29</v>
      </c>
      <c r="G37" s="233">
        <f>_xll.qlInterestRateIndexFixingDate(IborIndex,I37)</f>
        <v>42737</v>
      </c>
      <c r="H37" s="195" t="str">
        <f>_xll.qlMakeDatedOIS(,I37,J37,OvernightIndex,0,"Act/360",0)</f>
        <v>obj_00428#0015</v>
      </c>
      <c r="I37" s="233">
        <f>_xll.qlCalendarAdvance(Calendar,$D$2,F37&amp;"M","mf")</f>
        <v>42739</v>
      </c>
      <c r="J37" s="233">
        <f>_xll.qlInterestRateIndexMaturity(IborIndex,I37)</f>
        <v>43104</v>
      </c>
      <c r="L37" s="232">
        <f>_xll.qlOvernightIndexedSwapFairRate(H37,_xll.ohTrigger($P$2:$P$6))</f>
        <v>3.3187066851951192E-3</v>
      </c>
      <c r="M37" s="209">
        <f>_xll.qlInterpolationInterpolate(BasisInterpolator,I37,,L37)</f>
        <v>4.6694194668918387E-3</v>
      </c>
      <c r="N37" s="232">
        <f t="shared" si="0"/>
        <v>7.9881261520869575E-3</v>
      </c>
      <c r="O37" s="369"/>
      <c r="AB37" s="209"/>
      <c r="AC37" s="209"/>
      <c r="AD37" s="369"/>
    </row>
    <row r="38" spans="1:30" x14ac:dyDescent="0.2">
      <c r="A38" s="234"/>
      <c r="B38" s="235"/>
      <c r="C38" s="236"/>
      <c r="D38" s="231"/>
      <c r="E38" s="232" t="e">
        <v>#N/A</v>
      </c>
      <c r="F38" s="195">
        <v>30</v>
      </c>
      <c r="G38" s="233">
        <f>_xll.qlInterestRateIndexFixingDate(IborIndex,I38)</f>
        <v>42768</v>
      </c>
      <c r="H38" s="195" t="str">
        <f>_xll.qlMakeDatedOIS(,I38,J38,OvernightIndex,0,"Act/360",0)</f>
        <v>obj_00409#0015</v>
      </c>
      <c r="I38" s="233">
        <f>_xll.qlCalendarAdvance(Calendar,$D$2,F38&amp;"M","mf")</f>
        <v>42772</v>
      </c>
      <c r="J38" s="233">
        <f>_xll.qlInterestRateIndexMaturity(IborIndex,I38)</f>
        <v>43137</v>
      </c>
      <c r="L38" s="232">
        <f>_xll.qlOvernightIndexedSwapFairRate(H38,_xll.ohTrigger($P$2:$P$6))</f>
        <v>3.5549902974928117E-3</v>
      </c>
      <c r="M38" s="209">
        <f>_xll.qlInterpolationInterpolate(BasisInterpolator,I38,,L38)</f>
        <v>4.7224589451968077E-3</v>
      </c>
      <c r="N38" s="232">
        <f t="shared" si="0"/>
        <v>8.2774492426896194E-3</v>
      </c>
      <c r="O38" s="369"/>
      <c r="AB38" s="209"/>
      <c r="AC38" s="209"/>
      <c r="AD38" s="369"/>
    </row>
    <row r="39" spans="1:30" x14ac:dyDescent="0.2">
      <c r="A39" s="234"/>
      <c r="B39" s="235"/>
      <c r="C39" s="236"/>
      <c r="D39" s="231"/>
      <c r="E39" s="232" t="e">
        <v>#N/A</v>
      </c>
      <c r="F39" s="195">
        <v>31</v>
      </c>
      <c r="G39" s="233">
        <f>_xll.qlInterestRateIndexFixingDate(IborIndex,I39)</f>
        <v>42796</v>
      </c>
      <c r="H39" s="195" t="str">
        <f>_xll.qlMakeDatedOIS(,I39,J39,OvernightIndex,0,"Act/360",0)</f>
        <v>obj_0041e#0015</v>
      </c>
      <c r="I39" s="233">
        <f>_xll.qlCalendarAdvance(Calendar,$D$2,F39&amp;"M","mf")</f>
        <v>42800</v>
      </c>
      <c r="J39" s="233">
        <f>_xll.qlInterestRateIndexMaturity(IborIndex,I39)</f>
        <v>43165</v>
      </c>
      <c r="L39" s="232">
        <f>_xll.qlOvernightIndexedSwapFairRate(H39,_xll.ohTrigger($P$2:$P$6))</f>
        <v>3.7627181349260104E-3</v>
      </c>
      <c r="M39" s="209">
        <f>_xll.qlInterpolationInterpolate(BasisInterpolator,I39,,L39)</f>
        <v>4.7674462888126585E-3</v>
      </c>
      <c r="N39" s="232">
        <f t="shared" si="0"/>
        <v>8.530164423738669E-3</v>
      </c>
      <c r="O39" s="369"/>
      <c r="AB39" s="209"/>
      <c r="AC39" s="209"/>
      <c r="AD39" s="369"/>
    </row>
    <row r="40" spans="1:30" x14ac:dyDescent="0.2">
      <c r="A40" s="234"/>
      <c r="B40" s="235"/>
      <c r="C40" s="236"/>
      <c r="D40" s="231"/>
      <c r="E40" s="232" t="e">
        <v>#N/A</v>
      </c>
      <c r="F40" s="195">
        <v>32</v>
      </c>
      <c r="G40" s="233">
        <f>_xll.qlInterestRateIndexFixingDate(IborIndex,I40)</f>
        <v>42825</v>
      </c>
      <c r="H40" s="195" t="str">
        <f>_xll.qlMakeDatedOIS(,I40,J40,OvernightIndex,0,"Act/360",0)</f>
        <v>obj_003d1#0016</v>
      </c>
      <c r="I40" s="233">
        <f>_xll.qlCalendarAdvance(Calendar,$D$2,F40&amp;"M","mf")</f>
        <v>42829</v>
      </c>
      <c r="J40" s="233">
        <f>_xll.qlInterestRateIndexMaturity(IborIndex,I40)</f>
        <v>43194</v>
      </c>
      <c r="L40" s="232">
        <f>_xll.qlOvernightIndexedSwapFairRate(H40,_xll.ohTrigger($P$2:$P$6))</f>
        <v>3.9846168887703731E-3</v>
      </c>
      <c r="M40" s="209">
        <f>_xll.qlInterpolationInterpolate(BasisInterpolator,I40,,L40)</f>
        <v>4.8119789743241818E-3</v>
      </c>
      <c r="N40" s="232">
        <f t="shared" si="0"/>
        <v>8.796595863094555E-3</v>
      </c>
      <c r="O40" s="369"/>
      <c r="AB40" s="209"/>
      <c r="AC40" s="209"/>
      <c r="AD40" s="369"/>
    </row>
    <row r="41" spans="1:30" x14ac:dyDescent="0.2">
      <c r="A41" s="234"/>
      <c r="B41" s="235"/>
      <c r="C41" s="236"/>
      <c r="D41" s="231"/>
      <c r="E41" s="232" t="e">
        <v>#N/A</v>
      </c>
      <c r="F41" s="195">
        <v>33</v>
      </c>
      <c r="G41" s="233">
        <f>_xll.qlInterestRateIndexFixingDate(IborIndex,I41)</f>
        <v>42857</v>
      </c>
      <c r="H41" s="195" t="str">
        <f>_xll.qlMakeDatedOIS(,I41,J41,OvernightIndex,0,"Act/360",0)</f>
        <v>obj_00431#0015</v>
      </c>
      <c r="I41" s="233">
        <f>_xll.qlCalendarAdvance(Calendar,$D$2,F41&amp;"M","mf")</f>
        <v>42859</v>
      </c>
      <c r="J41" s="233">
        <f>_xll.qlInterestRateIndexMaturity(IborIndex,I41)</f>
        <v>43224</v>
      </c>
      <c r="L41" s="232">
        <f>_xll.qlOvernightIndexedSwapFairRate(H41,_xll.ohTrigger($P$2:$P$6))</f>
        <v>4.2211286913778926E-3</v>
      </c>
      <c r="M41" s="209">
        <f>_xll.qlInterpolationInterpolate(BasisInterpolator,I41,,L41)</f>
        <v>4.8537222185878158E-3</v>
      </c>
      <c r="N41" s="232">
        <f t="shared" si="0"/>
        <v>9.0748509099657093E-3</v>
      </c>
      <c r="O41" s="369"/>
      <c r="AB41" s="209"/>
      <c r="AC41" s="209"/>
      <c r="AD41" s="369"/>
    </row>
    <row r="42" spans="1:30" x14ac:dyDescent="0.2">
      <c r="A42" s="234"/>
      <c r="B42" s="235"/>
      <c r="C42" s="236"/>
      <c r="D42" s="231"/>
      <c r="E42" s="232" t="e">
        <v>#N/A</v>
      </c>
      <c r="F42" s="195">
        <v>34</v>
      </c>
      <c r="G42" s="233">
        <f>_xll.qlInterestRateIndexFixingDate(IborIndex,I42)</f>
        <v>42887</v>
      </c>
      <c r="H42" s="195" t="str">
        <f>_xll.qlMakeDatedOIS(,I42,J42,OvernightIndex,0,"Act/360",0)</f>
        <v>obj_003f1#0016</v>
      </c>
      <c r="I42" s="233">
        <f>_xll.qlCalendarAdvance(Calendar,$D$2,F42&amp;"M","mf")</f>
        <v>42891</v>
      </c>
      <c r="J42" s="233">
        <f>_xll.qlInterestRateIndexMaturity(IborIndex,I42)</f>
        <v>43256</v>
      </c>
      <c r="L42" s="232">
        <f>_xll.qlOvernightIndexedSwapFairRate(H42,_xll.ohTrigger($P$2:$P$6))</f>
        <v>4.4808959093556918E-3</v>
      </c>
      <c r="M42" s="209">
        <f>_xll.qlInterpolationInterpolate(BasisInterpolator,I42,,L42)</f>
        <v>4.8909173871060554E-3</v>
      </c>
      <c r="N42" s="232">
        <f t="shared" si="0"/>
        <v>9.3718132964617472E-3</v>
      </c>
      <c r="O42" s="369"/>
      <c r="AB42" s="209"/>
      <c r="AC42" s="209"/>
      <c r="AD42" s="369"/>
    </row>
    <row r="43" spans="1:30" x14ac:dyDescent="0.2">
      <c r="A43" s="234"/>
      <c r="B43" s="235"/>
      <c r="C43" s="236"/>
      <c r="D43" s="231"/>
      <c r="E43" s="232" t="e">
        <v>#N/A</v>
      </c>
      <c r="F43" s="195">
        <v>35</v>
      </c>
      <c r="G43" s="233">
        <f>_xll.qlInterestRateIndexFixingDate(IborIndex,I43)</f>
        <v>42916</v>
      </c>
      <c r="H43" s="195" t="str">
        <f>_xll.qlMakeDatedOIS(,I43,J43,OvernightIndex,0,"Act/360",0)</f>
        <v>obj_003e4#0016</v>
      </c>
      <c r="I43" s="233">
        <f>_xll.qlCalendarAdvance(Calendar,$D$2,F43&amp;"M","mf")</f>
        <v>42920</v>
      </c>
      <c r="J43" s="233">
        <f>_xll.qlInterestRateIndexMaturity(IborIndex,I43)</f>
        <v>43285</v>
      </c>
      <c r="L43" s="232">
        <f>_xll.qlOvernightIndexedSwapFairRate(H43,_xll.ohTrigger($P$2:$P$6))</f>
        <v>4.7227054065541677E-3</v>
      </c>
      <c r="M43" s="209">
        <f>_xll.qlInterpolationInterpolate(BasisInterpolator,I43,,L43)</f>
        <v>4.915875065800681E-3</v>
      </c>
      <c r="N43" s="232">
        <f t="shared" si="0"/>
        <v>9.6385804723548487E-3</v>
      </c>
      <c r="O43" s="369"/>
      <c r="AB43" s="209"/>
      <c r="AC43" s="209"/>
      <c r="AD43" s="369"/>
    </row>
    <row r="44" spans="1:30" x14ac:dyDescent="0.2">
      <c r="A44" s="234"/>
      <c r="B44" s="235"/>
      <c r="C44" s="236"/>
      <c r="D44" s="231"/>
      <c r="E44" s="232" t="e">
        <v>#N/A</v>
      </c>
      <c r="F44" s="374">
        <v>36</v>
      </c>
      <c r="G44" s="375">
        <f>_xll.qlInterestRateIndexFixingDate(IborIndex,I44)</f>
        <v>42949</v>
      </c>
      <c r="H44" s="374" t="str">
        <f>_xll.qlMakeDatedOIS(,I44,J44,OvernightIndex,0,"Act/360",0)</f>
        <v>obj_003f4#0016</v>
      </c>
      <c r="I44" s="375">
        <f>_xll.qlCalendarAdvance(Calendar,$D$2,F44&amp;"M","mf")</f>
        <v>42951</v>
      </c>
      <c r="J44" s="375">
        <f>_xll.qlInterestRateIndexMaturity(IborIndex,I44)</f>
        <v>43318</v>
      </c>
      <c r="K44" s="374"/>
      <c r="L44" s="376">
        <f>_xll.qlOvernightIndexedSwapFairRate(H44,_xll.ohTrigger($P$2:$P$6))</f>
        <v>4.9967362926392591E-3</v>
      </c>
      <c r="M44" s="377">
        <f>_xll.qlInterpolationInterpolate(BasisInterpolator,I44,,L44)</f>
        <v>4.9309999999999996E-3</v>
      </c>
      <c r="N44" s="376">
        <f t="shared" ref="N44" si="3">L44+M44</f>
        <v>9.9277362926392596E-3</v>
      </c>
      <c r="O44" s="369"/>
      <c r="AB44" s="209"/>
      <c r="AC44" s="209"/>
      <c r="AD44" s="369"/>
    </row>
    <row r="45" spans="1:30" x14ac:dyDescent="0.2">
      <c r="A45" s="234"/>
      <c r="B45" s="235"/>
      <c r="C45" s="236"/>
      <c r="D45" s="231"/>
      <c r="E45" s="209" t="e">
        <v>#N/A</v>
      </c>
      <c r="F45" s="195">
        <v>37</v>
      </c>
      <c r="G45" s="233">
        <f>_xll.qlInterestRateIndexFixingDate(IborIndex,I45)</f>
        <v>42978</v>
      </c>
      <c r="H45" s="195" t="str">
        <f>_xll.qlMakeDatedOIS(,I45,J45,OvernightIndex,0,"Act/360",0)</f>
        <v>obj_0041d#0015</v>
      </c>
      <c r="I45" s="233">
        <f>_xll.qlCalendarAdvance(Calendar,$D$2,F45&amp;"M","mf")</f>
        <v>42982</v>
      </c>
      <c r="J45" s="233">
        <f>_xll.qlInterestRateIndexMaturity(IborIndex,I45)</f>
        <v>43347</v>
      </c>
      <c r="L45" s="232">
        <f>_xll.qlOvernightIndexedSwapFairRate(H45,_xll.ohTrigger($P$2:$P$6))</f>
        <v>5.2588608325772179E-3</v>
      </c>
      <c r="M45" s="209">
        <f>_xll.qlInterpolationInterpolate(BasisInterpolator,I45,,L45)</f>
        <v>4.938675925686347E-3</v>
      </c>
      <c r="N45" s="232">
        <f t="shared" si="0"/>
        <v>1.0197536758263565E-2</v>
      </c>
      <c r="O45" s="369"/>
      <c r="AB45" s="209"/>
      <c r="AC45" s="209"/>
      <c r="AD45" s="369"/>
    </row>
    <row r="46" spans="1:30" x14ac:dyDescent="0.2">
      <c r="A46" s="234"/>
      <c r="B46" s="235"/>
      <c r="C46" s="236"/>
      <c r="D46" s="231"/>
      <c r="E46" s="209" t="e">
        <v>#N/A</v>
      </c>
      <c r="F46" s="195">
        <v>38</v>
      </c>
      <c r="G46" s="233">
        <f>_xll.qlInterestRateIndexFixingDate(IborIndex,I46)</f>
        <v>43010</v>
      </c>
      <c r="H46" s="195" t="str">
        <f>_xll.qlMakeDatedOIS(,I46,J46,OvernightIndex,0,"Act/360",0)</f>
        <v>obj_0042c#0015</v>
      </c>
      <c r="I46" s="233">
        <f>_xll.qlCalendarAdvance(Calendar,$D$2,F46&amp;"M","mf")</f>
        <v>43012</v>
      </c>
      <c r="J46" s="233">
        <f>_xll.qlInterestRateIndexMaturity(IborIndex,I46)</f>
        <v>43377</v>
      </c>
      <c r="L46" s="232">
        <f>_xll.qlOvernightIndexedSwapFairRate(H46,_xll.ohTrigger($P$2:$P$6))</f>
        <v>5.5270384545260858E-3</v>
      </c>
      <c r="M46" s="209">
        <f>_xll.qlInterpolationInterpolate(BasisInterpolator,I46,,L46)</f>
        <v>4.9448715391434694E-3</v>
      </c>
      <c r="N46" s="232">
        <f t="shared" si="0"/>
        <v>1.0471909993669554E-2</v>
      </c>
      <c r="O46" s="369"/>
      <c r="AB46" s="209"/>
      <c r="AC46" s="209"/>
      <c r="AD46" s="369"/>
    </row>
    <row r="47" spans="1:30" x14ac:dyDescent="0.2">
      <c r="A47" s="234"/>
      <c r="B47" s="235"/>
      <c r="C47" s="236"/>
      <c r="D47" s="231"/>
      <c r="E47" s="209" t="e">
        <v>#N/A</v>
      </c>
      <c r="F47" s="195">
        <v>39</v>
      </c>
      <c r="G47" s="233">
        <f>_xll.qlInterestRateIndexFixingDate(IborIndex,I47)</f>
        <v>43041</v>
      </c>
      <c r="H47" s="195" t="str">
        <f>_xll.qlMakeDatedOIS(,I47,J47,OvernightIndex,0,"Act/360",0)</f>
        <v>obj_003db#0016</v>
      </c>
      <c r="I47" s="233">
        <f>_xll.qlCalendarAdvance(Calendar,$D$2,F47&amp;"M","mf")</f>
        <v>43045</v>
      </c>
      <c r="J47" s="233">
        <f>_xll.qlInterestRateIndexMaturity(IborIndex,I47)</f>
        <v>43410</v>
      </c>
      <c r="L47" s="232">
        <f>_xll.qlOvernightIndexedSwapFairRate(H47,_xll.ohTrigger($P$2:$P$6))</f>
        <v>5.8280588084647358E-3</v>
      </c>
      <c r="M47" s="209">
        <f>_xll.qlInterpolationInterpolate(BasisInterpolator,I47,,L47)</f>
        <v>4.9504167501789311E-3</v>
      </c>
      <c r="N47" s="232">
        <f t="shared" si="0"/>
        <v>1.0778475558643667E-2</v>
      </c>
      <c r="O47" s="369"/>
      <c r="AB47" s="209"/>
      <c r="AC47" s="209"/>
      <c r="AD47" s="369"/>
    </row>
    <row r="48" spans="1:30" x14ac:dyDescent="0.2">
      <c r="A48" s="234"/>
      <c r="B48" s="235"/>
      <c r="C48" s="236"/>
      <c r="D48" s="231"/>
      <c r="E48" s="209" t="e">
        <v>#N/A</v>
      </c>
      <c r="F48" s="195">
        <v>40</v>
      </c>
      <c r="G48" s="233">
        <f>_xll.qlInterestRateIndexFixingDate(IborIndex,I48)</f>
        <v>43069</v>
      </c>
      <c r="H48" s="195" t="str">
        <f>_xll.qlMakeDatedOIS(,I48,J48,OvernightIndex,0,"Act/360",0)</f>
        <v>obj_0041f#0015</v>
      </c>
      <c r="I48" s="233">
        <f>_xll.qlCalendarAdvance(Calendar,$D$2,F48&amp;"M","mf")</f>
        <v>43073</v>
      </c>
      <c r="J48" s="233">
        <f>_xll.qlInterestRateIndexMaturity(IborIndex,I48)</f>
        <v>43438</v>
      </c>
      <c r="L48" s="232">
        <f>_xll.qlOvernightIndexedSwapFairRate(H48,_xll.ohTrigger($P$2:$P$6))</f>
        <v>6.0880760090518344E-3</v>
      </c>
      <c r="M48" s="209">
        <f>_xll.qlInterpolationInterpolate(BasisInterpolator,I48,,L48)</f>
        <v>4.9541822040816887E-3</v>
      </c>
      <c r="N48" s="232">
        <f t="shared" si="0"/>
        <v>1.1042258213133524E-2</v>
      </c>
      <c r="O48" s="369"/>
      <c r="AB48" s="209"/>
      <c r="AC48" s="209"/>
      <c r="AD48" s="369"/>
    </row>
    <row r="49" spans="1:30" x14ac:dyDescent="0.2">
      <c r="A49" s="234"/>
      <c r="B49" s="235"/>
      <c r="C49" s="236"/>
      <c r="D49" s="231"/>
      <c r="E49" s="209" t="e">
        <v>#N/A</v>
      </c>
      <c r="F49" s="195">
        <v>41</v>
      </c>
      <c r="G49" s="233">
        <f>_xll.qlInterestRateIndexFixingDate(IborIndex,I49)</f>
        <v>43102</v>
      </c>
      <c r="H49" s="195" t="str">
        <f>_xll.qlMakeDatedOIS(,I49,J49,OvernightIndex,0,"Act/360",0)</f>
        <v>obj_00421#0015</v>
      </c>
      <c r="I49" s="233">
        <f>_xll.qlCalendarAdvance(Calendar,$D$2,F49&amp;"M","mf")</f>
        <v>43104</v>
      </c>
      <c r="J49" s="233">
        <f>_xll.qlInterestRateIndexMaturity(IborIndex,I49)</f>
        <v>43469</v>
      </c>
      <c r="L49" s="232">
        <f>_xll.qlOvernightIndexedSwapFairRate(H49,_xll.ohTrigger($P$2:$P$6))</f>
        <v>6.3805119201479927E-3</v>
      </c>
      <c r="M49" s="209">
        <f>_xll.qlInterpolationInterpolate(BasisInterpolator,I49,,L49)</f>
        <v>4.9574572990967198E-3</v>
      </c>
      <c r="N49" s="232">
        <f t="shared" si="0"/>
        <v>1.1337969219244712E-2</v>
      </c>
      <c r="O49" s="369"/>
      <c r="AB49" s="209"/>
      <c r="AC49" s="209"/>
      <c r="AD49" s="369"/>
    </row>
    <row r="50" spans="1:30" x14ac:dyDescent="0.2">
      <c r="A50" s="234"/>
      <c r="B50" s="235"/>
      <c r="C50" s="236"/>
      <c r="D50" s="231"/>
      <c r="E50" s="209" t="e">
        <v>#N/A</v>
      </c>
      <c r="F50" s="195">
        <v>42</v>
      </c>
      <c r="G50" s="233">
        <f>_xll.qlInterestRateIndexFixingDate(IborIndex,I50)</f>
        <v>43132</v>
      </c>
      <c r="H50" s="195" t="str">
        <f>_xll.qlMakeDatedOIS(,I50,J50,OvernightIndex,0,"Act/360",0)</f>
        <v>obj_00419#0015</v>
      </c>
      <c r="I50" s="233">
        <f>_xll.qlCalendarAdvance(Calendar,$D$2,F50&amp;"M","mf")</f>
        <v>43136</v>
      </c>
      <c r="J50" s="233">
        <f>_xll.qlInterestRateIndexMaturity(IborIndex,I50)</f>
        <v>43501</v>
      </c>
      <c r="L50" s="232">
        <f>_xll.qlOvernightIndexedSwapFairRate(H50,_xll.ohTrigger($P$2:$P$6))</f>
        <v>6.6870005598641457E-3</v>
      </c>
      <c r="M50" s="209">
        <f>_xll.qlInterpolationInterpolate(BasisInterpolator,I50,,L50)</f>
        <v>4.9599753333863499E-3</v>
      </c>
      <c r="N50" s="232">
        <f t="shared" si="0"/>
        <v>1.1646975893250495E-2</v>
      </c>
      <c r="O50" s="369"/>
      <c r="AB50" s="209"/>
      <c r="AC50" s="209"/>
      <c r="AD50" s="369"/>
    </row>
    <row r="51" spans="1:30" x14ac:dyDescent="0.2">
      <c r="A51" s="234"/>
      <c r="B51" s="235"/>
      <c r="C51" s="236"/>
      <c r="D51" s="231"/>
      <c r="E51" s="209" t="e">
        <v>#N/A</v>
      </c>
      <c r="F51" s="195">
        <v>43</v>
      </c>
      <c r="G51" s="233">
        <f>_xll.qlInterestRateIndexFixingDate(IborIndex,I51)</f>
        <v>43160</v>
      </c>
      <c r="H51" s="195" t="str">
        <f>_xll.qlMakeDatedOIS(,I51,J51,OvernightIndex,0,"Act/360",0)</f>
        <v>obj_00415#0015</v>
      </c>
      <c r="I51" s="233">
        <f>_xll.qlCalendarAdvance(Calendar,$D$2,F51&amp;"M","mf")</f>
        <v>43164</v>
      </c>
      <c r="J51" s="233">
        <f>_xll.qlInterestRateIndexMaturity(IborIndex,I51)</f>
        <v>43529</v>
      </c>
      <c r="L51" s="232">
        <f>_xll.qlOvernightIndexedSwapFairRate(H51,_xll.ohTrigger($P$2:$P$6))</f>
        <v>6.9586883657929898E-3</v>
      </c>
      <c r="M51" s="209">
        <f>_xll.qlInterpolationInterpolate(BasisInterpolator,I51,,L51)</f>
        <v>4.9615617518148523E-3</v>
      </c>
      <c r="N51" s="232">
        <f t="shared" si="0"/>
        <v>1.1920250117607842E-2</v>
      </c>
      <c r="O51" s="369"/>
    </row>
    <row r="52" spans="1:30" x14ac:dyDescent="0.2">
      <c r="A52" s="234"/>
      <c r="B52" s="235"/>
      <c r="C52" s="236"/>
      <c r="D52" s="231"/>
      <c r="E52" s="209" t="e">
        <v>#N/A</v>
      </c>
      <c r="F52" s="195">
        <v>44</v>
      </c>
      <c r="G52" s="233">
        <f>_xll.qlInterestRateIndexFixingDate(IborIndex,I52)</f>
        <v>43188</v>
      </c>
      <c r="H52" s="195" t="str">
        <f>_xll.qlMakeDatedOIS(,I52,J52,OvernightIndex,0,"Act/360",0)</f>
        <v>obj_003fa#0015</v>
      </c>
      <c r="I52" s="233">
        <f>_xll.qlCalendarAdvance(Calendar,$D$2,F52&amp;"M","mf")</f>
        <v>43194</v>
      </c>
      <c r="J52" s="233">
        <f>_xll.qlInterestRateIndexMaturity(IborIndex,I52)</f>
        <v>43559</v>
      </c>
      <c r="L52" s="232">
        <f>_xll.qlOvernightIndexedSwapFairRate(H52,_xll.ohTrigger($P$2:$P$6))</f>
        <v>7.253070251865266E-3</v>
      </c>
      <c r="M52" s="209">
        <f>_xll.qlInterpolationInterpolate(BasisInterpolator,I52,,L52)</f>
        <v>4.9627271395201004E-3</v>
      </c>
      <c r="N52" s="232">
        <f t="shared" si="0"/>
        <v>1.2215797391385366E-2</v>
      </c>
      <c r="O52" s="369"/>
    </row>
    <row r="53" spans="1:30" x14ac:dyDescent="0.2">
      <c r="A53" s="234"/>
      <c r="B53" s="235"/>
      <c r="C53" s="236"/>
      <c r="D53" s="231"/>
      <c r="E53" s="209" t="e">
        <v>#N/A</v>
      </c>
      <c r="F53" s="195">
        <v>45</v>
      </c>
      <c r="G53" s="233">
        <f>_xll.qlInterestRateIndexFixingDate(IborIndex,I53)</f>
        <v>43222</v>
      </c>
      <c r="H53" s="195" t="str">
        <f>_xll.qlMakeDatedOIS(,I53,J53,OvernightIndex,0,"Act/360",0)</f>
        <v>obj_003e0#0016</v>
      </c>
      <c r="I53" s="233">
        <f>_xll.qlCalendarAdvance(Calendar,$D$2,F53&amp;"M","mf")</f>
        <v>43224</v>
      </c>
      <c r="J53" s="233">
        <f>_xll.qlInterestRateIndexMaturity(IborIndex,I53)</f>
        <v>43591</v>
      </c>
      <c r="L53" s="232">
        <f>_xll.qlOvernightIndexedSwapFairRate(H53,_xll.ohTrigger($P$2:$P$6))</f>
        <v>7.5607698325916989E-3</v>
      </c>
      <c r="M53" s="209">
        <f>_xll.qlInterpolationInterpolate(BasisInterpolator,I53,,L53)</f>
        <v>4.9634455028632618E-3</v>
      </c>
      <c r="N53" s="232">
        <f t="shared" si="0"/>
        <v>1.2524215335454961E-2</v>
      </c>
      <c r="O53" s="369"/>
    </row>
    <row r="54" spans="1:30" x14ac:dyDescent="0.2">
      <c r="A54" s="234"/>
      <c r="B54" s="235"/>
      <c r="C54" s="236"/>
      <c r="D54" s="231"/>
      <c r="E54" s="209" t="e">
        <v>#N/A</v>
      </c>
      <c r="F54" s="195">
        <v>46</v>
      </c>
      <c r="G54" s="233">
        <f>_xll.qlInterestRateIndexFixingDate(IborIndex,I54)</f>
        <v>43251</v>
      </c>
      <c r="H54" s="195" t="str">
        <f>_xll.qlMakeDatedOIS(,I54,J54,OvernightIndex,0,"Act/360",0)</f>
        <v>obj_003dd#0016</v>
      </c>
      <c r="I54" s="233">
        <f>_xll.qlCalendarAdvance(Calendar,$D$2,F54&amp;"M","mf")</f>
        <v>43255</v>
      </c>
      <c r="J54" s="233">
        <f>_xll.qlInterestRateIndexMaturity(IborIndex,I54)</f>
        <v>43620</v>
      </c>
      <c r="L54" s="232">
        <f>_xll.qlOvernightIndexedSwapFairRate(H54,_xll.ohTrigger($P$2:$P$6))</f>
        <v>7.8606664866632571E-3</v>
      </c>
      <c r="M54" s="209">
        <f>_xll.qlInterpolationInterpolate(BasisInterpolator,I54,,L54)</f>
        <v>4.9638330688460764E-3</v>
      </c>
      <c r="N54" s="232">
        <f t="shared" si="0"/>
        <v>1.2824499555509333E-2</v>
      </c>
      <c r="O54" s="369"/>
    </row>
    <row r="55" spans="1:30" x14ac:dyDescent="0.2">
      <c r="A55" s="234"/>
      <c r="B55" s="235"/>
      <c r="C55" s="236"/>
      <c r="D55" s="231"/>
      <c r="E55" s="209" t="e">
        <v>#N/A</v>
      </c>
      <c r="F55" s="195">
        <v>47</v>
      </c>
      <c r="G55" s="233">
        <f>_xll.qlInterestRateIndexFixingDate(IborIndex,I55)</f>
        <v>43283</v>
      </c>
      <c r="H55" s="195" t="str">
        <f>_xll.qlMakeDatedOIS(,I55,J55,OvernightIndex,0,"Act/360",0)</f>
        <v>obj_00429#0015</v>
      </c>
      <c r="I55" s="233">
        <f>_xll.qlCalendarAdvance(Calendar,$D$2,F55&amp;"M","mf")</f>
        <v>43285</v>
      </c>
      <c r="J55" s="233">
        <f>_xll.qlInterestRateIndexMaturity(IborIndex,I55)</f>
        <v>43650</v>
      </c>
      <c r="L55" s="232">
        <f>_xll.qlOvernightIndexedSwapFairRate(H55,_xll.ohTrigger($P$2:$P$6))</f>
        <v>8.1631845396251193E-3</v>
      </c>
      <c r="M55" s="209">
        <f>_xll.qlInterpolationInterpolate(BasisInterpolator,I55,,L55)</f>
        <v>4.9639760084908896E-3</v>
      </c>
      <c r="N55" s="232">
        <f t="shared" si="0"/>
        <v>1.312716054811601E-2</v>
      </c>
      <c r="O55" s="369"/>
    </row>
    <row r="56" spans="1:30" x14ac:dyDescent="0.2">
      <c r="A56" s="234"/>
      <c r="B56" s="235"/>
      <c r="C56" s="236"/>
      <c r="D56" s="231"/>
      <c r="E56" s="209" t="e">
        <v>#N/A</v>
      </c>
      <c r="F56" s="374">
        <v>48</v>
      </c>
      <c r="G56" s="375">
        <f>_xll.qlInterestRateIndexFixingDate(IborIndex,I56)</f>
        <v>43314</v>
      </c>
      <c r="H56" s="374" t="str">
        <f>_xll.qlMakeDatedOIS(,I56,J56,OvernightIndex,0,"Act/360",0)</f>
        <v>obj_003fe#0015</v>
      </c>
      <c r="I56" s="375">
        <f>_xll.qlCalendarAdvance(Calendar,$D$2,F56&amp;"M","mf")</f>
        <v>43318</v>
      </c>
      <c r="J56" s="375">
        <f>_xll.qlInterestRateIndexMaturity(IborIndex,I56)</f>
        <v>43683</v>
      </c>
      <c r="K56" s="374"/>
      <c r="L56" s="376">
        <f>_xll.qlOvernightIndexedSwapFairRate(H56,_xll.ohTrigger($P$2:$P$6))</f>
        <v>8.4981972510532241E-3</v>
      </c>
      <c r="M56" s="377">
        <f>_xll.qlInterpolationInterpolate(BasisInterpolator,I56,,L56)</f>
        <v>4.9639999999999997E-3</v>
      </c>
      <c r="N56" s="376">
        <f t="shared" si="0"/>
        <v>1.3462197251053224E-2</v>
      </c>
      <c r="O56" s="369"/>
    </row>
    <row r="57" spans="1:30" x14ac:dyDescent="0.2">
      <c r="A57" s="234"/>
      <c r="B57" s="235"/>
      <c r="C57" s="236"/>
      <c r="D57" s="231"/>
      <c r="E57" s="209" t="e">
        <v>#N/A</v>
      </c>
    </row>
    <row r="58" spans="1:30" x14ac:dyDescent="0.2">
      <c r="A58" s="234"/>
      <c r="B58" s="235"/>
      <c r="C58" s="236"/>
      <c r="D58" s="231"/>
      <c r="E58" s="209" t="e">
        <v>#N/A</v>
      </c>
    </row>
    <row r="59" spans="1:30" x14ac:dyDescent="0.2">
      <c r="A59" s="234"/>
      <c r="B59" s="235"/>
      <c r="C59" s="236"/>
      <c r="D59" s="231"/>
      <c r="E59" s="209" t="e">
        <v>#N/A</v>
      </c>
    </row>
    <row r="60" spans="1:30" x14ac:dyDescent="0.2">
      <c r="A60" s="234"/>
      <c r="B60" s="235"/>
      <c r="C60" s="236"/>
      <c r="D60" s="231"/>
      <c r="E60" s="209" t="e">
        <v>#N/A</v>
      </c>
    </row>
    <row r="61" spans="1:30" x14ac:dyDescent="0.2">
      <c r="A61" s="234"/>
      <c r="B61" s="235"/>
      <c r="C61" s="236"/>
      <c r="D61" s="231"/>
      <c r="E61" s="209" t="e">
        <v>#N/A</v>
      </c>
    </row>
    <row r="62" spans="1:30" x14ac:dyDescent="0.2">
      <c r="A62" s="234"/>
      <c r="B62" s="235"/>
      <c r="C62" s="236"/>
      <c r="D62" s="231"/>
      <c r="E62" s="209" t="e">
        <v>#N/A</v>
      </c>
    </row>
    <row r="63" spans="1:30" x14ac:dyDescent="0.2">
      <c r="A63" s="234"/>
      <c r="B63" s="235"/>
      <c r="C63" s="236"/>
      <c r="D63" s="231"/>
      <c r="E63" s="209" t="e">
        <v>#N/A</v>
      </c>
    </row>
    <row r="64" spans="1:30" x14ac:dyDescent="0.2">
      <c r="A64" s="234"/>
      <c r="B64" s="235"/>
      <c r="C64" s="236"/>
      <c r="D64" s="231"/>
      <c r="E64" s="209" t="e">
        <v>#N/A</v>
      </c>
    </row>
    <row r="65" spans="1:5" x14ac:dyDescent="0.2">
      <c r="A65" s="234"/>
      <c r="B65" s="235"/>
      <c r="C65" s="236"/>
      <c r="D65" s="231"/>
      <c r="E65" s="209" t="e">
        <v>#N/A</v>
      </c>
    </row>
    <row r="66" spans="1:5" x14ac:dyDescent="0.2">
      <c r="A66" s="234"/>
      <c r="B66" s="235"/>
      <c r="C66" s="236"/>
      <c r="D66" s="231"/>
      <c r="E66" s="209" t="e">
        <v>#N/A</v>
      </c>
    </row>
    <row r="67" spans="1:5" x14ac:dyDescent="0.2">
      <c r="A67" s="234"/>
      <c r="B67" s="235"/>
      <c r="C67" s="236"/>
      <c r="D67" s="231"/>
      <c r="E67" s="209" t="e">
        <v>#N/A</v>
      </c>
    </row>
    <row r="68" spans="1:5" x14ac:dyDescent="0.2">
      <c r="A68" s="234"/>
      <c r="B68" s="235"/>
      <c r="C68" s="236"/>
      <c r="D68" s="231"/>
      <c r="E68" s="209" t="e">
        <v>#N/A</v>
      </c>
    </row>
    <row r="69" spans="1:5" x14ac:dyDescent="0.2">
      <c r="A69" s="234"/>
      <c r="B69" s="235"/>
      <c r="C69" s="236"/>
      <c r="D69" s="231"/>
      <c r="E69" s="209" t="e">
        <v>#N/A</v>
      </c>
    </row>
    <row r="70" spans="1:5" x14ac:dyDescent="0.2">
      <c r="A70" s="234"/>
      <c r="B70" s="235"/>
      <c r="C70" s="236"/>
      <c r="D70" s="231"/>
      <c r="E70" s="209" t="e">
        <v>#N/A</v>
      </c>
    </row>
    <row r="71" spans="1:5" x14ac:dyDescent="0.2">
      <c r="A71" s="234"/>
      <c r="B71" s="235"/>
      <c r="C71" s="236"/>
      <c r="D71" s="231"/>
      <c r="E71" s="209" t="e">
        <v>#N/A</v>
      </c>
    </row>
    <row r="72" spans="1:5" x14ac:dyDescent="0.2">
      <c r="A72" s="234"/>
      <c r="B72" s="235"/>
      <c r="C72" s="236"/>
      <c r="D72" s="231"/>
      <c r="E72" s="209" t="e">
        <v>#N/A</v>
      </c>
    </row>
    <row r="73" spans="1:5" x14ac:dyDescent="0.2">
      <c r="A73" s="234"/>
      <c r="B73" s="235"/>
      <c r="C73" s="236"/>
      <c r="D73" s="231"/>
      <c r="E73" s="209" t="e">
        <v>#N/A</v>
      </c>
    </row>
    <row r="74" spans="1:5" x14ac:dyDescent="0.2">
      <c r="A74" s="234"/>
      <c r="B74" s="235"/>
      <c r="C74" s="236"/>
      <c r="D74" s="231"/>
      <c r="E74" s="209" t="e">
        <v>#N/A</v>
      </c>
    </row>
    <row r="75" spans="1:5" x14ac:dyDescent="0.2">
      <c r="A75" s="234"/>
      <c r="B75" s="235"/>
      <c r="C75" s="236"/>
      <c r="D75" s="231"/>
      <c r="E75" s="209" t="e">
        <v>#N/A</v>
      </c>
    </row>
    <row r="76" spans="1:5" x14ac:dyDescent="0.2">
      <c r="A76" s="234"/>
      <c r="B76" s="235"/>
      <c r="C76" s="236"/>
      <c r="D76" s="231"/>
      <c r="E76" s="209" t="e">
        <v>#N/A</v>
      </c>
    </row>
    <row r="77" spans="1:5" x14ac:dyDescent="0.2">
      <c r="A77" s="234"/>
      <c r="B77" s="235"/>
      <c r="C77" s="236"/>
      <c r="D77" s="231"/>
      <c r="E77" s="209" t="e">
        <v>#N/A</v>
      </c>
    </row>
    <row r="78" spans="1:5" x14ac:dyDescent="0.2">
      <c r="A78" s="234"/>
      <c r="B78" s="235"/>
      <c r="C78" s="236"/>
      <c r="D78" s="231"/>
      <c r="E78" s="209" t="e">
        <v>#N/A</v>
      </c>
    </row>
    <row r="79" spans="1:5" x14ac:dyDescent="0.2">
      <c r="A79" s="234"/>
      <c r="B79" s="235"/>
      <c r="C79" s="236"/>
      <c r="D79" s="231"/>
      <c r="E79" s="209" t="e">
        <v>#N/A</v>
      </c>
    </row>
    <row r="80" spans="1:5" x14ac:dyDescent="0.2">
      <c r="A80" s="234"/>
      <c r="B80" s="235"/>
      <c r="C80" s="236"/>
      <c r="D80" s="231"/>
      <c r="E80" s="209" t="e">
        <v>#N/A</v>
      </c>
    </row>
    <row r="81" spans="1:5" x14ac:dyDescent="0.2">
      <c r="A81" s="234"/>
      <c r="B81" s="235"/>
      <c r="C81" s="236"/>
      <c r="D81" s="231"/>
      <c r="E81" s="209" t="e">
        <v>#N/A</v>
      </c>
    </row>
    <row r="82" spans="1:5" x14ac:dyDescent="0.2">
      <c r="A82" s="234"/>
      <c r="B82" s="235"/>
      <c r="C82" s="236"/>
      <c r="D82" s="231"/>
      <c r="E82" s="209" t="e">
        <v>#N/A</v>
      </c>
    </row>
    <row r="83" spans="1:5" x14ac:dyDescent="0.2">
      <c r="A83" s="234"/>
      <c r="B83" s="235"/>
      <c r="C83" s="236"/>
      <c r="D83" s="231"/>
      <c r="E83" s="209" t="e">
        <v>#N/A</v>
      </c>
    </row>
    <row r="84" spans="1:5" x14ac:dyDescent="0.2">
      <c r="A84" s="234"/>
      <c r="B84" s="235"/>
      <c r="C84" s="236"/>
      <c r="D84" s="231"/>
      <c r="E84" s="209" t="e">
        <v>#N/A</v>
      </c>
    </row>
    <row r="85" spans="1:5" x14ac:dyDescent="0.2">
      <c r="A85" s="234"/>
      <c r="B85" s="235"/>
      <c r="C85" s="236"/>
      <c r="D85" s="231"/>
      <c r="E85" s="209" t="e">
        <v>#N/A</v>
      </c>
    </row>
    <row r="86" spans="1:5" x14ac:dyDescent="0.2">
      <c r="A86" s="234"/>
      <c r="B86" s="235"/>
      <c r="C86" s="236"/>
      <c r="D86" s="231"/>
      <c r="E86" s="209" t="e">
        <v>#N/A</v>
      </c>
    </row>
    <row r="87" spans="1:5" x14ac:dyDescent="0.2">
      <c r="A87" s="234"/>
      <c r="B87" s="235"/>
      <c r="C87" s="236"/>
      <c r="D87" s="231"/>
      <c r="E87" s="209" t="e">
        <v>#N/A</v>
      </c>
    </row>
    <row r="88" spans="1:5" x14ac:dyDescent="0.2">
      <c r="A88" s="234"/>
      <c r="B88" s="235"/>
      <c r="C88" s="236"/>
      <c r="D88" s="231"/>
      <c r="E88" s="209" t="e">
        <v>#N/A</v>
      </c>
    </row>
    <row r="89" spans="1:5" x14ac:dyDescent="0.2">
      <c r="A89" s="234"/>
      <c r="B89" s="235"/>
      <c r="C89" s="236"/>
      <c r="D89" s="231"/>
      <c r="E89" s="209" t="e">
        <v>#N/A</v>
      </c>
    </row>
    <row r="90" spans="1:5" x14ac:dyDescent="0.2">
      <c r="A90" s="234"/>
      <c r="B90" s="235"/>
      <c r="C90" s="236"/>
      <c r="D90" s="231"/>
      <c r="E90" s="209" t="e">
        <v>#N/A</v>
      </c>
    </row>
    <row r="91" spans="1:5" x14ac:dyDescent="0.2">
      <c r="A91" s="234"/>
      <c r="B91" s="235"/>
      <c r="C91" s="236"/>
      <c r="D91" s="231"/>
      <c r="E91" s="209" t="e">
        <v>#N/A</v>
      </c>
    </row>
    <row r="92" spans="1:5" x14ac:dyDescent="0.2">
      <c r="A92" s="234"/>
      <c r="B92" s="235"/>
      <c r="C92" s="236"/>
      <c r="D92" s="231"/>
      <c r="E92" s="209" t="e">
        <v>#N/A</v>
      </c>
    </row>
    <row r="93" spans="1:5" x14ac:dyDescent="0.2">
      <c r="A93" s="234"/>
      <c r="B93" s="235"/>
      <c r="C93" s="236"/>
      <c r="D93" s="231"/>
      <c r="E93" s="209" t="e">
        <v>#N/A</v>
      </c>
    </row>
    <row r="94" spans="1:5" x14ac:dyDescent="0.2">
      <c r="A94" s="234"/>
      <c r="B94" s="235"/>
      <c r="C94" s="236"/>
      <c r="D94" s="231"/>
      <c r="E94" s="209" t="e">
        <v>#N/A</v>
      </c>
    </row>
    <row r="95" spans="1:5" x14ac:dyDescent="0.2">
      <c r="A95" s="234"/>
      <c r="B95" s="235"/>
      <c r="C95" s="236"/>
      <c r="D95" s="231"/>
      <c r="E95" s="209" t="e">
        <v>#N/A</v>
      </c>
    </row>
    <row r="96" spans="1:5" x14ac:dyDescent="0.2">
      <c r="A96" s="234"/>
      <c r="B96" s="235"/>
      <c r="C96" s="236"/>
      <c r="D96" s="231"/>
      <c r="E96" s="209" t="e">
        <v>#N/A</v>
      </c>
    </row>
    <row r="97" spans="1:5" x14ac:dyDescent="0.2">
      <c r="A97" s="234"/>
      <c r="B97" s="235"/>
      <c r="C97" s="236"/>
      <c r="D97" s="231"/>
      <c r="E97" s="209" t="e">
        <v>#N/A</v>
      </c>
    </row>
    <row r="98" spans="1:5" x14ac:dyDescent="0.2">
      <c r="A98" s="234"/>
      <c r="B98" s="235"/>
      <c r="C98" s="236"/>
      <c r="D98" s="231"/>
      <c r="E98" s="209" t="e">
        <v>#N/A</v>
      </c>
    </row>
    <row r="99" spans="1:5" x14ac:dyDescent="0.2">
      <c r="A99" s="234"/>
      <c r="B99" s="235"/>
      <c r="C99" s="236"/>
      <c r="D99" s="231"/>
      <c r="E99" s="209" t="e">
        <v>#N/A</v>
      </c>
    </row>
    <row r="100" spans="1:5" x14ac:dyDescent="0.2">
      <c r="A100" s="234"/>
      <c r="B100" s="235"/>
      <c r="C100" s="236"/>
      <c r="D100" s="231"/>
      <c r="E100" s="209" t="e">
        <v>#N/A</v>
      </c>
    </row>
    <row r="101" spans="1:5" x14ac:dyDescent="0.2">
      <c r="A101" s="234"/>
      <c r="B101" s="235"/>
      <c r="C101" s="236"/>
      <c r="D101" s="231"/>
      <c r="E101" s="209" t="e">
        <v>#N/A</v>
      </c>
    </row>
    <row r="102" spans="1:5" x14ac:dyDescent="0.2">
      <c r="A102" s="234"/>
      <c r="B102" s="235"/>
      <c r="C102" s="236"/>
      <c r="D102" s="231"/>
      <c r="E102" s="209" t="e">
        <v>#N/A</v>
      </c>
    </row>
    <row r="103" spans="1:5" x14ac:dyDescent="0.2">
      <c r="A103" s="234"/>
      <c r="B103" s="235"/>
      <c r="C103" s="236"/>
      <c r="D103" s="231"/>
      <c r="E103" s="209" t="e">
        <v>#N/A</v>
      </c>
    </row>
    <row r="104" spans="1:5" x14ac:dyDescent="0.2">
      <c r="A104" s="234"/>
      <c r="B104" s="235"/>
      <c r="C104" s="236"/>
      <c r="D104" s="231"/>
      <c r="E104" s="209" t="e">
        <v>#N/A</v>
      </c>
    </row>
    <row r="105" spans="1:5" x14ac:dyDescent="0.2">
      <c r="A105" s="234"/>
      <c r="B105" s="235"/>
      <c r="C105" s="236"/>
      <c r="D105" s="231"/>
      <c r="E105" s="209" t="e">
        <v>#N/A</v>
      </c>
    </row>
    <row r="106" spans="1:5" x14ac:dyDescent="0.2">
      <c r="A106" s="234"/>
      <c r="B106" s="235"/>
      <c r="C106" s="236"/>
      <c r="D106" s="231"/>
      <c r="E106" s="209" t="e">
        <v>#N/A</v>
      </c>
    </row>
    <row r="107" spans="1:5" x14ac:dyDescent="0.2">
      <c r="A107" s="234"/>
      <c r="B107" s="235"/>
      <c r="C107" s="236"/>
      <c r="D107" s="231"/>
      <c r="E107" s="209" t="e">
        <v>#N/A</v>
      </c>
    </row>
    <row r="108" spans="1:5" x14ac:dyDescent="0.2">
      <c r="A108" s="234"/>
      <c r="B108" s="235"/>
      <c r="C108" s="236"/>
      <c r="D108" s="231"/>
      <c r="E108" s="209" t="e">
        <v>#N/A</v>
      </c>
    </row>
    <row r="109" spans="1:5" x14ac:dyDescent="0.2">
      <c r="A109" s="234"/>
      <c r="B109" s="235"/>
      <c r="C109" s="236"/>
      <c r="D109" s="231"/>
      <c r="E109" s="209" t="e">
        <v>#N/A</v>
      </c>
    </row>
    <row r="110" spans="1:5" x14ac:dyDescent="0.2">
      <c r="A110" s="234"/>
      <c r="B110" s="235"/>
      <c r="C110" s="236"/>
      <c r="D110" s="231"/>
      <c r="E110" s="209" t="e">
        <v>#N/A</v>
      </c>
    </row>
    <row r="111" spans="1:5" x14ac:dyDescent="0.2">
      <c r="A111" s="234"/>
      <c r="B111" s="235"/>
      <c r="C111" s="236"/>
      <c r="D111" s="231"/>
      <c r="E111" s="209" t="e">
        <v>#N/A</v>
      </c>
    </row>
    <row r="112" spans="1:5" x14ac:dyDescent="0.2">
      <c r="A112" s="234"/>
      <c r="B112" s="235"/>
      <c r="C112" s="236"/>
      <c r="D112" s="231"/>
      <c r="E112" s="209" t="e">
        <v>#N/A</v>
      </c>
    </row>
    <row r="113" spans="1:5" x14ac:dyDescent="0.2">
      <c r="A113" s="234"/>
      <c r="B113" s="235"/>
      <c r="C113" s="236"/>
      <c r="D113" s="231"/>
      <c r="E113" s="209" t="e">
        <v>#N/A</v>
      </c>
    </row>
    <row r="114" spans="1:5" x14ac:dyDescent="0.2">
      <c r="A114" s="234"/>
      <c r="B114" s="235"/>
      <c r="C114" s="236"/>
      <c r="D114" s="231"/>
      <c r="E114" s="209" t="e">
        <v>#N/A</v>
      </c>
    </row>
    <row r="115" spans="1:5" x14ac:dyDescent="0.2">
      <c r="A115" s="234"/>
      <c r="B115" s="235"/>
      <c r="C115" s="236"/>
      <c r="D115" s="231"/>
      <c r="E115" s="209" t="e">
        <v>#N/A</v>
      </c>
    </row>
    <row r="116" spans="1:5" x14ac:dyDescent="0.2">
      <c r="A116" s="234"/>
      <c r="B116" s="235"/>
      <c r="C116" s="236"/>
      <c r="D116" s="231"/>
      <c r="E116" s="209" t="e">
        <v>#N/A</v>
      </c>
    </row>
    <row r="117" spans="1:5" x14ac:dyDescent="0.2">
      <c r="A117" s="234"/>
      <c r="B117" s="235"/>
      <c r="C117" s="236"/>
      <c r="D117" s="231"/>
      <c r="E117" s="209" t="e">
        <v>#N/A</v>
      </c>
    </row>
    <row r="118" spans="1:5" x14ac:dyDescent="0.2">
      <c r="A118" s="234"/>
      <c r="B118" s="235"/>
      <c r="C118" s="236"/>
      <c r="D118" s="231"/>
      <c r="E118" s="209" t="e">
        <v>#N/A</v>
      </c>
    </row>
    <row r="119" spans="1:5" x14ac:dyDescent="0.2">
      <c r="A119" s="234"/>
      <c r="B119" s="235"/>
      <c r="C119" s="236"/>
      <c r="D119" s="231"/>
      <c r="E119" s="209" t="e">
        <v>#N/A</v>
      </c>
    </row>
    <row r="120" spans="1:5" x14ac:dyDescent="0.2">
      <c r="A120" s="234"/>
      <c r="B120" s="235"/>
      <c r="C120" s="236"/>
      <c r="D120" s="231"/>
      <c r="E120" s="209" t="e">
        <v>#N/A</v>
      </c>
    </row>
    <row r="121" spans="1:5" x14ac:dyDescent="0.2">
      <c r="A121" s="234"/>
      <c r="B121" s="235"/>
      <c r="C121" s="236"/>
      <c r="D121" s="231"/>
      <c r="E121" s="209" t="e">
        <v>#N/A</v>
      </c>
    </row>
    <row r="122" spans="1:5" x14ac:dyDescent="0.2">
      <c r="A122" s="234"/>
      <c r="B122" s="235"/>
      <c r="C122" s="236"/>
      <c r="D122" s="231"/>
      <c r="E122" s="209" t="e">
        <v>#N/A</v>
      </c>
    </row>
    <row r="123" spans="1:5" x14ac:dyDescent="0.2">
      <c r="A123" s="234"/>
      <c r="B123" s="235"/>
      <c r="C123" s="236"/>
      <c r="D123" s="231"/>
      <c r="E123" s="209" t="e">
        <v>#N/A</v>
      </c>
    </row>
    <row r="124" spans="1:5" x14ac:dyDescent="0.2">
      <c r="A124" s="234"/>
      <c r="B124" s="235"/>
      <c r="C124" s="236"/>
      <c r="D124" s="231"/>
      <c r="E124" s="209" t="e">
        <v>#N/A</v>
      </c>
    </row>
    <row r="125" spans="1:5" x14ac:dyDescent="0.2">
      <c r="A125" s="234"/>
      <c r="B125" s="235"/>
      <c r="C125" s="236"/>
      <c r="D125" s="231"/>
      <c r="E125" s="209" t="e">
        <v>#N/A</v>
      </c>
    </row>
    <row r="126" spans="1:5" x14ac:dyDescent="0.2">
      <c r="A126" s="234"/>
      <c r="B126" s="235"/>
      <c r="C126" s="236"/>
      <c r="D126" s="231"/>
      <c r="E126" s="209" t="e">
        <v>#N/A</v>
      </c>
    </row>
    <row r="127" spans="1:5" x14ac:dyDescent="0.2">
      <c r="A127" s="237"/>
      <c r="B127" s="238"/>
      <c r="C127" s="239"/>
      <c r="D127" s="240"/>
      <c r="E127" s="209" t="e"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/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7" width="3.1640625" style="167" customWidth="1"/>
    <col min="8" max="8" width="4.33203125" style="167" customWidth="1"/>
    <col min="9" max="9" width="7.83203125" style="167" customWidth="1"/>
    <col min="10" max="10" width="9.33203125" style="167" bestFit="1" customWidth="1"/>
    <col min="11" max="11" width="3.1640625" style="167" customWidth="1"/>
    <col min="12" max="12" width="9.33203125" style="167" bestFit="1" customWidth="1"/>
    <col min="13" max="13" width="3.1640625" style="167" customWidth="1"/>
    <col min="14" max="14" width="11.6640625" style="167" bestFit="1" customWidth="1"/>
    <col min="15" max="15" width="10.5" style="167" bestFit="1" customWidth="1"/>
    <col min="16" max="16" width="5.83203125" style="167" customWidth="1"/>
    <col min="17" max="16384" width="9.33203125" style="172"/>
  </cols>
  <sheetData>
    <row r="1" spans="1:16" ht="12" thickBot="1" x14ac:dyDescent="0.25">
      <c r="A1" s="164"/>
      <c r="D1" s="165"/>
      <c r="E1" s="165"/>
      <c r="F1" s="166"/>
      <c r="H1" s="168"/>
      <c r="I1" s="169"/>
      <c r="J1" s="169"/>
      <c r="K1" s="170"/>
      <c r="L1" s="170"/>
      <c r="M1" s="170"/>
      <c r="N1" s="169"/>
      <c r="P1" s="171"/>
    </row>
    <row r="2" spans="1:16" ht="12.75" thickBot="1" x14ac:dyDescent="0.3">
      <c r="A2" s="316"/>
      <c r="B2" s="315"/>
      <c r="C2" s="332" t="str">
        <f>Currency&amp;"_015_SyntheticQuotes"&amp;".xml"</f>
        <v>EUR_015_SyntheticQuotes.xml</v>
      </c>
      <c r="D2" s="333" t="str">
        <f>IF(Serialize,_xll.ohObjectSave(D3:D84,SerializationPath&amp;C2,FileOverwrite,Serialize),"---")</f>
        <v>---</v>
      </c>
      <c r="E2" s="273" t="str">
        <f>_xll.ohRangeRetrieveError(D2)</f>
        <v/>
      </c>
      <c r="F2" s="173"/>
      <c r="H2" s="174"/>
      <c r="I2" s="275"/>
      <c r="J2" s="276" t="s">
        <v>82</v>
      </c>
      <c r="K2" s="175"/>
      <c r="L2" s="283" t="s">
        <v>83</v>
      </c>
      <c r="M2" s="175"/>
      <c r="N2" s="275" t="s">
        <v>84</v>
      </c>
      <c r="O2" s="287" t="s">
        <v>85</v>
      </c>
      <c r="P2" s="353">
        <f>_xll.ohTrigger(O3:O7)</f>
        <v>87</v>
      </c>
    </row>
    <row r="3" spans="1:16" x14ac:dyDescent="0.2">
      <c r="A3" s="335">
        <v>1</v>
      </c>
      <c r="B3" s="323" t="s">
        <v>86</v>
      </c>
      <c r="C3" s="324" t="str">
        <f t="shared" ref="C3" si="0">Currency&amp;$B3&amp;"_SYNTH"&amp;Tenor1M&amp;QuoteSuffix</f>
        <v>EURSND_SYNTH1M_Quote</v>
      </c>
      <c r="D3" s="325" t="str">
        <f>_xll.qlSimpleQuote(C3,,RateTickValue,Permanent,EvaluationDate,ObjectOverwrite)</f>
        <v>EURSND_SYNTH1M_Quote#0000</v>
      </c>
      <c r="E3" s="319" t="str">
        <f>_xll.ohRangeRetrieveError(D3)</f>
        <v/>
      </c>
      <c r="F3" s="173"/>
      <c r="H3" s="174"/>
      <c r="I3" s="277" t="s">
        <v>86</v>
      </c>
      <c r="J3" s="278">
        <f>SynthDepo!G34</f>
        <v>8.287703883348976E-4</v>
      </c>
      <c r="K3" s="178" t="s">
        <v>87</v>
      </c>
      <c r="L3" s="284">
        <v>1.2990526139239887E-3</v>
      </c>
      <c r="M3" s="175"/>
      <c r="N3" s="288">
        <f t="array" ref="N3:N84">QuoteLive</f>
        <v>8.287703883348976E-4</v>
      </c>
      <c r="O3" s="289">
        <f>_xll.qlSimpleQuoteSetValue(D3,ROUND($N3,6),EvaluationDate)</f>
        <v>0</v>
      </c>
      <c r="P3" s="176"/>
    </row>
    <row r="4" spans="1:16" x14ac:dyDescent="0.2">
      <c r="A4" s="336" t="str">
        <f>_xll.qlPeriodEquivalent(Months1M&amp;"M")</f>
        <v>1M</v>
      </c>
      <c r="B4" s="326" t="s">
        <v>88</v>
      </c>
      <c r="C4" s="179" t="str">
        <f t="shared" ref="C4:C7" si="1">Currency&amp;$B4&amp;"_SYNTH"&amp;Tenor1M&amp;QuoteSuffix</f>
        <v>EURSWD_SYNTH1M_Quote</v>
      </c>
      <c r="D4" s="327" t="str">
        <f>_xll.qlSimpleQuote(C4,,RateTickValue,Permanent,EvaluationDate,ObjectOverwrite)</f>
        <v>EURSWD_SYNTH1M_Quote#0000</v>
      </c>
      <c r="E4" s="320" t="str">
        <f>_xll.ohRangeRetrieveError(D4)</f>
        <v/>
      </c>
      <c r="F4" s="173"/>
      <c r="H4" s="174"/>
      <c r="I4" s="277" t="s">
        <v>88</v>
      </c>
      <c r="J4" s="278">
        <f>SynthDepo!G35</f>
        <v>6.8501631106817869E-4</v>
      </c>
      <c r="K4" s="178" t="s">
        <v>87</v>
      </c>
      <c r="L4" s="284">
        <v>1.1762484592441206E-3</v>
      </c>
      <c r="M4" s="175"/>
      <c r="N4" s="288">
        <v>6.8501631106817869E-4</v>
      </c>
      <c r="O4" s="289">
        <f>_xll.qlSimpleQuoteSetValue(D4,ROUND($N4,6),EvaluationDate)</f>
        <v>0</v>
      </c>
      <c r="P4" s="176"/>
    </row>
    <row r="5" spans="1:16" x14ac:dyDescent="0.2">
      <c r="A5" s="337"/>
      <c r="B5" s="326" t="s">
        <v>89</v>
      </c>
      <c r="C5" s="179" t="str">
        <f t="shared" si="1"/>
        <v>EUR2WD_SYNTH1M_Quote</v>
      </c>
      <c r="D5" s="327" t="str">
        <f>_xll.qlSimpleQuote(C5,,RateTickValue,Permanent,EvaluationDate,ObjectOverwrite)</f>
        <v>EUR2WD_SYNTH1M_Quote#0000</v>
      </c>
      <c r="E5" s="320" t="str">
        <f>_xll.ohRangeRetrieveError(D5)</f>
        <v/>
      </c>
      <c r="F5" s="173"/>
      <c r="H5" s="174"/>
      <c r="I5" s="277" t="s">
        <v>89</v>
      </c>
      <c r="J5" s="278">
        <f>SynthDepo!G36</f>
        <v>7.6063655422567487E-4</v>
      </c>
      <c r="K5" s="178" t="s">
        <v>87</v>
      </c>
      <c r="L5" s="284">
        <v>1.1863102747473662E-3</v>
      </c>
      <c r="M5" s="175"/>
      <c r="N5" s="288">
        <v>7.6063655422567487E-4</v>
      </c>
      <c r="O5" s="289">
        <f>_xll.qlSimpleQuoteSetValue(D5,ROUND($N5,6),EvaluationDate)</f>
        <v>0</v>
      </c>
      <c r="P5" s="176"/>
    </row>
    <row r="6" spans="1:16" x14ac:dyDescent="0.2">
      <c r="A6" s="337"/>
      <c r="B6" s="326" t="s">
        <v>90</v>
      </c>
      <c r="C6" s="179" t="str">
        <f t="shared" si="1"/>
        <v>EUR3WD_SYNTH1M_Quote</v>
      </c>
      <c r="D6" s="327" t="str">
        <f>_xll.qlSimpleQuote(C6,,RateTickValue,Permanent,EvaluationDate,ObjectOverwrite)</f>
        <v>EUR3WD_SYNTH1M_Quote#0000</v>
      </c>
      <c r="E6" s="320" t="str">
        <f>_xll.ohRangeRetrieveError(D6)</f>
        <v/>
      </c>
      <c r="F6" s="173"/>
      <c r="H6" s="174"/>
      <c r="I6" s="279" t="s">
        <v>90</v>
      </c>
      <c r="J6" s="280">
        <f>SynthDepo!G37</f>
        <v>8.0625679678136017E-4</v>
      </c>
      <c r="K6" s="178" t="s">
        <v>87</v>
      </c>
      <c r="L6" s="285">
        <v>1.1363720928420505E-3</v>
      </c>
      <c r="M6" s="175"/>
      <c r="N6" s="290">
        <v>8.0625679678136017E-4</v>
      </c>
      <c r="O6" s="291">
        <f>_xll.qlSimpleQuoteSetValue(D6,ROUND($N6,6),EvaluationDate)</f>
        <v>0</v>
      </c>
      <c r="P6" s="176"/>
    </row>
    <row r="7" spans="1:16" ht="12" thickBot="1" x14ac:dyDescent="0.25">
      <c r="A7" s="338"/>
      <c r="B7" s="334" t="s">
        <v>91</v>
      </c>
      <c r="C7" s="274" t="str">
        <f t="shared" si="1"/>
        <v>EUR1MD_SYNTH1M_Quote</v>
      </c>
      <c r="D7" s="330" t="str">
        <f>_xll.qlSimpleQuote(C7,,RateTickValue,Permanent,EvaluationDate,ObjectOverwrite)</f>
        <v>EUR1MD_SYNTH1M_Quote#0000</v>
      </c>
      <c r="E7" s="331" t="str">
        <f>_xll.ohRangeRetrieveError(D7)</f>
        <v/>
      </c>
      <c r="F7" s="173"/>
      <c r="H7" s="297"/>
      <c r="I7" s="281" t="s">
        <v>91</v>
      </c>
      <c r="J7" s="282">
        <f>SynthDepo!G38</f>
        <v>9.7999999999999997E-4</v>
      </c>
      <c r="K7" s="298" t="s">
        <v>87</v>
      </c>
      <c r="L7" s="286">
        <v>1.1021658586514449E-3</v>
      </c>
      <c r="M7" s="297"/>
      <c r="N7" s="292">
        <v>9.7999999999999997E-4</v>
      </c>
      <c r="O7" s="293">
        <f>_xll.qlSimpleQuoteSetValue(D7,ROUND($N7,6),EvaluationDate)</f>
        <v>0</v>
      </c>
      <c r="P7" s="297"/>
    </row>
    <row r="8" spans="1:16" x14ac:dyDescent="0.2">
      <c r="A8" s="317">
        <v>3</v>
      </c>
      <c r="B8" s="323" t="s">
        <v>86</v>
      </c>
      <c r="C8" s="324" t="str">
        <f t="shared" ref="C8:C14" si="2">Currency&amp;$B8&amp;"_SYNTH"&amp;Tenor3M&amp;QuoteSuffix</f>
        <v>EURSND_SYNTH3M_Quote</v>
      </c>
      <c r="D8" s="325" t="str">
        <f>_xll.qlSimpleQuote(C8,,RateTickValue,Permanent,EvaluationDate,ObjectOverwrite)</f>
        <v>EURSND_SYNTH3M_Quote#0000</v>
      </c>
      <c r="E8" s="319"/>
      <c r="F8" s="181"/>
      <c r="H8" s="184"/>
      <c r="I8" s="299" t="s">
        <v>86</v>
      </c>
      <c r="J8" s="300">
        <f>SynthDepo!H34</f>
        <v>2.4122855309732945E-3</v>
      </c>
      <c r="K8" s="185"/>
      <c r="L8" s="301">
        <v>2.8434103207334591E-3</v>
      </c>
      <c r="M8" s="183"/>
      <c r="N8" s="302">
        <v>2.4122855309732945E-3</v>
      </c>
      <c r="O8" s="303">
        <f>_xll.qlSimpleQuoteSetValue(D8,ROUND($N8,6),EvaluationDate)</f>
        <v>0</v>
      </c>
      <c r="P8" s="354">
        <f>_xll.ohTrigger(O8:O14)</f>
        <v>87</v>
      </c>
    </row>
    <row r="9" spans="1:16" x14ac:dyDescent="0.2">
      <c r="A9" s="318" t="str">
        <f>_xll.qlPeriodEquivalent(Months3M&amp;"M")</f>
        <v>3M</v>
      </c>
      <c r="B9" s="326" t="s">
        <v>88</v>
      </c>
      <c r="C9" s="179" t="str">
        <f t="shared" si="2"/>
        <v>EURSWD_SYNTH3M_Quote</v>
      </c>
      <c r="D9" s="327" t="str">
        <f>_xll.qlSimpleQuote(C9,,RateTickValue,Permanent,EvaluationDate,ObjectOverwrite)</f>
        <v>EURSWD_SYNTH3M_Quote#0000</v>
      </c>
      <c r="E9" s="320"/>
      <c r="F9" s="181"/>
      <c r="H9" s="184"/>
      <c r="I9" s="294" t="s">
        <v>88</v>
      </c>
      <c r="J9" s="278">
        <f>SynthDepo!H35</f>
        <v>2.2124552225604912E-3</v>
      </c>
      <c r="K9" s="185"/>
      <c r="L9" s="284">
        <v>2.6816512146540595E-3</v>
      </c>
      <c r="M9" s="183"/>
      <c r="N9" s="288">
        <v>2.2124552225604912E-3</v>
      </c>
      <c r="O9" s="289">
        <f>_xll.qlSimpleQuoteSetValue(D9,ROUND($N9,6),EvaluationDate)</f>
        <v>0</v>
      </c>
      <c r="P9" s="176"/>
    </row>
    <row r="10" spans="1:16" x14ac:dyDescent="0.2">
      <c r="A10" s="180"/>
      <c r="B10" s="326" t="s">
        <v>89</v>
      </c>
      <c r="C10" s="179" t="str">
        <f t="shared" si="2"/>
        <v>EUR2WD_SYNTH3M_Quote</v>
      </c>
      <c r="D10" s="327" t="str">
        <f>_xll.qlSimpleQuote(C10,,RateTickValue,Permanent,EvaluationDate,ObjectOverwrite)</f>
        <v>EUR2WD_SYNTH3M_Quote#0000</v>
      </c>
      <c r="E10" s="320"/>
      <c r="F10" s="181"/>
      <c r="H10" s="184"/>
      <c r="I10" s="294" t="s">
        <v>89</v>
      </c>
      <c r="J10" s="278">
        <f>SynthDepo!H36</f>
        <v>2.2275372057484711E-3</v>
      </c>
      <c r="K10" s="185"/>
      <c r="L10" s="284">
        <v>2.6506000221447946E-3</v>
      </c>
      <c r="M10" s="183"/>
      <c r="N10" s="288">
        <v>2.2275372057484711E-3</v>
      </c>
      <c r="O10" s="289">
        <f>_xll.qlSimpleQuoteSetValue(D10,ROUND($N10,6),EvaluationDate)</f>
        <v>0</v>
      </c>
      <c r="P10" s="176"/>
    </row>
    <row r="11" spans="1:16" x14ac:dyDescent="0.2">
      <c r="A11" s="180"/>
      <c r="B11" s="326" t="s">
        <v>90</v>
      </c>
      <c r="C11" s="179" t="str">
        <f t="shared" si="2"/>
        <v>EUR3WD_SYNTH3M_Quote</v>
      </c>
      <c r="D11" s="327" t="str">
        <f>_xll.qlSimpleQuote(C11,,RateTickValue,Permanent,EvaluationDate,ObjectOverwrite)</f>
        <v>EUR3WD_SYNTH3M_Quote#0000</v>
      </c>
      <c r="E11" s="320"/>
      <c r="F11" s="181"/>
      <c r="H11" s="184"/>
      <c r="I11" s="295" t="s">
        <v>90</v>
      </c>
      <c r="J11" s="280">
        <f>SynthDepo!H37</f>
        <v>2.2178788910894717E-3</v>
      </c>
      <c r="K11" s="185"/>
      <c r="L11" s="285">
        <v>2.5642166856129065E-3</v>
      </c>
      <c r="M11" s="183"/>
      <c r="N11" s="290">
        <v>2.2178788910894717E-3</v>
      </c>
      <c r="O11" s="291">
        <f>_xll.qlSimpleQuoteSetValue(D11,ROUND($N11,6),EvaluationDate)</f>
        <v>0</v>
      </c>
      <c r="P11" s="176"/>
    </row>
    <row r="12" spans="1:16" x14ac:dyDescent="0.2">
      <c r="A12" s="180"/>
      <c r="B12" s="326" t="s">
        <v>91</v>
      </c>
      <c r="C12" s="179" t="str">
        <f t="shared" si="2"/>
        <v>EUR1MD_SYNTH3M_Quote</v>
      </c>
      <c r="D12" s="328" t="str">
        <f>_xll.qlSimpleQuote(C12,,RateTickValue,Permanent,EvaluationDate,ObjectOverwrite)</f>
        <v>EUR1MD_SYNTH3M_Quote#0000</v>
      </c>
      <c r="E12" s="321"/>
      <c r="F12" s="181"/>
      <c r="H12" s="184"/>
      <c r="I12" s="294" t="s">
        <v>91</v>
      </c>
      <c r="J12" s="278">
        <f>SynthDepo!H38</f>
        <v>2.3217767010251075E-3</v>
      </c>
      <c r="K12" s="185"/>
      <c r="L12" s="284">
        <v>2.4900112820817597E-3</v>
      </c>
      <c r="M12" s="183"/>
      <c r="N12" s="288">
        <v>2.3217767010251075E-3</v>
      </c>
      <c r="O12" s="289">
        <f>_xll.qlSimpleQuoteSetValue(D12,ROUND($N12,6),EvaluationDate)</f>
        <v>0</v>
      </c>
      <c r="P12" s="176"/>
    </row>
    <row r="13" spans="1:16" x14ac:dyDescent="0.2">
      <c r="A13" s="180"/>
      <c r="B13" s="326" t="s">
        <v>92</v>
      </c>
      <c r="C13" s="179" t="str">
        <f t="shared" si="2"/>
        <v>EUR2MD_SYNTH3M_Quote</v>
      </c>
      <c r="D13" s="328" t="str">
        <f>_xll.qlSimpleQuote(C13,,RateTickValue,Permanent,EvaluationDate,ObjectOverwrite)</f>
        <v>EUR2MD_SYNTH3M_Quote#0000</v>
      </c>
      <c r="E13" s="321"/>
      <c r="F13" s="181"/>
      <c r="H13" s="184"/>
      <c r="I13" s="294" t="s">
        <v>92</v>
      </c>
      <c r="J13" s="278">
        <f>SynthDepo!H39</f>
        <v>2.1903827588060729E-3</v>
      </c>
      <c r="K13" s="185"/>
      <c r="L13" s="284">
        <v>2.2539415818788868E-3</v>
      </c>
      <c r="M13" s="183"/>
      <c r="N13" s="288">
        <v>2.1903827588060729E-3</v>
      </c>
      <c r="O13" s="289">
        <f>_xll.qlSimpleQuoteSetValue(D13,ROUND($N13,6),EvaluationDate)</f>
        <v>0</v>
      </c>
      <c r="P13" s="176"/>
    </row>
    <row r="14" spans="1:16" ht="12" thickBot="1" x14ac:dyDescent="0.25">
      <c r="A14" s="180"/>
      <c r="B14" s="329" t="s">
        <v>93</v>
      </c>
      <c r="C14" s="274" t="str">
        <f t="shared" si="2"/>
        <v>EUR3MD_SYNTH3M_Quote</v>
      </c>
      <c r="D14" s="330" t="str">
        <f>_xll.qlSimpleQuote(C14,,RateTickValue,Permanent,EvaluationDate,ObjectOverwrite)</f>
        <v>EUR3MD_SYNTH3M_Quote#0000</v>
      </c>
      <c r="E14" s="322"/>
      <c r="F14" s="181"/>
      <c r="H14" s="184"/>
      <c r="I14" s="296" t="s">
        <v>93</v>
      </c>
      <c r="J14" s="282">
        <f>SynthDepo!H40</f>
        <v>2.0899999999999972E-3</v>
      </c>
      <c r="K14" s="185"/>
      <c r="L14" s="286">
        <v>2.1318241815896088E-3</v>
      </c>
      <c r="M14" s="183"/>
      <c r="N14" s="292">
        <v>2.0899999999999972E-3</v>
      </c>
      <c r="O14" s="293">
        <f>_xll.qlSimpleQuoteSetValue(D14,ROUND($N14,6),EvaluationDate)</f>
        <v>0</v>
      </c>
      <c r="P14" s="176"/>
    </row>
    <row r="15" spans="1:16" x14ac:dyDescent="0.2">
      <c r="A15" s="335">
        <v>6</v>
      </c>
      <c r="B15" s="339" t="s">
        <v>86</v>
      </c>
      <c r="C15" s="324" t="str">
        <f t="shared" ref="C15:C24" si="3">Currency&amp;$B15&amp;"_SYNTH"&amp;Tenor6M&amp;QuoteSuffix</f>
        <v>EURSND_SYNTH6M_Quote</v>
      </c>
      <c r="D15" s="325" t="str">
        <f>_xll.qlSimpleQuote(C15,,RateTickValue,Permanent,EvaluationDate,ObjectOverwrite)</f>
        <v>EURSND_SYNTH6M_Quote#0000</v>
      </c>
      <c r="E15" s="319" t="str">
        <f>_xll.ohRangeRetrieveError(D15)</f>
        <v/>
      </c>
      <c r="F15" s="181"/>
      <c r="H15" s="184"/>
      <c r="I15" s="299" t="s">
        <v>86</v>
      </c>
      <c r="J15" s="300">
        <f>SynthDepo!I34</f>
        <v>2.7914921058605547E-3</v>
      </c>
      <c r="K15" s="185"/>
      <c r="L15" s="301">
        <v>4.2220399232639006E-3</v>
      </c>
      <c r="M15" s="183"/>
      <c r="N15" s="302">
        <v>2.7914921058605547E-3</v>
      </c>
      <c r="O15" s="303">
        <f>_xll.qlSimpleQuoteSetValue(D15,ROUND($N15,6),EvaluationDate)</f>
        <v>0</v>
      </c>
      <c r="P15" s="355">
        <f>_xll.ohTrigger(O15:O24)</f>
        <v>87</v>
      </c>
    </row>
    <row r="16" spans="1:16" x14ac:dyDescent="0.2">
      <c r="A16" s="336" t="str">
        <f>_xll.qlPeriodEquivalent(Months6M&amp;"M")</f>
        <v>6M</v>
      </c>
      <c r="B16" s="340" t="s">
        <v>88</v>
      </c>
      <c r="C16" s="179" t="str">
        <f t="shared" si="3"/>
        <v>EURSWD_SYNTH6M_Quote</v>
      </c>
      <c r="D16" s="327" t="str">
        <f>_xll.qlSimpleQuote(C16,,RateTickValue,Permanent,EvaluationDate,ObjectOverwrite)</f>
        <v>EURSWD_SYNTH6M_Quote#0000</v>
      </c>
      <c r="E16" s="320" t="str">
        <f>_xll.ohRangeRetrieveError(D16)</f>
        <v/>
      </c>
      <c r="F16" s="181"/>
      <c r="H16" s="184"/>
      <c r="I16" s="294" t="s">
        <v>88</v>
      </c>
      <c r="J16" s="278">
        <f>SynthDepo!I35</f>
        <v>2.6570449905355996E-3</v>
      </c>
      <c r="K16" s="185"/>
      <c r="L16" s="284">
        <v>4.0713063897154815E-3</v>
      </c>
      <c r="M16" s="183"/>
      <c r="N16" s="288">
        <v>2.6570449905355996E-3</v>
      </c>
      <c r="O16" s="289">
        <f>_xll.qlSimpleQuoteSetValue(D16,ROUND($N16,6),EvaluationDate)</f>
        <v>0</v>
      </c>
      <c r="P16" s="186"/>
    </row>
    <row r="17" spans="1:16" x14ac:dyDescent="0.2">
      <c r="A17" s="342"/>
      <c r="B17" s="340" t="s">
        <v>89</v>
      </c>
      <c r="C17" s="179" t="str">
        <f t="shared" si="3"/>
        <v>EUR2WD_SYNTH6M_Quote</v>
      </c>
      <c r="D17" s="327" t="str">
        <f>_xll.qlSimpleQuote(C17,,RateTickValue,Permanent,EvaluationDate,ObjectOverwrite)</f>
        <v>EUR2WD_SYNTH6M_Quote#0000</v>
      </c>
      <c r="E17" s="320" t="str">
        <f>_xll.ohRangeRetrieveError(D17)</f>
        <v/>
      </c>
      <c r="F17" s="181"/>
      <c r="H17" s="182"/>
      <c r="I17" s="294" t="s">
        <v>89</v>
      </c>
      <c r="J17" s="278">
        <f>SynthDepo!I36</f>
        <v>2.7433242941581094E-3</v>
      </c>
      <c r="K17" s="185"/>
      <c r="L17" s="284">
        <v>4.0512878571078471E-3</v>
      </c>
      <c r="M17" s="183"/>
      <c r="N17" s="288">
        <v>2.7433242941581094E-3</v>
      </c>
      <c r="O17" s="289">
        <f>_xll.qlSimpleQuoteSetValue(D17,ROUND($N17,6),EvaluationDate)</f>
        <v>0</v>
      </c>
      <c r="P17" s="186"/>
    </row>
    <row r="18" spans="1:16" x14ac:dyDescent="0.2">
      <c r="A18" s="343"/>
      <c r="B18" s="340" t="s">
        <v>90</v>
      </c>
      <c r="C18" s="179" t="str">
        <f t="shared" si="3"/>
        <v>EUR3WD_SYNTH6M_Quote</v>
      </c>
      <c r="D18" s="327" t="str">
        <f>_xll.qlSimpleQuote(C18,,RateTickValue,Permanent,EvaluationDate,ObjectOverwrite)</f>
        <v>EUR3WD_SYNTH6M_Quote#0000</v>
      </c>
      <c r="E18" s="320" t="str">
        <f>_xll.ohRangeRetrieveError(D18)</f>
        <v/>
      </c>
      <c r="F18" s="181"/>
      <c r="H18" s="182"/>
      <c r="I18" s="294" t="s">
        <v>90</v>
      </c>
      <c r="J18" s="278">
        <f>SynthDepo!I37</f>
        <v>2.7993892229322475E-3</v>
      </c>
      <c r="K18" s="185"/>
      <c r="L18" s="284">
        <v>3.9739658641147809E-3</v>
      </c>
      <c r="M18" s="183"/>
      <c r="N18" s="288">
        <v>2.7993892229322475E-3</v>
      </c>
      <c r="O18" s="289">
        <f>_xll.qlSimpleQuoteSetValue(D18,ROUND($N18,6),EvaluationDate)</f>
        <v>0</v>
      </c>
      <c r="P18" s="186"/>
    </row>
    <row r="19" spans="1:16" x14ac:dyDescent="0.2">
      <c r="A19" s="343"/>
      <c r="B19" s="340" t="s">
        <v>91</v>
      </c>
      <c r="C19" s="179" t="str">
        <f t="shared" si="3"/>
        <v>EUR1MD_SYNTH6M_Quote</v>
      </c>
      <c r="D19" s="327" t="str">
        <f>_xll.qlSimpleQuote(C19,,RateTickValue,Permanent,EvaluationDate,ObjectOverwrite)</f>
        <v>EUR1MD_SYNTH6M_Quote#0000</v>
      </c>
      <c r="E19" s="320" t="str">
        <f>_xll.ohRangeRetrieveError(D19)</f>
        <v/>
      </c>
      <c r="F19" s="181"/>
      <c r="H19" s="182"/>
      <c r="I19" s="294" t="s">
        <v>91</v>
      </c>
      <c r="J19" s="278">
        <f>SynthDepo!I38</f>
        <v>2.9876815327699495E-3</v>
      </c>
      <c r="K19" s="185"/>
      <c r="L19" s="284">
        <v>3.908514131294321E-3</v>
      </c>
      <c r="M19" s="183"/>
      <c r="N19" s="288">
        <v>2.9876815327699495E-3</v>
      </c>
      <c r="O19" s="289">
        <f>_xll.qlSimpleQuoteSetValue(D19,ROUND($N19,6),EvaluationDate)</f>
        <v>0</v>
      </c>
      <c r="P19" s="186"/>
    </row>
    <row r="20" spans="1:16" x14ac:dyDescent="0.2">
      <c r="A20" s="343"/>
      <c r="B20" s="340" t="s">
        <v>92</v>
      </c>
      <c r="C20" s="179" t="str">
        <f t="shared" si="3"/>
        <v>EUR2MD_SYNTH6M_Quote</v>
      </c>
      <c r="D20" s="327" t="str">
        <f>_xll.qlSimpleQuote(C20,,RateTickValue,Permanent,EvaluationDate,ObjectOverwrite)</f>
        <v>EUR2MD_SYNTH6M_Quote#0000</v>
      </c>
      <c r="E20" s="320" t="str">
        <f>_xll.ohRangeRetrieveError(D20)</f>
        <v/>
      </c>
      <c r="F20" s="181"/>
      <c r="H20" s="182"/>
      <c r="I20" s="294" t="s">
        <v>92</v>
      </c>
      <c r="J20" s="278">
        <f>SynthDepo!I39</f>
        <v>3.0512769342184273E-3</v>
      </c>
      <c r="K20" s="185"/>
      <c r="L20" s="284">
        <v>3.6766611779947174E-3</v>
      </c>
      <c r="M20" s="183"/>
      <c r="N20" s="288">
        <v>3.0512769342184273E-3</v>
      </c>
      <c r="O20" s="289">
        <f>_xll.qlSimpleQuoteSetValue(D20,ROUND($N20,6),EvaluationDate)</f>
        <v>0</v>
      </c>
      <c r="P20" s="186"/>
    </row>
    <row r="21" spans="1:16" x14ac:dyDescent="0.2">
      <c r="A21" s="343"/>
      <c r="B21" s="340" t="s">
        <v>93</v>
      </c>
      <c r="C21" s="179" t="str">
        <f t="shared" si="3"/>
        <v>EUR3MD_SYNTH6M_Quote</v>
      </c>
      <c r="D21" s="327" t="str">
        <f>_xll.qlSimpleQuote(C21,,RateTickValue,Permanent,EvaluationDate,ObjectOverwrite)</f>
        <v>EUR3MD_SYNTH6M_Quote#0000</v>
      </c>
      <c r="E21" s="320" t="str">
        <f>_xll.ohRangeRetrieveError(D21)</f>
        <v/>
      </c>
      <c r="F21" s="181"/>
      <c r="H21" s="182"/>
      <c r="I21" s="294" t="s">
        <v>93</v>
      </c>
      <c r="J21" s="278">
        <f>SynthDepo!I40</f>
        <v>3.0287905924430399E-3</v>
      </c>
      <c r="K21" s="185"/>
      <c r="L21" s="284">
        <v>3.5220817831563404E-3</v>
      </c>
      <c r="M21" s="183"/>
      <c r="N21" s="288">
        <v>3.0287905924430399E-3</v>
      </c>
      <c r="O21" s="289">
        <f>_xll.qlSimpleQuoteSetValue(D21,ROUND($N21,6),EvaluationDate)</f>
        <v>0</v>
      </c>
      <c r="P21" s="186"/>
    </row>
    <row r="22" spans="1:16" x14ac:dyDescent="0.2">
      <c r="A22" s="343"/>
      <c r="B22" s="340" t="s">
        <v>94</v>
      </c>
      <c r="C22" s="179" t="str">
        <f t="shared" si="3"/>
        <v>EUR4MD_SYNTH6M_Quote</v>
      </c>
      <c r="D22" s="327" t="str">
        <f>_xll.qlSimpleQuote(C22,,RateTickValue,Permanent,EvaluationDate,ObjectOverwrite)</f>
        <v>EUR4MD_SYNTH6M_Quote#0000</v>
      </c>
      <c r="E22" s="320" t="str">
        <f>_xll.ohRangeRetrieveError(D22)</f>
        <v/>
      </c>
      <c r="F22" s="181"/>
      <c r="H22" s="182"/>
      <c r="I22" s="294" t="s">
        <v>94</v>
      </c>
      <c r="J22" s="278">
        <f>SynthDepo!I41</f>
        <v>3.0530363082901055E-3</v>
      </c>
      <c r="K22" s="185"/>
      <c r="L22" s="284">
        <v>3.3484610346119787E-3</v>
      </c>
      <c r="M22" s="183"/>
      <c r="N22" s="288">
        <v>3.0530363082901055E-3</v>
      </c>
      <c r="O22" s="289">
        <f>_xll.qlSimpleQuoteSetValue(D22,ROUND($N22,6),EvaluationDate)</f>
        <v>0</v>
      </c>
      <c r="P22" s="186"/>
    </row>
    <row r="23" spans="1:16" x14ac:dyDescent="0.2">
      <c r="A23" s="343"/>
      <c r="B23" s="340" t="s">
        <v>95</v>
      </c>
      <c r="C23" s="179" t="str">
        <f t="shared" si="3"/>
        <v>EUR5MD_SYNTH6M_Quote</v>
      </c>
      <c r="D23" s="327" t="str">
        <f>_xll.qlSimpleQuote(C23,,RateTickValue,Permanent,EvaluationDate,ObjectOverwrite)</f>
        <v>EUR5MD_SYNTH6M_Quote#0000</v>
      </c>
      <c r="E23" s="320" t="str">
        <f>_xll.ohRangeRetrieveError(D23)</f>
        <v/>
      </c>
      <c r="F23" s="181"/>
      <c r="H23" s="182"/>
      <c r="I23" s="294" t="s">
        <v>95</v>
      </c>
      <c r="J23" s="278">
        <f>SynthDepo!I42</f>
        <v>3.0738917544626643E-3</v>
      </c>
      <c r="K23" s="185"/>
      <c r="L23" s="284">
        <v>3.1771900169376868E-3</v>
      </c>
      <c r="M23" s="183"/>
      <c r="N23" s="288">
        <v>3.0738917544626643E-3</v>
      </c>
      <c r="O23" s="289">
        <f>_xll.qlSimpleQuoteSetValue(D23,ROUND($N23,6),EvaluationDate)</f>
        <v>0</v>
      </c>
      <c r="P23" s="186"/>
    </row>
    <row r="24" spans="1:16" ht="12" thickBot="1" x14ac:dyDescent="0.25">
      <c r="A24" s="344"/>
      <c r="B24" s="334" t="s">
        <v>96</v>
      </c>
      <c r="C24" s="274" t="str">
        <f t="shared" si="3"/>
        <v>EUR6MD_SYNTH6M_Quote</v>
      </c>
      <c r="D24" s="341" t="str">
        <f>_xll.qlSimpleQuote(C24,,RateTickValue,Permanent,EvaluationDate,ObjectOverwrite)</f>
        <v>EUR6MD_SYNTH6M_Quote#0000</v>
      </c>
      <c r="E24" s="320" t="str">
        <f>_xll.ohRangeRetrieveError(D24)</f>
        <v/>
      </c>
      <c r="F24" s="181"/>
      <c r="H24" s="182"/>
      <c r="I24" s="296" t="s">
        <v>96</v>
      </c>
      <c r="J24" s="282">
        <f>SynthDepo!I43</f>
        <v>3.0599999999999972E-3</v>
      </c>
      <c r="K24" s="185"/>
      <c r="L24" s="286">
        <v>3.0678384022315808E-3</v>
      </c>
      <c r="M24" s="183"/>
      <c r="N24" s="292">
        <v>3.0599999999999972E-3</v>
      </c>
      <c r="O24" s="293">
        <f>_xll.qlSimpleQuoteSetValue(D24,ROUND($N24,6),EvaluationDate)</f>
        <v>0</v>
      </c>
      <c r="P24" s="186"/>
    </row>
    <row r="25" spans="1:16" x14ac:dyDescent="0.2">
      <c r="A25" s="335">
        <v>12</v>
      </c>
      <c r="B25" s="323" t="s">
        <v>86</v>
      </c>
      <c r="C25" s="324" t="str">
        <f t="shared" ref="C25:C40" si="4">Currency&amp;$B25&amp;"_SYNTH"&amp;Tenor12M&amp;QuoteSuffix</f>
        <v>EURSND_SYNTH1Y_Quote</v>
      </c>
      <c r="D25" s="325" t="str">
        <f>_xll.qlSimpleQuote(C25,,RateTickValue,Permanent,EvaluationDate,ObjectOverwrite)</f>
        <v>EURSND_SYNTH1Y_Quote#0000</v>
      </c>
      <c r="E25" s="319" t="str">
        <f>_xll.ohRangeRetrieveError(D25)</f>
        <v/>
      </c>
      <c r="F25" s="190"/>
      <c r="H25" s="184"/>
      <c r="I25" s="304" t="s">
        <v>86</v>
      </c>
      <c r="J25" s="300">
        <f>SynthDepo!J34</f>
        <v>4.6952694356152845E-3</v>
      </c>
      <c r="K25" s="185"/>
      <c r="L25" s="301">
        <v>5.1093588937015039E-3</v>
      </c>
      <c r="M25" s="183"/>
      <c r="N25" s="302">
        <v>4.6952694356152845E-3</v>
      </c>
      <c r="O25" s="303">
        <f>_xll.qlSimpleQuoteSetValue(D25,ROUND($N25,6),EvaluationDate)</f>
        <v>0</v>
      </c>
      <c r="P25" s="355">
        <f>_xll.ohTrigger(O25:O40)</f>
        <v>87</v>
      </c>
    </row>
    <row r="26" spans="1:16" x14ac:dyDescent="0.2">
      <c r="A26" s="336" t="str">
        <f>_xll.qlPeriodEquivalent(Months12M&amp;"M")</f>
        <v>1Y</v>
      </c>
      <c r="B26" s="326" t="s">
        <v>88</v>
      </c>
      <c r="C26" s="179" t="str">
        <f t="shared" si="4"/>
        <v>EURSWD_SYNTH1Y_Quote</v>
      </c>
      <c r="D26" s="327" t="str">
        <f>_xll.qlSimpleQuote(C26,,RateTickValue,Permanent,EvaluationDate,ObjectOverwrite)</f>
        <v>EURSWD_SYNTH1Y_Quote#0000</v>
      </c>
      <c r="E26" s="320" t="str">
        <f>_xll.ohRangeRetrieveError(D26)</f>
        <v/>
      </c>
      <c r="F26" s="190"/>
      <c r="H26" s="184"/>
      <c r="I26" s="305" t="s">
        <v>88</v>
      </c>
      <c r="J26" s="278">
        <f>SynthDepo!J35</f>
        <v>4.5568309293023569E-3</v>
      </c>
      <c r="K26" s="185"/>
      <c r="L26" s="284">
        <v>5.0245427018238776E-3</v>
      </c>
      <c r="M26" s="183"/>
      <c r="N26" s="288">
        <v>4.5568309293023569E-3</v>
      </c>
      <c r="O26" s="289">
        <f>_xll.qlSimpleQuoteSetValue(D26,ROUND($N26,6),EvaluationDate)</f>
        <v>0</v>
      </c>
      <c r="P26" s="186"/>
    </row>
    <row r="27" spans="1:16" x14ac:dyDescent="0.2">
      <c r="A27" s="343"/>
      <c r="B27" s="326" t="s">
        <v>89</v>
      </c>
      <c r="C27" s="179" t="str">
        <f t="shared" si="4"/>
        <v>EUR2WD_SYNTH1Y_Quote</v>
      </c>
      <c r="D27" s="327" t="str">
        <f>_xll.qlSimpleQuote(C27,,RateTickValue,Permanent,EvaluationDate,ObjectOverwrite)</f>
        <v>EUR2WD_SYNTH1Y_Quote#0000</v>
      </c>
      <c r="E27" s="320" t="str">
        <f>_xll.ohRangeRetrieveError(D27)</f>
        <v/>
      </c>
      <c r="F27" s="190"/>
      <c r="H27" s="182"/>
      <c r="I27" s="305" t="s">
        <v>89</v>
      </c>
      <c r="J27" s="278">
        <f>SynthDepo!J36</f>
        <v>4.6386526719059424E-3</v>
      </c>
      <c r="K27" s="185"/>
      <c r="L27" s="284">
        <v>5.0789238072630723E-3</v>
      </c>
      <c r="M27" s="183"/>
      <c r="N27" s="288">
        <v>4.6386526719059424E-3</v>
      </c>
      <c r="O27" s="289">
        <f>_xll.qlSimpleQuoteSetValue(D27,ROUND($N27,6),EvaluationDate)</f>
        <v>0</v>
      </c>
      <c r="P27" s="186"/>
    </row>
    <row r="28" spans="1:16" x14ac:dyDescent="0.2">
      <c r="A28" s="343"/>
      <c r="B28" s="326" t="s">
        <v>90</v>
      </c>
      <c r="C28" s="179" t="str">
        <f t="shared" si="4"/>
        <v>EUR3WD_SYNTH1Y_Quote</v>
      </c>
      <c r="D28" s="327" t="str">
        <f>_xll.qlSimpleQuote(C28,,RateTickValue,Permanent,EvaluationDate,ObjectOverwrite)</f>
        <v>EUR3WD_SYNTH1Y_Quote#0000</v>
      </c>
      <c r="E28" s="320" t="str">
        <f>_xll.ohRangeRetrieveError(D28)</f>
        <v/>
      </c>
      <c r="F28" s="190"/>
      <c r="H28" s="182"/>
      <c r="I28" s="305" t="s">
        <v>90</v>
      </c>
      <c r="J28" s="278">
        <f>SynthDepo!J37</f>
        <v>4.690474413907718E-3</v>
      </c>
      <c r="K28" s="185"/>
      <c r="L28" s="284">
        <v>5.0733049152937052E-3</v>
      </c>
      <c r="M28" s="183"/>
      <c r="N28" s="288">
        <v>4.690474413907718E-3</v>
      </c>
      <c r="O28" s="289">
        <f>_xll.qlSimpleQuoteSetValue(D28,ROUND($N28,6),EvaluationDate)</f>
        <v>0</v>
      </c>
      <c r="P28" s="186"/>
    </row>
    <row r="29" spans="1:16" x14ac:dyDescent="0.2">
      <c r="A29" s="343"/>
      <c r="B29" s="326" t="s">
        <v>91</v>
      </c>
      <c r="C29" s="179" t="str">
        <f t="shared" si="4"/>
        <v>EUR1MD_SYNTH1Y_Quote</v>
      </c>
      <c r="D29" s="327" t="str">
        <f>_xll.qlSimpleQuote(C29,,RateTickValue,Permanent,EvaluationDate,ObjectOverwrite)</f>
        <v>EUR1MD_SYNTH1Y_Quote#0000</v>
      </c>
      <c r="E29" s="320" t="str">
        <f>_xll.ohRangeRetrieveError(D29)</f>
        <v/>
      </c>
      <c r="F29" s="190"/>
      <c r="H29" s="182"/>
      <c r="I29" s="306" t="s">
        <v>91</v>
      </c>
      <c r="J29" s="280">
        <f>SynthDepo!J38</f>
        <v>4.8730769020493437E-3</v>
      </c>
      <c r="K29" s="185"/>
      <c r="L29" s="285">
        <v>5.0960806253064622E-3</v>
      </c>
      <c r="M29" s="183"/>
      <c r="N29" s="290">
        <v>4.8730769020493437E-3</v>
      </c>
      <c r="O29" s="291">
        <f>_xll.qlSimpleQuoteSetValue(D29,ROUND($N29,6),EvaluationDate)</f>
        <v>0</v>
      </c>
      <c r="P29" s="186"/>
    </row>
    <row r="30" spans="1:16" x14ac:dyDescent="0.2">
      <c r="A30" s="343"/>
      <c r="B30" s="326" t="s">
        <v>92</v>
      </c>
      <c r="C30" s="179" t="str">
        <f t="shared" si="4"/>
        <v>EUR2MD_SYNTH1Y_Quote</v>
      </c>
      <c r="D30" s="327" t="str">
        <f>_xll.qlSimpleQuote(C30,,RateTickValue,Permanent,EvaluationDate,ObjectOverwrite)</f>
        <v>EUR2MD_SYNTH1Y_Quote#0000</v>
      </c>
      <c r="E30" s="320" t="str">
        <f>_xll.ohRangeRetrieveError(D30)</f>
        <v/>
      </c>
      <c r="F30" s="190"/>
      <c r="H30" s="182"/>
      <c r="I30" s="305" t="s">
        <v>92</v>
      </c>
      <c r="J30" s="278">
        <f>SynthDepo!J39</f>
        <v>4.9214048637374963E-3</v>
      </c>
      <c r="K30" s="185"/>
      <c r="L30" s="284">
        <v>5.149591557830107E-3</v>
      </c>
      <c r="M30" s="183"/>
      <c r="N30" s="288">
        <v>4.9214048637374963E-3</v>
      </c>
      <c r="O30" s="289">
        <f>_xll.qlSimpleQuoteSetValue(D30,ROUND($N30,6),EvaluationDate)</f>
        <v>0</v>
      </c>
      <c r="P30" s="355"/>
    </row>
    <row r="31" spans="1:16" x14ac:dyDescent="0.2">
      <c r="A31" s="343"/>
      <c r="B31" s="326" t="s">
        <v>93</v>
      </c>
      <c r="C31" s="179" t="str">
        <f t="shared" si="4"/>
        <v>EUR3MD_SYNTH1Y_Quote</v>
      </c>
      <c r="D31" s="327" t="str">
        <f>_xll.qlSimpleQuote(C31,,RateTickValue,Permanent,EvaluationDate,ObjectOverwrite)</f>
        <v>EUR3MD_SYNTH1Y_Quote#0000</v>
      </c>
      <c r="E31" s="320" t="str">
        <f>_xll.ohRangeRetrieveError(D31)</f>
        <v/>
      </c>
      <c r="F31" s="190"/>
      <c r="H31" s="182"/>
      <c r="I31" s="305" t="s">
        <v>93</v>
      </c>
      <c r="J31" s="278">
        <f>SynthDepo!J40</f>
        <v>4.8889520785789665E-3</v>
      </c>
      <c r="K31" s="185"/>
      <c r="L31" s="284">
        <v>5.1963132872277469E-3</v>
      </c>
      <c r="M31" s="183"/>
      <c r="N31" s="288">
        <v>4.8889520785789665E-3</v>
      </c>
      <c r="O31" s="289">
        <f>_xll.qlSimpleQuoteSetValue(D31,ROUND($N31,6),EvaluationDate)</f>
        <v>0</v>
      </c>
      <c r="P31" s="186"/>
    </row>
    <row r="32" spans="1:16" x14ac:dyDescent="0.2">
      <c r="A32" s="343"/>
      <c r="B32" s="326" t="s">
        <v>94</v>
      </c>
      <c r="C32" s="179" t="str">
        <f t="shared" si="4"/>
        <v>EUR4MD_SYNTH1Y_Quote</v>
      </c>
      <c r="D32" s="327" t="str">
        <f>_xll.qlSimpleQuote(C32,,RateTickValue,Permanent,EvaluationDate,ObjectOverwrite)</f>
        <v>EUR4MD_SYNTH1Y_Quote#0000</v>
      </c>
      <c r="E32" s="320" t="str">
        <f>_xll.ohRangeRetrieveError(D32)</f>
        <v/>
      </c>
      <c r="F32" s="190"/>
      <c r="H32" s="182"/>
      <c r="I32" s="305" t="s">
        <v>94</v>
      </c>
      <c r="J32" s="278">
        <f>SynthDepo!J41</f>
        <v>4.9067595419733665E-3</v>
      </c>
      <c r="K32" s="185"/>
      <c r="L32" s="284">
        <v>5.182232320476713E-3</v>
      </c>
      <c r="M32" s="183"/>
      <c r="N32" s="288">
        <v>4.9067595419733665E-3</v>
      </c>
      <c r="O32" s="289">
        <f>_xll.qlSimpleQuoteSetValue(D32,ROUND($N32,6),EvaluationDate)</f>
        <v>0</v>
      </c>
      <c r="P32" s="186"/>
    </row>
    <row r="33" spans="1:16" x14ac:dyDescent="0.2">
      <c r="A33" s="343"/>
      <c r="B33" s="326" t="s">
        <v>95</v>
      </c>
      <c r="C33" s="179" t="str">
        <f t="shared" si="4"/>
        <v>EUR5MD_SYNTH1Y_Quote</v>
      </c>
      <c r="D33" s="327" t="str">
        <f>_xll.qlSimpleQuote(C33,,RateTickValue,Permanent,EvaluationDate,ObjectOverwrite)</f>
        <v>EUR5MD_SYNTH1Y_Quote#0000</v>
      </c>
      <c r="E33" s="320" t="str">
        <f>_xll.ohRangeRetrieveError(D33)</f>
        <v/>
      </c>
      <c r="F33" s="190"/>
      <c r="H33" s="184"/>
      <c r="I33" s="305" t="s">
        <v>95</v>
      </c>
      <c r="J33" s="278">
        <f>SynthDepo!J42</f>
        <v>4.9250875036097805E-3</v>
      </c>
      <c r="K33" s="185"/>
      <c r="L33" s="284">
        <v>5.1265459531722127E-3</v>
      </c>
      <c r="M33" s="183"/>
      <c r="N33" s="288">
        <v>4.9250875036097805E-3</v>
      </c>
      <c r="O33" s="289">
        <f>_xll.qlSimpleQuoteSetValue(D33,ROUND($N33,6),EvaluationDate)</f>
        <v>0</v>
      </c>
      <c r="P33" s="186"/>
    </row>
    <row r="34" spans="1:16" x14ac:dyDescent="0.2">
      <c r="A34" s="343"/>
      <c r="B34" s="326" t="s">
        <v>96</v>
      </c>
      <c r="C34" s="179" t="str">
        <f t="shared" si="4"/>
        <v>EUR6MD_SYNTH1Y_Quote</v>
      </c>
      <c r="D34" s="327" t="str">
        <f>_xll.qlSimpleQuote(C34,,RateTickValue,Permanent,EvaluationDate,ObjectOverwrite)</f>
        <v>EUR6MD_SYNTH1Y_Quote#0000</v>
      </c>
      <c r="E34" s="320" t="str">
        <f>_xll.ohRangeRetrieveError(D34)</f>
        <v/>
      </c>
      <c r="F34" s="190"/>
      <c r="H34" s="184"/>
      <c r="I34" s="305" t="s">
        <v>96</v>
      </c>
      <c r="J34" s="278">
        <f>SynthDepo!J43</f>
        <v>4.9128949680945092E-3</v>
      </c>
      <c r="K34" s="185"/>
      <c r="L34" s="284">
        <v>5.0732676830278463E-3</v>
      </c>
      <c r="M34" s="183"/>
      <c r="N34" s="288">
        <v>4.9128949680945092E-3</v>
      </c>
      <c r="O34" s="289">
        <f>_xll.qlSimpleQuoteSetValue(D34,ROUND($N34,6),EvaluationDate)</f>
        <v>0</v>
      </c>
      <c r="P34" s="186"/>
    </row>
    <row r="35" spans="1:16" x14ac:dyDescent="0.2">
      <c r="A35" s="343"/>
      <c r="B35" s="326" t="s">
        <v>97</v>
      </c>
      <c r="C35" s="179" t="str">
        <f t="shared" si="4"/>
        <v>EUR7MD_SYNTH1Y_Quote</v>
      </c>
      <c r="D35" s="327" t="str">
        <f>_xll.qlSimpleQuote(C35,,RateTickValue,Permanent,EvaluationDate,ObjectOverwrite)</f>
        <v>EUR7MD_SYNTH1Y_Quote#0000</v>
      </c>
      <c r="E35" s="320" t="str">
        <f>_xll.ohRangeRetrieveError(D35)</f>
        <v/>
      </c>
      <c r="F35" s="190"/>
      <c r="H35" s="184"/>
      <c r="I35" s="305" t="s">
        <v>97</v>
      </c>
      <c r="J35" s="278">
        <f>SynthDepo!J44</f>
        <v>4.9501819340146153E-3</v>
      </c>
      <c r="K35" s="185"/>
      <c r="L35" s="284">
        <v>5.0383840149423979E-3</v>
      </c>
      <c r="M35" s="183"/>
      <c r="N35" s="288">
        <v>4.9501819340146153E-3</v>
      </c>
      <c r="O35" s="289">
        <f>_xll.qlSimpleQuoteSetValue(D35,ROUND($N35,6),EvaluationDate)</f>
        <v>0</v>
      </c>
      <c r="P35" s="186"/>
    </row>
    <row r="36" spans="1:16" x14ac:dyDescent="0.2">
      <c r="A36" s="343"/>
      <c r="B36" s="326" t="s">
        <v>98</v>
      </c>
      <c r="C36" s="179" t="str">
        <f t="shared" si="4"/>
        <v>EUR8MD_SYNTH1Y_Quote</v>
      </c>
      <c r="D36" s="327" t="str">
        <f>_xll.qlSimpleQuote(C36,,RateTickValue,Permanent,EvaluationDate,ObjectOverwrite)</f>
        <v>EUR8MD_SYNTH1Y_Quote#0000</v>
      </c>
      <c r="E36" s="320" t="str">
        <f>_xll.ohRangeRetrieveError(D36)</f>
        <v/>
      </c>
      <c r="F36" s="190"/>
      <c r="H36" s="184"/>
      <c r="I36" s="305" t="s">
        <v>98</v>
      </c>
      <c r="J36" s="278">
        <f>SynthDepo!J45</f>
        <v>4.9490303930683098E-3</v>
      </c>
      <c r="K36" s="185"/>
      <c r="L36" s="284">
        <v>5.0135003466961862E-3</v>
      </c>
      <c r="M36" s="183"/>
      <c r="N36" s="288">
        <v>4.9490303930683098E-3</v>
      </c>
      <c r="O36" s="289">
        <f>_xll.qlSimpleQuoteSetValue(D36,ROUND($N36,6),EvaluationDate)</f>
        <v>0</v>
      </c>
      <c r="P36" s="186"/>
    </row>
    <row r="37" spans="1:16" x14ac:dyDescent="0.2">
      <c r="A37" s="347"/>
      <c r="B37" s="326" t="s">
        <v>99</v>
      </c>
      <c r="C37" s="179" t="str">
        <f t="shared" si="4"/>
        <v>EUR9MD_SYNTH1Y_Quote</v>
      </c>
      <c r="D37" s="327" t="str">
        <f>_xll.qlSimpleQuote(C37,,RateTickValue,Permanent,EvaluationDate,ObjectOverwrite)</f>
        <v>EUR9MD_SYNTH1Y_Quote#0000</v>
      </c>
      <c r="E37" s="320" t="str">
        <f>_xll.ohRangeRetrieveError(D37)</f>
        <v/>
      </c>
      <c r="F37" s="190"/>
      <c r="H37" s="184"/>
      <c r="I37" s="305" t="s">
        <v>99</v>
      </c>
      <c r="J37" s="278">
        <f>SynthDepo!J46</f>
        <v>4.9260571109661696E-3</v>
      </c>
      <c r="K37" s="185"/>
      <c r="L37" s="284">
        <v>4.9810247755534866E-3</v>
      </c>
      <c r="M37" s="183"/>
      <c r="N37" s="288">
        <v>4.9260571109661696E-3</v>
      </c>
      <c r="O37" s="289">
        <f>_xll.qlSimpleQuoteSetValue(D37,ROUND($N37,6),EvaluationDate)</f>
        <v>0</v>
      </c>
      <c r="P37" s="186"/>
    </row>
    <row r="38" spans="1:16" x14ac:dyDescent="0.2">
      <c r="A38" s="348"/>
      <c r="B38" s="326" t="s">
        <v>100</v>
      </c>
      <c r="C38" s="179" t="str">
        <f t="shared" si="4"/>
        <v>EUR10MD_SYNTH1Y_Quote</v>
      </c>
      <c r="D38" s="327" t="str">
        <f>_xll.qlSimpleQuote(C38,,RateTickValue,Permanent,EvaluationDate,ObjectOverwrite)</f>
        <v>EUR10MD_SYNTH1Y_Quote#0000</v>
      </c>
      <c r="E38" s="320" t="str">
        <f>_xll.ohRangeRetrieveError(D38)</f>
        <v/>
      </c>
      <c r="F38" s="190"/>
      <c r="H38" s="184"/>
      <c r="I38" s="305" t="s">
        <v>100</v>
      </c>
      <c r="J38" s="278">
        <f>SynthDepo!J47</f>
        <v>4.9141248233597716E-3</v>
      </c>
      <c r="K38" s="185"/>
      <c r="L38" s="284">
        <v>4.9561411074682312E-3</v>
      </c>
      <c r="M38" s="183"/>
      <c r="N38" s="288">
        <v>4.9141248233597716E-3</v>
      </c>
      <c r="O38" s="289">
        <f>_xll.qlSimpleQuoteSetValue(D38,ROUND($N38,6),EvaluationDate)</f>
        <v>0</v>
      </c>
      <c r="P38" s="186"/>
    </row>
    <row r="39" spans="1:16" x14ac:dyDescent="0.2">
      <c r="A39" s="343"/>
      <c r="B39" s="326" t="s">
        <v>101</v>
      </c>
      <c r="C39" s="179" t="str">
        <f t="shared" si="4"/>
        <v>EUR11MD_SYNTH1Y_Quote</v>
      </c>
      <c r="D39" s="327" t="str">
        <f>_xll.qlSimpleQuote(C39,,RateTickValue,Permanent,EvaluationDate,ObjectOverwrite)</f>
        <v>EUR11MD_SYNTH1Y_Quote#0000</v>
      </c>
      <c r="E39" s="320" t="str">
        <f>_xll.ohRangeRetrieveError(D39)</f>
        <v/>
      </c>
      <c r="F39" s="190"/>
      <c r="H39" s="184"/>
      <c r="I39" s="305" t="s">
        <v>101</v>
      </c>
      <c r="J39" s="278">
        <f>SynthDepo!J48</f>
        <v>4.8924527851337812E-3</v>
      </c>
      <c r="K39" s="185"/>
      <c r="L39" s="284">
        <v>4.9304547404206223E-3</v>
      </c>
      <c r="M39" s="183"/>
      <c r="N39" s="288">
        <v>4.8924527851337812E-3</v>
      </c>
      <c r="O39" s="289">
        <f>_xll.qlSimpleQuoteSetValue(D39,ROUND($N39,6),EvaluationDate)</f>
        <v>0</v>
      </c>
      <c r="P39" s="186"/>
    </row>
    <row r="40" spans="1:16" ht="12" thickBot="1" x14ac:dyDescent="0.25">
      <c r="A40" s="349"/>
      <c r="B40" s="346" t="s">
        <v>102</v>
      </c>
      <c r="C40" s="179" t="str">
        <f t="shared" si="4"/>
        <v>EUR1YD_SYNTH1Y_Quote</v>
      </c>
      <c r="D40" s="327" t="str">
        <f>_xll.qlSimpleQuote(C40,,RateTickValue,Permanent,EvaluationDate,ObjectOverwrite)</f>
        <v>EUR1YD_SYNTH1Y_Quote#0000</v>
      </c>
      <c r="E40" s="320" t="str">
        <f>_xll.ohRangeRetrieveError(D40)</f>
        <v/>
      </c>
      <c r="F40" s="190"/>
      <c r="H40" s="184"/>
      <c r="I40" s="350" t="s">
        <v>102</v>
      </c>
      <c r="J40" s="282">
        <f>SynthDepo!J49</f>
        <v>4.8900000000000002E-3</v>
      </c>
      <c r="K40" s="185"/>
      <c r="L40" s="286">
        <v>4.897176470296776E-3</v>
      </c>
      <c r="M40" s="183"/>
      <c r="N40" s="292">
        <v>4.8900000000000002E-3</v>
      </c>
      <c r="O40" s="293">
        <f>_xll.qlSimpleQuoteSetValue(D40,ROUND($N40,6),EvaluationDate)</f>
        <v>0</v>
      </c>
      <c r="P40" s="355"/>
    </row>
    <row r="41" spans="1:16" x14ac:dyDescent="0.2">
      <c r="A41" s="343">
        <v>1</v>
      </c>
      <c r="B41" s="326" t="str">
        <f t="shared" ref="B41:B84" si="5">A41&amp;"x"&amp;A41+Months12M&amp;"F"</f>
        <v>1x13F</v>
      </c>
      <c r="C41" s="177" t="str">
        <f t="shared" ref="C41:C84" si="6">Currency&amp;$B41&amp;"_SYNTH"&amp;"1Y"&amp;"_Quote"</f>
        <v>EUR1x13F_SYNTH1Y_Quote</v>
      </c>
      <c r="D41" s="345" t="str">
        <f>_xll.qlSimpleQuote(C41,,RateTickValue,Permanent,Trigger,ObjectOverwrite)</f>
        <v>EUR1x13F_SYNTH1Y_Quote#0000</v>
      </c>
      <c r="E41" s="319" t="str">
        <f>_xll.ohRangeRetrieveError(D41)</f>
        <v/>
      </c>
      <c r="F41" s="190"/>
      <c r="H41" s="182">
        <v>1</v>
      </c>
      <c r="I41" s="307" t="str">
        <f t="shared" ref="I41:I84" si="7">H41&amp;"x"&amp;(H41+Months12M)&amp;"F"</f>
        <v>1x13F</v>
      </c>
      <c r="J41" s="308">
        <f>SynthFra!N9</f>
        <v>4.8978438580174555E-3</v>
      </c>
      <c r="K41" s="241"/>
      <c r="L41" s="311">
        <v>4.8406460255806345E-3</v>
      </c>
      <c r="M41" s="242"/>
      <c r="N41" s="313">
        <v>4.8978438580174555E-3</v>
      </c>
      <c r="O41" s="314">
        <f>_xll.qlSimpleQuoteSetValue(D41,ROUND(N41,6),EvaluationDate)</f>
        <v>0</v>
      </c>
      <c r="P41" s="355">
        <f>_xll.ohTrigger(O41:O84)</f>
        <v>87</v>
      </c>
    </row>
    <row r="42" spans="1:16" x14ac:dyDescent="0.2">
      <c r="A42" s="343">
        <v>2</v>
      </c>
      <c r="B42" s="326" t="str">
        <f t="shared" si="5"/>
        <v>2x14F</v>
      </c>
      <c r="C42" s="179" t="str">
        <f t="shared" si="6"/>
        <v>EUR2x14F_SYNTH1Y_Quote</v>
      </c>
      <c r="D42" s="327" t="str">
        <f>_xll.qlSimpleQuote(C42,,RateTickValue,Permanent,Trigger,ObjectOverwrite)</f>
        <v>EUR2x14F_SYNTH1Y_Quote#0000</v>
      </c>
      <c r="E42" s="320" t="str">
        <f>_xll.ohRangeRetrieveError(D42)</f>
        <v/>
      </c>
      <c r="F42" s="190"/>
      <c r="H42" s="182">
        <v>2</v>
      </c>
      <c r="I42" s="307" t="str">
        <f t="shared" si="7"/>
        <v>2x14F</v>
      </c>
      <c r="J42" s="308">
        <f>SynthFra!N10</f>
        <v>4.8977768007770804E-3</v>
      </c>
      <c r="K42" s="242"/>
      <c r="L42" s="311">
        <v>4.7774275903101201E-3</v>
      </c>
      <c r="M42" s="242"/>
      <c r="N42" s="313">
        <v>4.8977768007770804E-3</v>
      </c>
      <c r="O42" s="314">
        <f>_xll.qlSimpleQuoteSetValue(D42,ROUND(N42,6),EvaluationDate)</f>
        <v>0</v>
      </c>
      <c r="P42" s="186"/>
    </row>
    <row r="43" spans="1:16" x14ac:dyDescent="0.2">
      <c r="A43" s="343">
        <v>3</v>
      </c>
      <c r="B43" s="326" t="str">
        <f t="shared" si="5"/>
        <v>3x15F</v>
      </c>
      <c r="C43" s="179" t="str">
        <f t="shared" si="6"/>
        <v>EUR3x15F_SYNTH1Y_Quote</v>
      </c>
      <c r="D43" s="327" t="str">
        <f>_xll.qlSimpleQuote(C43,,RateTickValue,Permanent,Trigger,ObjectOverwrite)</f>
        <v>EUR3x15F_SYNTH1Y_Quote#0000</v>
      </c>
      <c r="E43" s="320" t="str">
        <f>_xll.ohRangeRetrieveError(D43)</f>
        <v/>
      </c>
      <c r="F43" s="190"/>
      <c r="H43" s="182">
        <v>3</v>
      </c>
      <c r="I43" s="307" t="str">
        <f t="shared" si="7"/>
        <v>3x15F</v>
      </c>
      <c r="J43" s="308">
        <f>SynthFra!N11</f>
        <v>4.9138205751094437E-3</v>
      </c>
      <c r="K43" s="242"/>
      <c r="L43" s="311">
        <v>4.7168282468794051E-3</v>
      </c>
      <c r="M43" s="242"/>
      <c r="N43" s="313">
        <v>4.9138205751094437E-3</v>
      </c>
      <c r="O43" s="314">
        <f>_xll.qlSimpleQuoteSetValue(D43,ROUND(N43,6),EvaluationDate)</f>
        <v>0</v>
      </c>
      <c r="P43" s="186"/>
    </row>
    <row r="44" spans="1:16" x14ac:dyDescent="0.2">
      <c r="A44" s="343">
        <v>4</v>
      </c>
      <c r="B44" s="326" t="str">
        <f t="shared" si="5"/>
        <v>4x16F</v>
      </c>
      <c r="C44" s="179" t="str">
        <f t="shared" si="6"/>
        <v>EUR4x16F_SYNTH1Y_Quote</v>
      </c>
      <c r="D44" s="327" t="str">
        <f>_xll.qlSimpleQuote(C44,,RateTickValue,Permanent,Trigger,ObjectOverwrite)</f>
        <v>EUR4x16F_SYNTH1Y_Quote#0000</v>
      </c>
      <c r="E44" s="320" t="str">
        <f>_xll.ohRangeRetrieveError(D44)</f>
        <v/>
      </c>
      <c r="F44" s="190"/>
      <c r="H44" s="182">
        <v>4</v>
      </c>
      <c r="I44" s="307" t="str">
        <f t="shared" si="7"/>
        <v>4x16F</v>
      </c>
      <c r="J44" s="308">
        <f>SynthFra!N12</f>
        <v>4.926054967282904E-3</v>
      </c>
      <c r="K44" s="242"/>
      <c r="L44" s="311">
        <v>4.6670486929331432E-3</v>
      </c>
      <c r="M44" s="242"/>
      <c r="N44" s="313">
        <v>4.926054967282904E-3</v>
      </c>
      <c r="O44" s="314">
        <f>_xll.qlSimpleQuoteSetValue(D44,ROUND(N44,6),EvaluationDate)</f>
        <v>0</v>
      </c>
      <c r="P44" s="186"/>
    </row>
    <row r="45" spans="1:16" x14ac:dyDescent="0.2">
      <c r="A45" s="343">
        <v>5</v>
      </c>
      <c r="B45" s="326" t="str">
        <f t="shared" si="5"/>
        <v>5x17F</v>
      </c>
      <c r="C45" s="179" t="str">
        <f t="shared" si="6"/>
        <v>EUR5x17F_SYNTH1Y_Quote</v>
      </c>
      <c r="D45" s="327" t="str">
        <f>_xll.qlSimpleQuote(C45,,RateTickValue,Permanent,Trigger,ObjectOverwrite)</f>
        <v>EUR5x17F_SYNTH1Y_Quote#0000</v>
      </c>
      <c r="E45" s="320" t="str">
        <f>_xll.ohRangeRetrieveError(D45)</f>
        <v/>
      </c>
      <c r="F45" s="190"/>
      <c r="H45" s="182">
        <v>5</v>
      </c>
      <c r="I45" s="307" t="str">
        <f t="shared" si="7"/>
        <v>5x17F</v>
      </c>
      <c r="J45" s="308">
        <f>SynthFra!N13</f>
        <v>4.9443473295594049E-3</v>
      </c>
      <c r="K45" s="242"/>
      <c r="L45" s="311">
        <v>4.6348626470477088E-3</v>
      </c>
      <c r="M45" s="242"/>
      <c r="N45" s="313">
        <v>4.9443473295594049E-3</v>
      </c>
      <c r="O45" s="314">
        <f>_xll.qlSimpleQuoteSetValue(D45,ROUND(N45,6),EvaluationDate)</f>
        <v>0</v>
      </c>
      <c r="P45" s="186"/>
    </row>
    <row r="46" spans="1:16" x14ac:dyDescent="0.2">
      <c r="A46" s="343">
        <v>6</v>
      </c>
      <c r="B46" s="326" t="str">
        <f t="shared" si="5"/>
        <v>6x18F</v>
      </c>
      <c r="C46" s="179" t="str">
        <f t="shared" si="6"/>
        <v>EUR6x18F_SYNTH1Y_Quote</v>
      </c>
      <c r="D46" s="327" t="str">
        <f>_xll.qlSimpleQuote(C46,,RateTickValue,Permanent,Trigger,ObjectOverwrite)</f>
        <v>EUR6x18F_SYNTH1Y_Quote#0000</v>
      </c>
      <c r="E46" s="320" t="str">
        <f>_xll.ohRangeRetrieveError(D46)</f>
        <v/>
      </c>
      <c r="F46" s="190"/>
      <c r="H46" s="182">
        <v>6</v>
      </c>
      <c r="I46" s="307" t="str">
        <f t="shared" si="7"/>
        <v>6x18F</v>
      </c>
      <c r="J46" s="308">
        <f>SynthFra!N14</f>
        <v>4.9801704767095485E-3</v>
      </c>
      <c r="K46" s="242"/>
      <c r="L46" s="311">
        <v>4.618779268430055E-3</v>
      </c>
      <c r="M46" s="242"/>
      <c r="N46" s="313">
        <v>4.9801704767095485E-3</v>
      </c>
      <c r="O46" s="314">
        <f>_xll.qlSimpleQuoteSetValue(D46,ROUND(N46,6),EvaluationDate)</f>
        <v>0</v>
      </c>
      <c r="P46" s="186"/>
    </row>
    <row r="47" spans="1:16" x14ac:dyDescent="0.2">
      <c r="A47" s="343">
        <v>7</v>
      </c>
      <c r="B47" s="326" t="str">
        <f t="shared" si="5"/>
        <v>7x19F</v>
      </c>
      <c r="C47" s="179" t="str">
        <f t="shared" si="6"/>
        <v>EUR7x19F_SYNTH1Y_Quote</v>
      </c>
      <c r="D47" s="327" t="str">
        <f>_xll.qlSimpleQuote(C47,,RateTickValue,Permanent,Trigger,ObjectOverwrite)</f>
        <v>EUR7x19F_SYNTH1Y_Quote#0000</v>
      </c>
      <c r="E47" s="320" t="str">
        <f>_xll.ohRangeRetrieveError(D47)</f>
        <v/>
      </c>
      <c r="F47" s="190"/>
      <c r="H47" s="182">
        <v>7</v>
      </c>
      <c r="I47" s="307" t="str">
        <f t="shared" si="7"/>
        <v>7x19F</v>
      </c>
      <c r="J47" s="308">
        <f>SynthFra!N15</f>
        <v>4.9934650871645784E-3</v>
      </c>
      <c r="K47" s="242"/>
      <c r="L47" s="311">
        <v>4.6053832557820798E-3</v>
      </c>
      <c r="M47" s="242"/>
      <c r="N47" s="313">
        <v>4.9934650871645784E-3</v>
      </c>
      <c r="O47" s="314">
        <f>_xll.qlSimpleQuoteSetValue(D47,ROUND(N47,6),EvaluationDate)</f>
        <v>0</v>
      </c>
      <c r="P47" s="186"/>
    </row>
    <row r="48" spans="1:16" x14ac:dyDescent="0.2">
      <c r="A48" s="343">
        <v>8</v>
      </c>
      <c r="B48" s="326" t="str">
        <f t="shared" si="5"/>
        <v>8x20F</v>
      </c>
      <c r="C48" s="179" t="str">
        <f t="shared" si="6"/>
        <v>EUR8x20F_SYNTH1Y_Quote</v>
      </c>
      <c r="D48" s="327" t="str">
        <f>_xll.qlSimpleQuote(C48,,RateTickValue,Permanent,Trigger,ObjectOverwrite)</f>
        <v>EUR8x20F_SYNTH1Y_Quote#0000</v>
      </c>
      <c r="E48" s="320" t="str">
        <f>_xll.ohRangeRetrieveError(D48)</f>
        <v/>
      </c>
      <c r="F48" s="190"/>
      <c r="H48" s="182">
        <v>8</v>
      </c>
      <c r="I48" s="307" t="str">
        <f t="shared" si="7"/>
        <v>8x20F</v>
      </c>
      <c r="J48" s="308">
        <f>SynthFra!N16</f>
        <v>5.0400976262717934E-3</v>
      </c>
      <c r="K48" s="242"/>
      <c r="L48" s="311">
        <v>4.595351771150346E-3</v>
      </c>
      <c r="M48" s="242"/>
      <c r="N48" s="313">
        <v>5.0400976262717934E-3</v>
      </c>
      <c r="O48" s="314">
        <f>_xll.qlSimpleQuoteSetValue(D48,ROUND(N48,6),EvaluationDate)</f>
        <v>0</v>
      </c>
      <c r="P48" s="186"/>
    </row>
    <row r="49" spans="1:16" x14ac:dyDescent="0.2">
      <c r="A49" s="343">
        <v>9</v>
      </c>
      <c r="B49" s="326" t="str">
        <f t="shared" si="5"/>
        <v>9x21F</v>
      </c>
      <c r="C49" s="179" t="str">
        <f t="shared" si="6"/>
        <v>EUR9x21F_SYNTH1Y_Quote</v>
      </c>
      <c r="D49" s="327" t="str">
        <f>_xll.qlSimpleQuote(C49,,RateTickValue,Permanent,Trigger,ObjectOverwrite)</f>
        <v>EUR9x21F_SYNTH1Y_Quote#0000</v>
      </c>
      <c r="E49" s="320" t="str">
        <f>_xll.ohRangeRetrieveError(D49)</f>
        <v/>
      </c>
      <c r="F49" s="190"/>
      <c r="H49" s="182">
        <v>9</v>
      </c>
      <c r="I49" s="307" t="str">
        <f t="shared" si="7"/>
        <v>9x21F</v>
      </c>
      <c r="J49" s="308">
        <f>SynthFra!N17</f>
        <v>5.100699966079268E-3</v>
      </c>
      <c r="K49" s="242"/>
      <c r="L49" s="311">
        <v>4.6082952666255672E-3</v>
      </c>
      <c r="M49" s="242"/>
      <c r="N49" s="313">
        <v>5.100699966079268E-3</v>
      </c>
      <c r="O49" s="314">
        <f>_xll.qlSimpleQuoteSetValue(D49,ROUND(N49,6),EvaluationDate)</f>
        <v>0</v>
      </c>
      <c r="P49" s="186"/>
    </row>
    <row r="50" spans="1:16" x14ac:dyDescent="0.2">
      <c r="A50" s="343">
        <v>10</v>
      </c>
      <c r="B50" s="326" t="str">
        <f t="shared" si="5"/>
        <v>10x22F</v>
      </c>
      <c r="C50" s="179" t="str">
        <f t="shared" si="6"/>
        <v>EUR10x22F_SYNTH1Y_Quote</v>
      </c>
      <c r="D50" s="327" t="str">
        <f>_xll.qlSimpleQuote(C50,,RateTickValue,Permanent,Trigger,ObjectOverwrite)</f>
        <v>EUR10x22F_SYNTH1Y_Quote#0000</v>
      </c>
      <c r="E50" s="320" t="str">
        <f>_xll.ohRangeRetrieveError(D50)</f>
        <v/>
      </c>
      <c r="F50" s="190"/>
      <c r="H50" s="182">
        <v>10</v>
      </c>
      <c r="I50" s="307" t="str">
        <f t="shared" si="7"/>
        <v>10x22F</v>
      </c>
      <c r="J50" s="308">
        <f>SynthFra!N18</f>
        <v>5.1736581515146318E-3</v>
      </c>
      <c r="K50" s="242"/>
      <c r="L50" s="311">
        <v>4.6314621839731712E-3</v>
      </c>
      <c r="M50" s="242"/>
      <c r="N50" s="313">
        <v>5.1736581515146318E-3</v>
      </c>
      <c r="O50" s="314">
        <f>_xll.qlSimpleQuoteSetValue(D50,ROUND(N50,6),EvaluationDate)</f>
        <v>0</v>
      </c>
      <c r="P50" s="186"/>
    </row>
    <row r="51" spans="1:16" x14ac:dyDescent="0.2">
      <c r="A51" s="343">
        <v>11</v>
      </c>
      <c r="B51" s="326" t="str">
        <f t="shared" si="5"/>
        <v>11x23F</v>
      </c>
      <c r="C51" s="179" t="str">
        <f t="shared" si="6"/>
        <v>EUR11x23F_SYNTH1Y_Quote</v>
      </c>
      <c r="D51" s="327" t="str">
        <f>_xll.qlSimpleQuote(C51,,RateTickValue,Permanent,Trigger,ObjectOverwrite)</f>
        <v>EUR11x23F_SYNTH1Y_Quote#0000</v>
      </c>
      <c r="E51" s="320" t="str">
        <f>_xll.ohRangeRetrieveError(D51)</f>
        <v/>
      </c>
      <c r="F51" s="190"/>
      <c r="H51" s="182">
        <v>11</v>
      </c>
      <c r="I51" s="307" t="str">
        <f t="shared" si="7"/>
        <v>11x23F</v>
      </c>
      <c r="J51" s="308">
        <f>SynthFra!N19</f>
        <v>5.2628089291468193E-3</v>
      </c>
      <c r="K51" s="242"/>
      <c r="L51" s="311">
        <v>4.6674941914769171E-3</v>
      </c>
      <c r="M51" s="242"/>
      <c r="N51" s="313">
        <v>5.2628089291468193E-3</v>
      </c>
      <c r="O51" s="314">
        <f>_xll.qlSimpleQuoteSetValue(D51,ROUND(N51,6),EvaluationDate)</f>
        <v>0</v>
      </c>
      <c r="P51" s="186"/>
    </row>
    <row r="52" spans="1:16" x14ac:dyDescent="0.2">
      <c r="A52" s="343">
        <v>13</v>
      </c>
      <c r="B52" s="326" t="str">
        <f t="shared" si="5"/>
        <v>13x25F</v>
      </c>
      <c r="C52" s="179" t="str">
        <f t="shared" si="6"/>
        <v>EUR13x25F_SYNTH1Y_Quote</v>
      </c>
      <c r="D52" s="327" t="str">
        <f>_xll.qlSimpleQuote(C52,,RateTickValue,Permanent,Trigger,ObjectOverwrite)</f>
        <v>EUR13x25F_SYNTH1Y_Quote#0000</v>
      </c>
      <c r="E52" s="320" t="str">
        <f>_xll.ohRangeRetrieveError(D52)</f>
        <v/>
      </c>
      <c r="F52" s="190"/>
      <c r="H52" s="182">
        <v>13</v>
      </c>
      <c r="I52" s="307" t="str">
        <f t="shared" si="7"/>
        <v>13x25F</v>
      </c>
      <c r="J52" s="308">
        <f>SynthFra!N21</f>
        <v>5.4303379149019159E-3</v>
      </c>
      <c r="K52" s="242"/>
      <c r="L52" s="311">
        <v>4.8073697361709416E-3</v>
      </c>
      <c r="M52" s="242"/>
      <c r="N52" s="313">
        <v>5.4303379149019159E-3</v>
      </c>
      <c r="O52" s="314">
        <f>_xll.qlSimpleQuoteSetValue(D52,ROUND(N52,6),EvaluationDate)</f>
        <v>0</v>
      </c>
      <c r="P52" s="186"/>
    </row>
    <row r="53" spans="1:16" x14ac:dyDescent="0.2">
      <c r="A53" s="343">
        <v>14</v>
      </c>
      <c r="B53" s="326" t="str">
        <f t="shared" si="5"/>
        <v>14x26F</v>
      </c>
      <c r="C53" s="179" t="str">
        <f t="shared" si="6"/>
        <v>EUR14x26F_SYNTH1Y_Quote</v>
      </c>
      <c r="D53" s="327" t="str">
        <f>_xll.qlSimpleQuote(C53,,RateTickValue,Permanent,Trigger,ObjectOverwrite)</f>
        <v>EUR14x26F_SYNTH1Y_Quote#0000</v>
      </c>
      <c r="E53" s="320" t="str">
        <f>_xll.ohRangeRetrieveError(D53)</f>
        <v/>
      </c>
      <c r="F53" s="190"/>
      <c r="H53" s="182">
        <v>14</v>
      </c>
      <c r="I53" s="307" t="str">
        <f t="shared" si="7"/>
        <v>14x26F</v>
      </c>
      <c r="J53" s="308">
        <f>SynthFra!N22</f>
        <v>5.5281497667412178E-3</v>
      </c>
      <c r="K53" s="242"/>
      <c r="L53" s="311">
        <v>4.8923504255238455E-3</v>
      </c>
      <c r="M53" s="242"/>
      <c r="N53" s="313">
        <v>5.5281497667412178E-3</v>
      </c>
      <c r="O53" s="314">
        <f>_xll.qlSimpleQuoteSetValue(D53,ROUND(N53,6),EvaluationDate)</f>
        <v>0</v>
      </c>
      <c r="P53" s="186"/>
    </row>
    <row r="54" spans="1:16" x14ac:dyDescent="0.2">
      <c r="A54" s="343">
        <v>15</v>
      </c>
      <c r="B54" s="326" t="str">
        <f t="shared" si="5"/>
        <v>15x27F</v>
      </c>
      <c r="C54" s="179" t="str">
        <f t="shared" si="6"/>
        <v>EUR15x27F_SYNTH1Y_Quote</v>
      </c>
      <c r="D54" s="327" t="str">
        <f>_xll.qlSimpleQuote(C54,,RateTickValue,Permanent,Trigger,ObjectOverwrite)</f>
        <v>EUR15x27F_SYNTH1Y_Quote#0000</v>
      </c>
      <c r="E54" s="320" t="str">
        <f>_xll.ohRangeRetrieveError(D54)</f>
        <v/>
      </c>
      <c r="F54" s="190"/>
      <c r="H54" s="182">
        <v>15</v>
      </c>
      <c r="I54" s="307" t="str">
        <f t="shared" si="7"/>
        <v>15x27F</v>
      </c>
      <c r="J54" s="308">
        <f>SynthFra!N23</f>
        <v>5.6311960631618965E-3</v>
      </c>
      <c r="K54" s="242"/>
      <c r="L54" s="311">
        <v>4.9902300152116887E-3</v>
      </c>
      <c r="M54" s="242"/>
      <c r="N54" s="313">
        <v>5.6311960631618965E-3</v>
      </c>
      <c r="O54" s="314">
        <f>_xll.qlSimpleQuoteSetValue(D54,ROUND(N54,6),EvaluationDate)</f>
        <v>0</v>
      </c>
      <c r="P54" s="186"/>
    </row>
    <row r="55" spans="1:16" x14ac:dyDescent="0.2">
      <c r="A55" s="343">
        <v>16</v>
      </c>
      <c r="B55" s="326" t="str">
        <f t="shared" si="5"/>
        <v>16x28F</v>
      </c>
      <c r="C55" s="179" t="str">
        <f t="shared" si="6"/>
        <v>EUR16x28F_SYNTH1Y_Quote</v>
      </c>
      <c r="D55" s="327" t="str">
        <f>_xll.qlSimpleQuote(C55,,RateTickValue,Permanent,Trigger,ObjectOverwrite)</f>
        <v>EUR16x28F_SYNTH1Y_Quote#0000</v>
      </c>
      <c r="E55" s="320" t="str">
        <f>_xll.ohRangeRetrieveError(D55)</f>
        <v/>
      </c>
      <c r="F55" s="190"/>
      <c r="H55" s="182">
        <v>16</v>
      </c>
      <c r="I55" s="307" t="str">
        <f t="shared" si="7"/>
        <v>16x28F</v>
      </c>
      <c r="J55" s="308">
        <f>SynthFra!N24</f>
        <v>5.7403062320791039E-3</v>
      </c>
      <c r="K55" s="242"/>
      <c r="L55" s="311">
        <v>5.1090206650879029E-3</v>
      </c>
      <c r="M55" s="242"/>
      <c r="N55" s="313">
        <v>5.7403062320791039E-3</v>
      </c>
      <c r="O55" s="314">
        <f>_xll.qlSimpleQuoteSetValue(D55,ROUND(N55,6),EvaluationDate)</f>
        <v>0</v>
      </c>
      <c r="P55" s="186"/>
    </row>
    <row r="56" spans="1:16" x14ac:dyDescent="0.2">
      <c r="A56" s="343">
        <v>17</v>
      </c>
      <c r="B56" s="326" t="str">
        <f t="shared" si="5"/>
        <v>17x29F</v>
      </c>
      <c r="C56" s="179" t="str">
        <f t="shared" si="6"/>
        <v>EUR17x29F_SYNTH1Y_Quote</v>
      </c>
      <c r="D56" s="327" t="str">
        <f>_xll.qlSimpleQuote(C56,,RateTickValue,Permanent,Trigger,ObjectOverwrite)</f>
        <v>EUR17x29F_SYNTH1Y_Quote#0000</v>
      </c>
      <c r="E56" s="320" t="str">
        <f>_xll.ohRangeRetrieveError(D56)</f>
        <v/>
      </c>
      <c r="F56" s="190"/>
      <c r="H56" s="182">
        <v>17</v>
      </c>
      <c r="I56" s="307" t="str">
        <f t="shared" si="7"/>
        <v>17x29F</v>
      </c>
      <c r="J56" s="308">
        <f>SynthFra!N25</f>
        <v>5.8540722498513758E-3</v>
      </c>
      <c r="K56" s="242"/>
      <c r="L56" s="311">
        <v>5.2460827654877348E-3</v>
      </c>
      <c r="M56" s="242"/>
      <c r="N56" s="313">
        <v>5.8540722498513758E-3</v>
      </c>
      <c r="O56" s="314">
        <f>_xll.qlSimpleQuoteSetValue(D56,ROUND(N56,6),EvaluationDate)</f>
        <v>0</v>
      </c>
      <c r="P56" s="186"/>
    </row>
    <row r="57" spans="1:16" x14ac:dyDescent="0.2">
      <c r="A57" s="343">
        <v>18</v>
      </c>
      <c r="B57" s="326" t="str">
        <f t="shared" si="5"/>
        <v>18x30F</v>
      </c>
      <c r="C57" s="179" t="str">
        <f t="shared" si="6"/>
        <v>EUR18x30F_SYNTH1Y_Quote</v>
      </c>
      <c r="D57" s="327" t="str">
        <f>_xll.qlSimpleQuote(C57,,RateTickValue,Permanent,Trigger,ObjectOverwrite)</f>
        <v>EUR18x30F_SYNTH1Y_Quote#0000</v>
      </c>
      <c r="E57" s="320" t="str">
        <f>_xll.ohRangeRetrieveError(D57)</f>
        <v/>
      </c>
      <c r="F57" s="190"/>
      <c r="H57" s="182">
        <v>18</v>
      </c>
      <c r="I57" s="307" t="str">
        <f t="shared" si="7"/>
        <v>18x30F</v>
      </c>
      <c r="J57" s="308">
        <f>SynthFra!N26</f>
        <v>5.9811372658440691E-3</v>
      </c>
      <c r="K57" s="242"/>
      <c r="L57" s="311">
        <v>5.3988472406250338E-3</v>
      </c>
      <c r="M57" s="242"/>
      <c r="N57" s="313">
        <v>5.9811372658440691E-3</v>
      </c>
      <c r="O57" s="314">
        <f>_xll.qlSimpleQuoteSetValue(D57,ROUND(N57,6),EvaluationDate)</f>
        <v>0</v>
      </c>
      <c r="P57" s="186"/>
    </row>
    <row r="58" spans="1:16" x14ac:dyDescent="0.2">
      <c r="A58" s="343">
        <v>19</v>
      </c>
      <c r="B58" s="326" t="str">
        <f t="shared" si="5"/>
        <v>19x31F</v>
      </c>
      <c r="C58" s="179" t="str">
        <f t="shared" si="6"/>
        <v>EUR19x31F_SYNTH1Y_Quote</v>
      </c>
      <c r="D58" s="327" t="str">
        <f>_xll.qlSimpleQuote(C58,,RateTickValue,Permanent,Trigger,ObjectOverwrite)</f>
        <v>EUR19x31F_SYNTH1Y_Quote#0000</v>
      </c>
      <c r="E58" s="320" t="str">
        <f>_xll.ohRangeRetrieveError(D58)</f>
        <v/>
      </c>
      <c r="F58" s="190"/>
      <c r="H58" s="182">
        <v>19</v>
      </c>
      <c r="I58" s="307" t="str">
        <f t="shared" si="7"/>
        <v>19x31F</v>
      </c>
      <c r="J58" s="308">
        <f>SynthFra!N27</f>
        <v>6.1011406054272323E-3</v>
      </c>
      <c r="K58" s="242"/>
      <c r="L58" s="311">
        <v>5.5859281090479204E-3</v>
      </c>
      <c r="M58" s="242"/>
      <c r="N58" s="313">
        <v>6.1011406054272323E-3</v>
      </c>
      <c r="O58" s="314">
        <f>_xll.qlSimpleQuoteSetValue(D58,ROUND(N58,6),EvaluationDate)</f>
        <v>0</v>
      </c>
      <c r="P58" s="186"/>
    </row>
    <row r="59" spans="1:16" x14ac:dyDescent="0.2">
      <c r="A59" s="343">
        <v>20</v>
      </c>
      <c r="B59" s="326" t="str">
        <f t="shared" si="5"/>
        <v>20x32F</v>
      </c>
      <c r="C59" s="179" t="str">
        <f t="shared" si="6"/>
        <v>EUR20x32F_SYNTH1Y_Quote</v>
      </c>
      <c r="D59" s="327" t="str">
        <f>_xll.qlSimpleQuote(C59,,RateTickValue,Permanent,Trigger,ObjectOverwrite)</f>
        <v>EUR20x32F_SYNTH1Y_Quote#0000</v>
      </c>
      <c r="E59" s="320" t="str">
        <f>_xll.ohRangeRetrieveError(D59)</f>
        <v/>
      </c>
      <c r="F59" s="190"/>
      <c r="H59" s="182">
        <v>20</v>
      </c>
      <c r="I59" s="307" t="str">
        <f t="shared" si="7"/>
        <v>20x32F</v>
      </c>
      <c r="J59" s="308">
        <f>SynthFra!N28</f>
        <v>6.2348448358431636E-3</v>
      </c>
      <c r="K59" s="242"/>
      <c r="L59" s="311">
        <v>5.7662394567391711E-3</v>
      </c>
      <c r="M59" s="242"/>
      <c r="N59" s="313">
        <v>6.2348448358431636E-3</v>
      </c>
      <c r="O59" s="314">
        <f>_xll.qlSimpleQuoteSetValue(D59,ROUND(N59,6),EvaluationDate)</f>
        <v>0</v>
      </c>
      <c r="P59" s="186"/>
    </row>
    <row r="60" spans="1:16" x14ac:dyDescent="0.2">
      <c r="A60" s="343">
        <v>21</v>
      </c>
      <c r="B60" s="326" t="str">
        <f t="shared" si="5"/>
        <v>21x33F</v>
      </c>
      <c r="C60" s="179" t="str">
        <f t="shared" si="6"/>
        <v>EUR21x33F_SYNTH1Y_Quote</v>
      </c>
      <c r="D60" s="327" t="str">
        <f>_xll.qlSimpleQuote(C60,,RateTickValue,Permanent,Trigger,ObjectOverwrite)</f>
        <v>EUR21x33F_SYNTH1Y_Quote#0000</v>
      </c>
      <c r="E60" s="320" t="str">
        <f>_xll.ohRangeRetrieveError(D60)</f>
        <v/>
      </c>
      <c r="F60" s="190"/>
      <c r="H60" s="182">
        <v>21</v>
      </c>
      <c r="I60" s="307" t="str">
        <f t="shared" si="7"/>
        <v>21x33F</v>
      </c>
      <c r="J60" s="308">
        <f>SynthFra!N29</f>
        <v>6.3764114619801792E-3</v>
      </c>
      <c r="K60" s="242"/>
      <c r="L60" s="311">
        <v>5.9575814868177692E-3</v>
      </c>
      <c r="M60" s="242"/>
      <c r="N60" s="313">
        <v>6.3764114619801792E-3</v>
      </c>
      <c r="O60" s="314">
        <f>_xll.qlSimpleQuoteSetValue(D60,ROUND(N60,6),EvaluationDate)</f>
        <v>0</v>
      </c>
      <c r="P60" s="186"/>
    </row>
    <row r="61" spans="1:16" x14ac:dyDescent="0.2">
      <c r="A61" s="343">
        <v>22</v>
      </c>
      <c r="B61" s="326" t="str">
        <f t="shared" si="5"/>
        <v>22x34F</v>
      </c>
      <c r="C61" s="179" t="str">
        <f t="shared" si="6"/>
        <v>EUR22x34F_SYNTH1Y_Quote</v>
      </c>
      <c r="D61" s="327" t="str">
        <f>_xll.qlSimpleQuote(C61,,RateTickValue,Permanent,Trigger,ObjectOverwrite)</f>
        <v>EUR22x34F_SYNTH1Y_Quote#0000</v>
      </c>
      <c r="E61" s="320" t="str">
        <f>_xll.ohRangeRetrieveError(D61)</f>
        <v/>
      </c>
      <c r="F61" s="190"/>
      <c r="H61" s="182">
        <v>22</v>
      </c>
      <c r="I61" s="307" t="str">
        <f t="shared" si="7"/>
        <v>22x34F</v>
      </c>
      <c r="J61" s="308">
        <f>SynthFra!N30</f>
        <v>6.5408051625487438E-3</v>
      </c>
      <c r="K61" s="242"/>
      <c r="L61" s="311">
        <v>6.1960893098092409E-3</v>
      </c>
      <c r="M61" s="242"/>
      <c r="N61" s="313">
        <v>6.5408051625487438E-3</v>
      </c>
      <c r="O61" s="314">
        <f>_xll.qlSimpleQuoteSetValue(D61,ROUND(N61,6),EvaluationDate)</f>
        <v>0</v>
      </c>
      <c r="P61" s="186"/>
    </row>
    <row r="62" spans="1:16" x14ac:dyDescent="0.2">
      <c r="A62" s="343">
        <v>23</v>
      </c>
      <c r="B62" s="326" t="str">
        <f t="shared" si="5"/>
        <v>23x35F</v>
      </c>
      <c r="C62" s="179" t="str">
        <f t="shared" si="6"/>
        <v>EUR23x35F_SYNTH1Y_Quote</v>
      </c>
      <c r="D62" s="327" t="str">
        <f>_xll.qlSimpleQuote(C62,,RateTickValue,Permanent,Trigger,ObjectOverwrite)</f>
        <v>EUR23x35F_SYNTH1Y_Quote#0000</v>
      </c>
      <c r="E62" s="320" t="str">
        <f>_xll.ohRangeRetrieveError(D62)</f>
        <v/>
      </c>
      <c r="F62" s="190"/>
      <c r="H62" s="182">
        <v>23</v>
      </c>
      <c r="I62" s="307" t="str">
        <f t="shared" si="7"/>
        <v>23x35F</v>
      </c>
      <c r="J62" s="308">
        <f>SynthFra!N31</f>
        <v>6.6883385953261237E-3</v>
      </c>
      <c r="K62" s="242"/>
      <c r="L62" s="311">
        <v>6.412500321007597E-3</v>
      </c>
      <c r="M62" s="242"/>
      <c r="N62" s="313">
        <v>6.6883385953261237E-3</v>
      </c>
      <c r="O62" s="314">
        <f>_xll.qlSimpleQuoteSetValue(D62,ROUND(N62,6),EvaluationDate)</f>
        <v>0</v>
      </c>
      <c r="P62" s="186"/>
    </row>
    <row r="63" spans="1:16" x14ac:dyDescent="0.2">
      <c r="A63" s="343">
        <v>25</v>
      </c>
      <c r="B63" s="326" t="str">
        <f t="shared" si="5"/>
        <v>25x37F</v>
      </c>
      <c r="C63" s="179" t="str">
        <f t="shared" si="6"/>
        <v>EUR25x37F_SYNTH1Y_Quote</v>
      </c>
      <c r="D63" s="327" t="str">
        <f>_xll.qlSimpleQuote(C63,,RateTickValue,Permanent,Trigger,ObjectOverwrite)</f>
        <v>EUR25x37F_SYNTH1Y_Quote#0000</v>
      </c>
      <c r="E63" s="320" t="str">
        <f>_xll.ohRangeRetrieveError(D63)</f>
        <v/>
      </c>
      <c r="F63" s="190"/>
      <c r="H63" s="182">
        <v>25</v>
      </c>
      <c r="I63" s="307" t="str">
        <f t="shared" si="7"/>
        <v>25x37F</v>
      </c>
      <c r="J63" s="308">
        <f>SynthFra!N33</f>
        <v>7.0586937404917768E-3</v>
      </c>
      <c r="K63" s="242"/>
      <c r="L63" s="311">
        <v>6.9455216994446494E-3</v>
      </c>
      <c r="M63" s="242"/>
      <c r="N63" s="313">
        <v>7.0586937404917768E-3</v>
      </c>
      <c r="O63" s="314">
        <f>_xll.qlSimpleQuoteSetValue(D63,ROUND(N63,6),EvaluationDate)</f>
        <v>0</v>
      </c>
      <c r="P63" s="186"/>
    </row>
    <row r="64" spans="1:16" x14ac:dyDescent="0.2">
      <c r="A64" s="343">
        <v>26</v>
      </c>
      <c r="B64" s="326" t="str">
        <f t="shared" si="5"/>
        <v>26x38F</v>
      </c>
      <c r="C64" s="179" t="str">
        <f t="shared" si="6"/>
        <v>EUR26x38F_SYNTH1Y_Quote</v>
      </c>
      <c r="D64" s="327" t="str">
        <f>_xll.qlSimpleQuote(C64,,RateTickValue,Permanent,Trigger,ObjectOverwrite)</f>
        <v>EUR26x38F_SYNTH1Y_Quote#0000</v>
      </c>
      <c r="E64" s="320" t="str">
        <f>_xll.ohRangeRetrieveError(D64)</f>
        <v/>
      </c>
      <c r="F64" s="190"/>
      <c r="H64" s="182">
        <v>26</v>
      </c>
      <c r="I64" s="307" t="str">
        <f t="shared" si="7"/>
        <v>26x38F</v>
      </c>
      <c r="J64" s="308">
        <f>SynthFra!N34</f>
        <v>7.2574660357555467E-3</v>
      </c>
      <c r="K64" s="242"/>
      <c r="L64" s="311">
        <v>7.2111439447380323E-3</v>
      </c>
      <c r="M64" s="242"/>
      <c r="N64" s="313">
        <v>7.2574660357555467E-3</v>
      </c>
      <c r="O64" s="314">
        <f>_xll.qlSimpleQuoteSetValue(D64,ROUND(N64,6),EvaluationDate)</f>
        <v>0</v>
      </c>
      <c r="P64" s="186"/>
    </row>
    <row r="65" spans="1:16" x14ac:dyDescent="0.2">
      <c r="A65" s="343">
        <v>27</v>
      </c>
      <c r="B65" s="326" t="str">
        <f t="shared" si="5"/>
        <v>27x39F</v>
      </c>
      <c r="C65" s="179" t="str">
        <f t="shared" si="6"/>
        <v>EUR27x39F_SYNTH1Y_Quote</v>
      </c>
      <c r="D65" s="327" t="str">
        <f>_xll.qlSimpleQuote(C65,,RateTickValue,Permanent,Trigger,ObjectOverwrite)</f>
        <v>EUR27x39F_SYNTH1Y_Quote#0000</v>
      </c>
      <c r="E65" s="320" t="str">
        <f>_xll.ohRangeRetrieveError(D65)</f>
        <v/>
      </c>
      <c r="F65" s="190"/>
      <c r="H65" s="182">
        <v>27</v>
      </c>
      <c r="I65" s="307" t="str">
        <f t="shared" si="7"/>
        <v>27x39F</v>
      </c>
      <c r="J65" s="308">
        <f>SynthFra!N35</f>
        <v>7.4955085666286586E-3</v>
      </c>
      <c r="K65" s="242"/>
      <c r="L65" s="311">
        <v>7.5168373562576381E-3</v>
      </c>
      <c r="M65" s="242"/>
      <c r="N65" s="313">
        <v>7.4955085666286586E-3</v>
      </c>
      <c r="O65" s="314">
        <f>_xll.qlSimpleQuoteSetValue(D65,ROUND(N65,6),EvaluationDate)</f>
        <v>0</v>
      </c>
      <c r="P65" s="186"/>
    </row>
    <row r="66" spans="1:16" x14ac:dyDescent="0.2">
      <c r="A66" s="343">
        <v>28</v>
      </c>
      <c r="B66" s="326" t="str">
        <f t="shared" si="5"/>
        <v>28x40F</v>
      </c>
      <c r="C66" s="179" t="str">
        <f t="shared" si="6"/>
        <v>EUR28x40F_SYNTH1Y_Quote</v>
      </c>
      <c r="D66" s="327" t="str">
        <f>_xll.qlSimpleQuote(C66,,RateTickValue,Permanent,Trigger,ObjectOverwrite)</f>
        <v>EUR28x40F_SYNTH1Y_Quote#0000</v>
      </c>
      <c r="E66" s="320" t="str">
        <f>_xll.ohRangeRetrieveError(D66)</f>
        <v/>
      </c>
      <c r="F66" s="190"/>
      <c r="H66" s="182">
        <v>28</v>
      </c>
      <c r="I66" s="307" t="str">
        <f t="shared" si="7"/>
        <v>28x40F</v>
      </c>
      <c r="J66" s="308">
        <f>SynthFra!N36</f>
        <v>7.735769551606487E-3</v>
      </c>
      <c r="K66" s="242"/>
      <c r="L66" s="311">
        <v>7.8167292481846513E-3</v>
      </c>
      <c r="M66" s="242"/>
      <c r="N66" s="313">
        <v>7.735769551606487E-3</v>
      </c>
      <c r="O66" s="314">
        <f>_xll.qlSimpleQuoteSetValue(D66,ROUND(N66,6),EvaluationDate)</f>
        <v>0</v>
      </c>
      <c r="P66" s="186"/>
    </row>
    <row r="67" spans="1:16" x14ac:dyDescent="0.2">
      <c r="A67" s="343">
        <v>29</v>
      </c>
      <c r="B67" s="326" t="str">
        <f t="shared" si="5"/>
        <v>29x41F</v>
      </c>
      <c r="C67" s="179" t="str">
        <f t="shared" si="6"/>
        <v>EUR29x41F_SYNTH1Y_Quote</v>
      </c>
      <c r="D67" s="327" t="str">
        <f>_xll.qlSimpleQuote(C67,,RateTickValue,Permanent,Trigger,ObjectOverwrite)</f>
        <v>EUR29x41F_SYNTH1Y_Quote#0000</v>
      </c>
      <c r="E67" s="320" t="str">
        <f>_xll.ohRangeRetrieveError(D67)</f>
        <v/>
      </c>
      <c r="F67" s="190"/>
      <c r="H67" s="182">
        <v>29</v>
      </c>
      <c r="I67" s="307" t="str">
        <f t="shared" si="7"/>
        <v>29x41F</v>
      </c>
      <c r="J67" s="308">
        <f>SynthFra!N37</f>
        <v>7.9881261520869575E-3</v>
      </c>
      <c r="K67" s="242"/>
      <c r="L67" s="311">
        <v>8.1261658822661606E-3</v>
      </c>
      <c r="M67" s="242"/>
      <c r="N67" s="313">
        <v>7.9881261520869575E-3</v>
      </c>
      <c r="O67" s="314">
        <f>_xll.qlSimpleQuoteSetValue(D67,ROUND(N67,6),EvaluationDate)</f>
        <v>0</v>
      </c>
      <c r="P67" s="186"/>
    </row>
    <row r="68" spans="1:16" x14ac:dyDescent="0.2">
      <c r="A68" s="343">
        <v>30</v>
      </c>
      <c r="B68" s="326" t="str">
        <f t="shared" si="5"/>
        <v>30x42F</v>
      </c>
      <c r="C68" s="179" t="str">
        <f t="shared" si="6"/>
        <v>EUR30x42F_SYNTH1Y_Quote</v>
      </c>
      <c r="D68" s="327" t="str">
        <f>_xll.qlSimpleQuote(C68,,RateTickValue,Permanent,Trigger,ObjectOverwrite)</f>
        <v>EUR30x42F_SYNTH1Y_Quote#0000</v>
      </c>
      <c r="E68" s="320" t="str">
        <f>_xll.ohRangeRetrieveError(D68)</f>
        <v/>
      </c>
      <c r="F68" s="190"/>
      <c r="H68" s="182">
        <v>30</v>
      </c>
      <c r="I68" s="307" t="str">
        <f t="shared" si="7"/>
        <v>30x42F</v>
      </c>
      <c r="J68" s="308">
        <f>SynthFra!N38</f>
        <v>8.2774492426896194E-3</v>
      </c>
      <c r="K68" s="242"/>
      <c r="L68" s="311">
        <v>8.4647021153290893E-3</v>
      </c>
      <c r="M68" s="242"/>
      <c r="N68" s="313">
        <v>8.2774492426896194E-3</v>
      </c>
      <c r="O68" s="314">
        <f>_xll.qlSimpleQuoteSetValue(D68,ROUND(N68,6),EvaluationDate)</f>
        <v>0</v>
      </c>
      <c r="P68" s="186"/>
    </row>
    <row r="69" spans="1:16" x14ac:dyDescent="0.2">
      <c r="A69" s="343">
        <v>31</v>
      </c>
      <c r="B69" s="326" t="str">
        <f t="shared" si="5"/>
        <v>31x43F</v>
      </c>
      <c r="C69" s="179" t="str">
        <f t="shared" si="6"/>
        <v>EUR31x43F_SYNTH1Y_Quote</v>
      </c>
      <c r="D69" s="327" t="str">
        <f>_xll.qlSimpleQuote(C69,,RateTickValue,Permanent,Trigger,ObjectOverwrite)</f>
        <v>EUR31x43F_SYNTH1Y_Quote#0000</v>
      </c>
      <c r="E69" s="320" t="str">
        <f>_xll.ohRangeRetrieveError(D69)</f>
        <v/>
      </c>
      <c r="F69" s="190"/>
      <c r="H69" s="182">
        <v>31</v>
      </c>
      <c r="I69" s="307" t="str">
        <f t="shared" si="7"/>
        <v>31x43F</v>
      </c>
      <c r="J69" s="308">
        <f>SynthFra!N39</f>
        <v>8.530164423738669E-3</v>
      </c>
      <c r="K69" s="242"/>
      <c r="L69" s="311">
        <v>8.7831918676685335E-3</v>
      </c>
      <c r="M69" s="242"/>
      <c r="N69" s="313">
        <v>8.530164423738669E-3</v>
      </c>
      <c r="O69" s="314">
        <f>_xll.qlSimpleQuoteSetValue(D69,ROUND(N69,6),EvaluationDate)</f>
        <v>0</v>
      </c>
      <c r="P69" s="186"/>
    </row>
    <row r="70" spans="1:16" x14ac:dyDescent="0.2">
      <c r="A70" s="343">
        <v>32</v>
      </c>
      <c r="B70" s="326" t="str">
        <f t="shared" si="5"/>
        <v>32x44F</v>
      </c>
      <c r="C70" s="179" t="str">
        <f t="shared" si="6"/>
        <v>EUR32x44F_SYNTH1Y_Quote</v>
      </c>
      <c r="D70" s="327" t="str">
        <f>_xll.qlSimpleQuote(C70,,RateTickValue,Permanent,Trigger,ObjectOverwrite)</f>
        <v>EUR32x44F_SYNTH1Y_Quote#0000</v>
      </c>
      <c r="E70" s="320" t="str">
        <f>_xll.ohRangeRetrieveError(D70)</f>
        <v/>
      </c>
      <c r="F70" s="190"/>
      <c r="H70" s="182">
        <v>32</v>
      </c>
      <c r="I70" s="307" t="str">
        <f t="shared" si="7"/>
        <v>32x44F</v>
      </c>
      <c r="J70" s="308">
        <f>SynthFra!N40</f>
        <v>8.796595863094555E-3</v>
      </c>
      <c r="K70" s="242"/>
      <c r="L70" s="311">
        <v>9.1292751157284018E-3</v>
      </c>
      <c r="M70" s="242"/>
      <c r="N70" s="313">
        <v>8.796595863094555E-3</v>
      </c>
      <c r="O70" s="314">
        <f>_xll.qlSimpleQuoteSetValue(D70,ROUND(N70,6),EvaluationDate)</f>
        <v>0</v>
      </c>
      <c r="P70" s="186"/>
    </row>
    <row r="71" spans="1:16" x14ac:dyDescent="0.2">
      <c r="A71" s="343">
        <v>33</v>
      </c>
      <c r="B71" s="326" t="str">
        <f t="shared" si="5"/>
        <v>33x45F</v>
      </c>
      <c r="C71" s="179" t="str">
        <f t="shared" si="6"/>
        <v>EUR33x45F_SYNTH1Y_Quote</v>
      </c>
      <c r="D71" s="327" t="str">
        <f>_xll.qlSimpleQuote(C71,,RateTickValue,Permanent,Trigger,ObjectOverwrite)</f>
        <v>EUR33x45F_SYNTH1Y_Quote#0000</v>
      </c>
      <c r="E71" s="320" t="str">
        <f>_xll.ohRangeRetrieveError(D71)</f>
        <v/>
      </c>
      <c r="F71" s="190"/>
      <c r="H71" s="182">
        <v>33</v>
      </c>
      <c r="I71" s="307" t="str">
        <f t="shared" si="7"/>
        <v>33x45F</v>
      </c>
      <c r="J71" s="308">
        <f>SynthFra!N41</f>
        <v>9.0748509099657093E-3</v>
      </c>
      <c r="K71" s="242"/>
      <c r="L71" s="311">
        <v>9.4477175409658307E-3</v>
      </c>
      <c r="M71" s="242"/>
      <c r="N71" s="313">
        <v>9.0748509099657093E-3</v>
      </c>
      <c r="O71" s="314">
        <f>_xll.qlSimpleQuoteSetValue(D71,ROUND(N71,6),EvaluationDate)</f>
        <v>0</v>
      </c>
      <c r="P71" s="186"/>
    </row>
    <row r="72" spans="1:16" x14ac:dyDescent="0.2">
      <c r="A72" s="343">
        <v>34</v>
      </c>
      <c r="B72" s="326" t="str">
        <f t="shared" si="5"/>
        <v>34x46F</v>
      </c>
      <c r="C72" s="179" t="str">
        <f t="shared" si="6"/>
        <v>EUR34x46F_SYNTH1Y_Quote</v>
      </c>
      <c r="D72" s="327" t="str">
        <f>_xll.qlSimpleQuote(C72,,RateTickValue,Permanent,Trigger,ObjectOverwrite)</f>
        <v>EUR34x46F_SYNTH1Y_Quote#0000</v>
      </c>
      <c r="E72" s="320" t="str">
        <f>_xll.ohRangeRetrieveError(D72)</f>
        <v/>
      </c>
      <c r="F72" s="190"/>
      <c r="H72" s="182">
        <v>34</v>
      </c>
      <c r="I72" s="307" t="str">
        <f t="shared" si="7"/>
        <v>34x46F</v>
      </c>
      <c r="J72" s="308">
        <f>SynthFra!N42</f>
        <v>9.3718132964617472E-3</v>
      </c>
      <c r="K72" s="242"/>
      <c r="L72" s="311">
        <v>9.8173882020001074E-3</v>
      </c>
      <c r="M72" s="242"/>
      <c r="N72" s="313">
        <v>9.3718132964617472E-3</v>
      </c>
      <c r="O72" s="314">
        <f>_xll.qlSimpleQuoteSetValue(D72,ROUND(N72,6),EvaluationDate)</f>
        <v>0</v>
      </c>
      <c r="P72" s="186"/>
    </row>
    <row r="73" spans="1:16" x14ac:dyDescent="0.2">
      <c r="A73" s="343">
        <v>35</v>
      </c>
      <c r="B73" s="326" t="str">
        <f t="shared" si="5"/>
        <v>35x47F</v>
      </c>
      <c r="C73" s="179" t="str">
        <f t="shared" si="6"/>
        <v>EUR35x47F_SYNTH1Y_Quote</v>
      </c>
      <c r="D73" s="327" t="str">
        <f>_xll.qlSimpleQuote(C73,,RateTickValue,Permanent,Trigger,ObjectOverwrite)</f>
        <v>EUR35x47F_SYNTH1Y_Quote#0000</v>
      </c>
      <c r="E73" s="320" t="str">
        <f>_xll.ohRangeRetrieveError(D73)</f>
        <v/>
      </c>
      <c r="F73" s="190"/>
      <c r="H73" s="182">
        <v>35</v>
      </c>
      <c r="I73" s="307" t="str">
        <f t="shared" si="7"/>
        <v>35x47F</v>
      </c>
      <c r="J73" s="308">
        <f>SynthFra!N43</f>
        <v>9.6385804723548487E-3</v>
      </c>
      <c r="K73" s="242"/>
      <c r="L73" s="311">
        <v>1.0156728741461287E-2</v>
      </c>
      <c r="M73" s="242"/>
      <c r="N73" s="313">
        <v>9.6385804723548487E-3</v>
      </c>
      <c r="O73" s="314">
        <f>_xll.qlSimpleQuoteSetValue(D73,ROUND(N73,6),EvaluationDate)</f>
        <v>0</v>
      </c>
      <c r="P73" s="186"/>
    </row>
    <row r="74" spans="1:16" x14ac:dyDescent="0.2">
      <c r="A74" s="343">
        <v>37</v>
      </c>
      <c r="B74" s="326" t="str">
        <f t="shared" si="5"/>
        <v>37x49F</v>
      </c>
      <c r="C74" s="179" t="str">
        <f t="shared" si="6"/>
        <v>EUR37x49F_SYNTH1Y_Quote</v>
      </c>
      <c r="D74" s="327" t="str">
        <f>_xll.qlSimpleQuote(C74,,RateTickValue,Permanent,Trigger,ObjectOverwrite)</f>
        <v>EUR37x49F_SYNTH1Y_Quote#0000</v>
      </c>
      <c r="E74" s="320" t="str">
        <f>_xll.ohRangeRetrieveError(D74)</f>
        <v/>
      </c>
      <c r="F74" s="190"/>
      <c r="H74" s="182">
        <v>37</v>
      </c>
      <c r="I74" s="307" t="str">
        <f t="shared" si="7"/>
        <v>37x49F</v>
      </c>
      <c r="J74" s="308">
        <f>SynthFra!N45</f>
        <v>1.0197536758263565E-2</v>
      </c>
      <c r="K74" s="242"/>
      <c r="L74" s="311">
        <v>1.0891943923843465E-2</v>
      </c>
      <c r="M74" s="242"/>
      <c r="N74" s="313">
        <v>1.0197536758263565E-2</v>
      </c>
      <c r="O74" s="314">
        <f>_xll.qlSimpleQuoteSetValue(D74,ROUND(N74,6),EvaluationDate)</f>
        <v>0</v>
      </c>
      <c r="P74" s="186"/>
    </row>
    <row r="75" spans="1:16" x14ac:dyDescent="0.2">
      <c r="A75" s="343">
        <v>38</v>
      </c>
      <c r="B75" s="326" t="str">
        <f t="shared" si="5"/>
        <v>38x50F</v>
      </c>
      <c r="C75" s="179" t="str">
        <f t="shared" si="6"/>
        <v>EUR38x50F_SYNTH1Y_Quote</v>
      </c>
      <c r="D75" s="327" t="str">
        <f>_xll.qlSimpleQuote(C75,,RateTickValue,Permanent,Trigger,ObjectOverwrite)</f>
        <v>EUR38x50F_SYNTH1Y_Quote#0000</v>
      </c>
      <c r="E75" s="320" t="str">
        <f>_xll.ohRangeRetrieveError(D75)</f>
        <v/>
      </c>
      <c r="F75" s="190"/>
      <c r="H75" s="182">
        <v>38</v>
      </c>
      <c r="I75" s="307" t="str">
        <f t="shared" si="7"/>
        <v>38x50F</v>
      </c>
      <c r="J75" s="308">
        <f>SynthFra!N46</f>
        <v>1.0471909993669554E-2</v>
      </c>
      <c r="K75" s="242"/>
      <c r="L75" s="311">
        <v>1.1251224503790555E-2</v>
      </c>
      <c r="M75" s="242"/>
      <c r="N75" s="313">
        <v>1.0471909993669554E-2</v>
      </c>
      <c r="O75" s="314">
        <f>_xll.qlSimpleQuoteSetValue(D75,ROUND(N75,6),EvaluationDate)</f>
        <v>0</v>
      </c>
      <c r="P75" s="186"/>
    </row>
    <row r="76" spans="1:16" x14ac:dyDescent="0.2">
      <c r="A76" s="343">
        <v>39</v>
      </c>
      <c r="B76" s="326" t="str">
        <f t="shared" si="5"/>
        <v>39x51F</v>
      </c>
      <c r="C76" s="179" t="str">
        <f t="shared" si="6"/>
        <v>EUR39x51F_SYNTH1Y_Quote</v>
      </c>
      <c r="D76" s="327" t="str">
        <f>_xll.qlSimpleQuote(C76,,RateTickValue,Permanent,Trigger,ObjectOverwrite)</f>
        <v>EUR39x51F_SYNTH1Y_Quote#0000</v>
      </c>
      <c r="E76" s="320" t="str">
        <f>_xll.ohRangeRetrieveError(D76)</f>
        <v/>
      </c>
      <c r="F76" s="190"/>
      <c r="H76" s="182">
        <v>39</v>
      </c>
      <c r="I76" s="307" t="str">
        <f t="shared" si="7"/>
        <v>39x51F</v>
      </c>
      <c r="J76" s="308">
        <f>SynthFra!N47</f>
        <v>1.0778475558643667E-2</v>
      </c>
      <c r="K76" s="242"/>
      <c r="L76" s="311">
        <v>1.1648647084713675E-2</v>
      </c>
      <c r="M76" s="242"/>
      <c r="N76" s="313">
        <v>1.0778475558643667E-2</v>
      </c>
      <c r="O76" s="314">
        <f>_xll.qlSimpleQuoteSetValue(D76,ROUND(N76,6),EvaluationDate)</f>
        <v>0</v>
      </c>
      <c r="P76" s="186"/>
    </row>
    <row r="77" spans="1:16" x14ac:dyDescent="0.2">
      <c r="A77" s="343">
        <v>40</v>
      </c>
      <c r="B77" s="326" t="str">
        <f t="shared" si="5"/>
        <v>40x52F</v>
      </c>
      <c r="C77" s="179" t="str">
        <f t="shared" si="6"/>
        <v>EUR40x52F_SYNTH1Y_Quote</v>
      </c>
      <c r="D77" s="327" t="str">
        <f>_xll.qlSimpleQuote(C77,,RateTickValue,Permanent,Trigger,ObjectOverwrite)</f>
        <v>EUR40x52F_SYNTH1Y_Quote#0000</v>
      </c>
      <c r="E77" s="320" t="str">
        <f>_xll.ohRangeRetrieveError(D77)</f>
        <v/>
      </c>
      <c r="F77" s="190"/>
      <c r="H77" s="182">
        <v>40</v>
      </c>
      <c r="I77" s="307" t="str">
        <f t="shared" si="7"/>
        <v>40x52F</v>
      </c>
      <c r="J77" s="308">
        <f>SynthFra!N48</f>
        <v>1.1042258213133524E-2</v>
      </c>
      <c r="K77" s="242"/>
      <c r="L77" s="311">
        <v>1.1987429318313512E-2</v>
      </c>
      <c r="M77" s="242"/>
      <c r="N77" s="313">
        <v>1.1042258213133524E-2</v>
      </c>
      <c r="O77" s="314">
        <f>_xll.qlSimpleQuoteSetValue(D77,ROUND(N77,6),EvaluationDate)</f>
        <v>0</v>
      </c>
      <c r="P77" s="186"/>
    </row>
    <row r="78" spans="1:16" x14ac:dyDescent="0.2">
      <c r="A78" s="343">
        <v>41</v>
      </c>
      <c r="B78" s="326" t="str">
        <f t="shared" si="5"/>
        <v>41x53F</v>
      </c>
      <c r="C78" s="179" t="str">
        <f t="shared" si="6"/>
        <v>EUR41x53F_SYNTH1Y_Quote</v>
      </c>
      <c r="D78" s="327" t="str">
        <f>_xll.qlSimpleQuote(C78,,RateTickValue,Permanent,Trigger,ObjectOverwrite)</f>
        <v>EUR41x53F_SYNTH1Y_Quote#0000</v>
      </c>
      <c r="E78" s="320" t="str">
        <f>_xll.ohRangeRetrieveError(D78)</f>
        <v/>
      </c>
      <c r="F78" s="190"/>
      <c r="H78" s="182">
        <v>41</v>
      </c>
      <c r="I78" s="307" t="str">
        <f t="shared" si="7"/>
        <v>41x53F</v>
      </c>
      <c r="J78" s="308">
        <f>SynthFra!N49</f>
        <v>1.1337969219244712E-2</v>
      </c>
      <c r="K78" s="242"/>
      <c r="L78" s="311">
        <v>1.2363931768145289E-2</v>
      </c>
      <c r="M78" s="242"/>
      <c r="N78" s="313">
        <v>1.1337969219244712E-2</v>
      </c>
      <c r="O78" s="314">
        <f>_xll.qlSimpleQuoteSetValue(D78,ROUND(N78,6),EvaluationDate)</f>
        <v>0</v>
      </c>
      <c r="P78" s="186"/>
    </row>
    <row r="79" spans="1:16" x14ac:dyDescent="0.2">
      <c r="A79" s="343">
        <v>42</v>
      </c>
      <c r="B79" s="326" t="str">
        <f t="shared" si="5"/>
        <v>42x54F</v>
      </c>
      <c r="C79" s="179" t="str">
        <f t="shared" si="6"/>
        <v>EUR42x54F_SYNTH1Y_Quote</v>
      </c>
      <c r="D79" s="327" t="str">
        <f>_xll.qlSimpleQuote(C79,,RateTickValue,Permanent,Trigger,ObjectOverwrite)</f>
        <v>EUR42x54F_SYNTH1Y_Quote#0000</v>
      </c>
      <c r="E79" s="320" t="str">
        <f>_xll.ohRangeRetrieveError(D79)</f>
        <v/>
      </c>
      <c r="F79" s="190"/>
      <c r="H79" s="182">
        <v>42</v>
      </c>
      <c r="I79" s="307" t="str">
        <f t="shared" si="7"/>
        <v>42x54F</v>
      </c>
      <c r="J79" s="308">
        <f>SynthFra!N50</f>
        <v>1.1646975893250495E-2</v>
      </c>
      <c r="K79" s="242"/>
      <c r="L79" s="311">
        <v>1.2778263881708517E-2</v>
      </c>
      <c r="M79" s="242"/>
      <c r="N79" s="313">
        <v>1.1646975893250495E-2</v>
      </c>
      <c r="O79" s="314">
        <f>_xll.qlSimpleQuoteSetValue(D79,ROUND(N79,6),EvaluationDate)</f>
        <v>0</v>
      </c>
      <c r="P79" s="186"/>
    </row>
    <row r="80" spans="1:16" x14ac:dyDescent="0.2">
      <c r="A80" s="343">
        <v>43</v>
      </c>
      <c r="B80" s="326" t="str">
        <f t="shared" si="5"/>
        <v>43x55F</v>
      </c>
      <c r="C80" s="179" t="str">
        <f t="shared" si="6"/>
        <v>EUR43x55F_SYNTH1Y_Quote</v>
      </c>
      <c r="D80" s="327" t="str">
        <f>_xll.qlSimpleQuote(C80,,RateTickValue,Permanent,Trigger,ObjectOverwrite)</f>
        <v>EUR43x55F_SYNTH1Y_Quote#0000</v>
      </c>
      <c r="E80" s="320" t="str">
        <f>_xll.ohRangeRetrieveError(D80)</f>
        <v/>
      </c>
      <c r="F80" s="190"/>
      <c r="H80" s="182">
        <v>43</v>
      </c>
      <c r="I80" s="307" t="str">
        <f t="shared" si="7"/>
        <v>43x55F</v>
      </c>
      <c r="J80" s="308">
        <f>SynthFra!N51</f>
        <v>1.1920250117607842E-2</v>
      </c>
      <c r="K80" s="242"/>
      <c r="L80" s="311">
        <v>1.3108091155920237E-2</v>
      </c>
      <c r="M80" s="242"/>
      <c r="N80" s="313">
        <v>1.1920250117607842E-2</v>
      </c>
      <c r="O80" s="314">
        <f>_xll.qlSimpleQuoteSetValue(D80,ROUND(N80,6),EvaluationDate)</f>
        <v>0</v>
      </c>
      <c r="P80" s="186"/>
    </row>
    <row r="81" spans="1:16" x14ac:dyDescent="0.2">
      <c r="A81" s="343">
        <v>44</v>
      </c>
      <c r="B81" s="326" t="str">
        <f t="shared" si="5"/>
        <v>44x56F</v>
      </c>
      <c r="C81" s="179" t="str">
        <f t="shared" si="6"/>
        <v>EUR44x56F_SYNTH1Y_Quote</v>
      </c>
      <c r="D81" s="327" t="str">
        <f>_xll.qlSimpleQuote(C81,,RateTickValue,Permanent,Trigger,ObjectOverwrite)</f>
        <v>EUR44x56F_SYNTH1Y_Quote#0000</v>
      </c>
      <c r="E81" s="320" t="str">
        <f>_xll.ohRangeRetrieveError(D81)</f>
        <v/>
      </c>
      <c r="F81" s="190"/>
      <c r="H81" s="182">
        <v>44</v>
      </c>
      <c r="I81" s="307" t="str">
        <f t="shared" si="7"/>
        <v>44x56F</v>
      </c>
      <c r="J81" s="308">
        <f>SynthFra!N52</f>
        <v>1.2215797391385366E-2</v>
      </c>
      <c r="K81" s="242"/>
      <c r="L81" s="311">
        <v>1.3499794465815278E-2</v>
      </c>
      <c r="M81" s="242"/>
      <c r="N81" s="313">
        <v>1.2215797391385366E-2</v>
      </c>
      <c r="O81" s="314">
        <f>_xll.qlSimpleQuoteSetValue(D81,ROUND(N81,6),EvaluationDate)</f>
        <v>0</v>
      </c>
      <c r="P81" s="186"/>
    </row>
    <row r="82" spans="1:16" x14ac:dyDescent="0.2">
      <c r="A82" s="343">
        <v>45</v>
      </c>
      <c r="B82" s="326" t="str">
        <f t="shared" si="5"/>
        <v>45x57F</v>
      </c>
      <c r="C82" s="179" t="str">
        <f t="shared" si="6"/>
        <v>EUR45x57F_SYNTH1Y_Quote</v>
      </c>
      <c r="D82" s="327" t="str">
        <f>_xll.qlSimpleQuote(C82,,RateTickValue,Permanent,Trigger,ObjectOverwrite)</f>
        <v>EUR45x57F_SYNTH1Y_Quote#0000</v>
      </c>
      <c r="E82" s="320" t="str">
        <f>_xll.ohRangeRetrieveError(D82)</f>
        <v/>
      </c>
      <c r="F82" s="190"/>
      <c r="H82" s="182">
        <v>45</v>
      </c>
      <c r="I82" s="307" t="str">
        <f t="shared" si="7"/>
        <v>45x57F</v>
      </c>
      <c r="J82" s="308">
        <f>SynthFra!N53</f>
        <v>1.2524215335454961E-2</v>
      </c>
      <c r="K82" s="242"/>
      <c r="L82" s="311">
        <v>1.3842737344643009E-2</v>
      </c>
      <c r="M82" s="242"/>
      <c r="N82" s="313">
        <v>1.2524215335454961E-2</v>
      </c>
      <c r="O82" s="314">
        <f>_xll.qlSimpleQuoteSetValue(D82,ROUND(N82,6),EvaluationDate)</f>
        <v>0</v>
      </c>
      <c r="P82" s="186"/>
    </row>
    <row r="83" spans="1:16" x14ac:dyDescent="0.2">
      <c r="A83" s="343">
        <v>46</v>
      </c>
      <c r="B83" s="326" t="str">
        <f t="shared" si="5"/>
        <v>46x58F</v>
      </c>
      <c r="C83" s="179" t="str">
        <f t="shared" si="6"/>
        <v>EUR46x58F_SYNTH1Y_Quote</v>
      </c>
      <c r="D83" s="327" t="str">
        <f>_xll.qlSimpleQuote(C83,,RateTickValue,Permanent,Trigger,ObjectOverwrite)</f>
        <v>EUR46x58F_SYNTH1Y_Quote#0000</v>
      </c>
      <c r="E83" s="320" t="str">
        <f>_xll.ohRangeRetrieveError(D83)</f>
        <v/>
      </c>
      <c r="F83" s="190"/>
      <c r="H83" s="182">
        <v>46</v>
      </c>
      <c r="I83" s="307" t="str">
        <f t="shared" si="7"/>
        <v>46x58F</v>
      </c>
      <c r="J83" s="308">
        <f>SynthFra!N54</f>
        <v>1.2824499555509333E-2</v>
      </c>
      <c r="K83" s="242"/>
      <c r="L83" s="311">
        <v>1.4210090520771962E-2</v>
      </c>
      <c r="M83" s="242"/>
      <c r="N83" s="313">
        <v>1.2824499555509333E-2</v>
      </c>
      <c r="O83" s="314">
        <f>_xll.qlSimpleQuoteSetValue(D83,ROUND(N83,6),EvaluationDate)</f>
        <v>0</v>
      </c>
      <c r="P83" s="186"/>
    </row>
    <row r="84" spans="1:16" ht="12" thickBot="1" x14ac:dyDescent="0.25">
      <c r="A84" s="344">
        <v>47</v>
      </c>
      <c r="B84" s="329" t="str">
        <f t="shared" si="5"/>
        <v>47x59F</v>
      </c>
      <c r="C84" s="274" t="str">
        <f t="shared" si="6"/>
        <v>EUR47x59F_SYNTH1Y_Quote</v>
      </c>
      <c r="D84" s="341" t="str">
        <f>_xll.qlSimpleQuote(C84,,RateTickValue,Permanent,Trigger,ObjectOverwrite)</f>
        <v>EUR47x59F_SYNTH1Y_Quote#0000</v>
      </c>
      <c r="E84" s="331" t="str">
        <f>_xll.ohRangeRetrieveError(D84)</f>
        <v/>
      </c>
      <c r="F84" s="190"/>
      <c r="H84" s="182">
        <v>47</v>
      </c>
      <c r="I84" s="309" t="str">
        <f t="shared" si="7"/>
        <v>47x59F</v>
      </c>
      <c r="J84" s="310">
        <f>SynthFra!N55</f>
        <v>1.312716054811601E-2</v>
      </c>
      <c r="K84" s="242"/>
      <c r="L84" s="312">
        <v>1.4577456619592477E-2</v>
      </c>
      <c r="M84" s="242"/>
      <c r="N84" s="351">
        <v>1.312716054811601E-2</v>
      </c>
      <c r="O84" s="352">
        <f>_xll.qlSimpleQuoteSetValue(D84,ROUND(N84,6),EvaluationDate)</f>
        <v>0</v>
      </c>
      <c r="P84" s="186"/>
    </row>
    <row r="85" spans="1:16" ht="12" thickBot="1" x14ac:dyDescent="0.25">
      <c r="A85" s="191"/>
      <c r="B85" s="263"/>
      <c r="C85" s="264"/>
      <c r="D85" s="264"/>
      <c r="E85" s="264"/>
      <c r="F85" s="192"/>
      <c r="H85" s="187"/>
      <c r="I85" s="188"/>
      <c r="J85" s="188"/>
      <c r="K85" s="188"/>
      <c r="L85" s="188"/>
      <c r="M85" s="188"/>
      <c r="N85" s="188"/>
      <c r="O85" s="188"/>
      <c r="P85" s="189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1.25" x14ac:dyDescent="0.2"/>
  <cols>
    <col min="1" max="1" width="2.83203125" style="381" customWidth="1"/>
    <col min="2" max="2" width="28.6640625" style="381" bestFit="1" customWidth="1"/>
    <col min="3" max="3" width="20.83203125" style="381" customWidth="1"/>
    <col min="4" max="5" width="20.83203125" style="381" bestFit="1" customWidth="1"/>
    <col min="6" max="6" width="18.5" style="381" hidden="1" customWidth="1"/>
    <col min="7" max="7" width="10" style="381" bestFit="1" customWidth="1"/>
    <col min="8" max="8" width="14.1640625" style="381" bestFit="1" customWidth="1"/>
    <col min="9" max="9" width="10" style="381" bestFit="1" customWidth="1"/>
    <col min="10" max="10" width="9.33203125" style="381" hidden="1" customWidth="1"/>
    <col min="11" max="11" width="10.5" style="381" bestFit="1" customWidth="1"/>
    <col min="12" max="16384" width="9.33203125" style="381"/>
  </cols>
  <sheetData>
    <row r="1" spans="1:10" ht="12" thickBot="1" x14ac:dyDescent="0.25"/>
    <row r="2" spans="1:10" ht="23.25" customHeight="1" thickBot="1" x14ac:dyDescent="0.25">
      <c r="B2" s="396" t="s">
        <v>148</v>
      </c>
      <c r="C2" s="396" t="s">
        <v>106</v>
      </c>
      <c r="D2" s="397" t="s">
        <v>127</v>
      </c>
      <c r="E2" s="420" t="s">
        <v>128</v>
      </c>
      <c r="F2" s="420"/>
      <c r="G2" s="420" t="s">
        <v>154</v>
      </c>
      <c r="H2" s="398" t="s">
        <v>45</v>
      </c>
      <c r="I2" s="431" t="s">
        <v>149</v>
      </c>
    </row>
    <row r="3" spans="1:10" x14ac:dyDescent="0.2">
      <c r="B3" s="403" t="s">
        <v>155</v>
      </c>
      <c r="C3" s="402">
        <f>RateHelpersFra!G2</f>
        <v>4.8900000000000002E-3</v>
      </c>
      <c r="D3" s="400">
        <f>RateHelpersFra!K2</f>
        <v>41855</v>
      </c>
      <c r="E3" s="400">
        <f>RateHelpersFra!L2</f>
        <v>42220</v>
      </c>
      <c r="F3" s="400" t="str">
        <f>_xll.qlMakeDatedOIS(,D3,E3,OvernightIndex,0,"Act/360",0)</f>
        <v>obj_0069a#0025</v>
      </c>
      <c r="G3" s="422">
        <f>_xll.qlIndexFixing(IborIndex,SynthFra!G2,TRUE,InterestRatesTrigger)</f>
        <v>4.8900000000000063E-3</v>
      </c>
      <c r="H3" s="402">
        <f>SynthFra!L2</f>
        <v>5.999999997733207E-4</v>
      </c>
      <c r="I3" s="432">
        <f>SynthFra!M2</f>
        <v>4.2900000000000004E-3</v>
      </c>
      <c r="J3" s="426">
        <f>I3-H11</f>
        <v>0</v>
      </c>
    </row>
    <row r="4" spans="1:10" x14ac:dyDescent="0.2">
      <c r="B4" s="403" t="s">
        <v>150</v>
      </c>
      <c r="C4" s="402">
        <f>RateHelpersFra!G3</f>
        <v>5.3400000000000001E-3</v>
      </c>
      <c r="D4" s="400">
        <f>RateHelpersFra!K3</f>
        <v>42220</v>
      </c>
      <c r="E4" s="400">
        <f>RateHelpersFra!L3</f>
        <v>42586</v>
      </c>
      <c r="F4" s="400" t="str">
        <f>_xll.qlMakeDatedOIS(,D4,E4,OvernightIndex,0,"Act/360",0)</f>
        <v>obj_0069b#0024</v>
      </c>
      <c r="G4" s="422">
        <f>_xll.qlIndexFixing(IborIndex,SynthFra!G3,TRUE,InterestRatesTrigger)</f>
        <v>5.3400000000001268E-3</v>
      </c>
      <c r="H4" s="402">
        <f>SynthFra!L3</f>
        <v>8.5975812967063856E-4</v>
      </c>
      <c r="I4" s="432">
        <f>SynthFra!M3</f>
        <v>4.4799999999999996E-3</v>
      </c>
      <c r="J4" s="426">
        <f>I4-H23</f>
        <v>0</v>
      </c>
    </row>
    <row r="5" spans="1:10" x14ac:dyDescent="0.2">
      <c r="B5" s="403" t="s">
        <v>151</v>
      </c>
      <c r="C5" s="402">
        <f>RateHelpersFra!G4</f>
        <v>5.7800000000000004E-3</v>
      </c>
      <c r="D5" s="400">
        <f>RateHelpersFra!K4</f>
        <v>41855</v>
      </c>
      <c r="E5" s="400">
        <f>RateHelpersFra!L4</f>
        <v>42951</v>
      </c>
      <c r="F5" s="400" t="str">
        <f>_xll.qlMakeDatedOIS(,D5,E5,OvernightIndex,0,"Act/360",0)</f>
        <v>obj_0069c#0024</v>
      </c>
      <c r="G5" s="422">
        <f>_xll.qlIndexFixing(IborIndex,SynthFra!G4,TRUE,InterestRatesTrigger)</f>
        <v>6.8613081025686671E-3</v>
      </c>
      <c r="H5" s="402">
        <f>SynthFra!L4</f>
        <v>2.3545343331549864E-3</v>
      </c>
      <c r="I5" s="432">
        <f>SynthFra!M4</f>
        <v>4.5069999999999997E-3</v>
      </c>
      <c r="J5" s="426">
        <f>I5-H35</f>
        <v>0</v>
      </c>
    </row>
    <row r="6" spans="1:10" x14ac:dyDescent="0.2">
      <c r="B6" s="403" t="s">
        <v>152</v>
      </c>
      <c r="C6" s="402">
        <f>RateHelpersFra!G5</f>
        <v>6.8500000000000002E-3</v>
      </c>
      <c r="D6" s="400">
        <f>RateHelpersFra!K5</f>
        <v>41855</v>
      </c>
      <c r="E6" s="400">
        <f>RateHelpersFra!L5</f>
        <v>43318</v>
      </c>
      <c r="F6" s="400" t="str">
        <f>_xll.qlMakeDatedOIS(,D6,E6,OvernightIndex,0,"Act/360",0)</f>
        <v>obj_0069d#0024</v>
      </c>
      <c r="G6" s="422">
        <f>_xll.qlIndexFixing(IborIndex,SynthFra!G5,TRUE,InterestRatesTrigger)</f>
        <v>9.9274501952876758E-3</v>
      </c>
      <c r="H6" s="402">
        <f>SynthFra!L5</f>
        <v>4.9967362926392591E-3</v>
      </c>
      <c r="I6" s="432">
        <f>SynthFra!M5</f>
        <v>4.9309999999999996E-3</v>
      </c>
      <c r="J6" s="426">
        <f>I6-H47</f>
        <v>0</v>
      </c>
    </row>
    <row r="7" spans="1:10" ht="12" thickBot="1" x14ac:dyDescent="0.25">
      <c r="B7" s="405" t="s">
        <v>153</v>
      </c>
      <c r="C7" s="430">
        <f>RateHelpersFra!G6</f>
        <v>8.1900000000000011E-3</v>
      </c>
      <c r="D7" s="428">
        <f>RateHelpersFra!K6</f>
        <v>41855</v>
      </c>
      <c r="E7" s="428">
        <f>RateHelpersFra!L6</f>
        <v>43682</v>
      </c>
      <c r="F7" s="428" t="str">
        <f>_xll.qlMakeDatedOIS(,D7,E7,OvernightIndex,0,"Act/360",0)</f>
        <v>obj_0069e#0024</v>
      </c>
      <c r="G7" s="429">
        <f>_xll.qlIndexFixing(IborIndex,SynthFra!G6,TRUE,InterestRatesTrigger)</f>
        <v>1.3461872739445194E-2</v>
      </c>
      <c r="H7" s="430">
        <f>SynthFra!L6</f>
        <v>8.4981972510532241E-3</v>
      </c>
      <c r="I7" s="433">
        <f>SynthFra!M6</f>
        <v>4.9639999999999997E-3</v>
      </c>
      <c r="J7" s="426">
        <f>I7-H59</f>
        <v>0</v>
      </c>
    </row>
    <row r="9" spans="1:10" ht="12" thickBot="1" x14ac:dyDescent="0.25"/>
    <row r="10" spans="1:10" ht="23.25" thickBot="1" x14ac:dyDescent="0.25">
      <c r="A10" s="404"/>
      <c r="B10" s="396" t="s">
        <v>148</v>
      </c>
      <c r="C10" s="396" t="s">
        <v>126</v>
      </c>
      <c r="D10" s="397" t="s">
        <v>127</v>
      </c>
      <c r="E10" s="420" t="s">
        <v>128</v>
      </c>
      <c r="F10" s="420"/>
      <c r="G10" s="420" t="s">
        <v>45</v>
      </c>
      <c r="H10" s="398" t="s">
        <v>149</v>
      </c>
      <c r="I10" s="397" t="s">
        <v>142</v>
      </c>
      <c r="J10" s="425"/>
    </row>
    <row r="11" spans="1:10" x14ac:dyDescent="0.2">
      <c r="A11" s="268"/>
      <c r="B11" s="407" t="s">
        <v>155</v>
      </c>
      <c r="C11" s="416">
        <f>_xll.qlInterestRateIndexFixingDate(IborIndex,D11)</f>
        <v>41851</v>
      </c>
      <c r="D11" s="417">
        <f>SynthFra!I2</f>
        <v>41855</v>
      </c>
      <c r="E11" s="417">
        <f>_xll.qlCalendarAdvance(Calendar,D11,"1Y","mf")</f>
        <v>42220</v>
      </c>
      <c r="F11" s="417" t="str">
        <f>_xll.qlMakeDatedOIS(,D11,E11,OvernightIndex,0,"Act/360",0)</f>
        <v>obj_00669#0035</v>
      </c>
      <c r="G11" s="421">
        <f>_xll.qlOvernightIndexedSwapFairRate(F11,Contribution!$P$25)</f>
        <v>5.999999997733207E-4</v>
      </c>
      <c r="H11" s="419">
        <f t="array" ref="H11:H59">_xll.qlInterpolationInterpolate(BasisInterpolator,D11:D59,FALSE,_xll.ohTrigger(Trigger,InterestRatesTrigger))</f>
        <v>4.2900000000000004E-3</v>
      </c>
      <c r="I11" s="418">
        <f>G11+H11</f>
        <v>4.8899999997733213E-3</v>
      </c>
      <c r="J11" s="426">
        <f>SynthFra!N8-FRACharts!I11</f>
        <v>0</v>
      </c>
    </row>
    <row r="12" spans="1:10" x14ac:dyDescent="0.2">
      <c r="A12" s="268"/>
      <c r="B12" s="403" t="str">
        <f>"Synthetic FRA "&amp;SynthFra!F9&amp;"x"&amp;SynthFra!F9+12</f>
        <v>Synthetic FRA 1x13</v>
      </c>
      <c r="C12" s="399">
        <f>_xll.qlInterestRateIndexFixingDate(IborIndex,D12)</f>
        <v>41884</v>
      </c>
      <c r="D12" s="400">
        <f>SynthFra!I9</f>
        <v>41886</v>
      </c>
      <c r="E12" s="400">
        <f>_xll.qlCalendarAdvance(Calendar,D12,"1Y","mf")</f>
        <v>42251</v>
      </c>
      <c r="F12" s="400" t="str">
        <f>_xll.qlMakeDatedOIS(,D12,E12,OvernightIndex,0,"Act/360",0)</f>
        <v>obj_0066a#0022</v>
      </c>
      <c r="G12" s="422">
        <f>_xll.qlOvernightIndexedSwapFairRate(F12,Contribution!$P$25)</f>
        <v>5.8504959501168644E-4</v>
      </c>
      <c r="H12" s="402">
        <v>4.3127942630057691E-3</v>
      </c>
      <c r="I12" s="401">
        <f t="shared" ref="I12:I59" si="0">G12+H12</f>
        <v>4.8978438580174555E-3</v>
      </c>
      <c r="J12" s="426">
        <f>SynthFra!N9-FRACharts!I12</f>
        <v>0</v>
      </c>
    </row>
    <row r="13" spans="1:10" x14ac:dyDescent="0.2">
      <c r="A13" s="268"/>
      <c r="B13" s="403" t="str">
        <f>"Synthetic FRA "&amp;SynthFra!F10&amp;"x"&amp;SynthFra!F10+12</f>
        <v>Synthetic FRA 2x14</v>
      </c>
      <c r="C13" s="399">
        <f>_xll.qlInterestRateIndexFixingDate(IborIndex,D13)</f>
        <v>41914</v>
      </c>
      <c r="D13" s="400">
        <f>SynthFra!I10</f>
        <v>41918</v>
      </c>
      <c r="E13" s="400">
        <f>_xll.qlCalendarAdvance(Calendar,D13,"1Y","mf")</f>
        <v>42283</v>
      </c>
      <c r="F13" s="400" t="str">
        <f>_xll.qlMakeDatedOIS(,D13,E13,OvernightIndex,0,"Act/360",0)</f>
        <v>obj_00670#0022</v>
      </c>
      <c r="G13" s="422">
        <f>_xll.qlOvernightIndexedSwapFairRate(F13,Contribution!$P$25)</f>
        <v>5.6176066472716395E-4</v>
      </c>
      <c r="H13" s="402">
        <v>4.3360161360499168E-3</v>
      </c>
      <c r="I13" s="401">
        <f t="shared" si="0"/>
        <v>4.8977768007770804E-3</v>
      </c>
      <c r="J13" s="426">
        <f>SynthFra!N10-FRACharts!I13</f>
        <v>0</v>
      </c>
    </row>
    <row r="14" spans="1:10" x14ac:dyDescent="0.2">
      <c r="A14" s="268"/>
      <c r="B14" s="403" t="str">
        <f>"Synthetic FRA "&amp;SynthFra!F11&amp;"x"&amp;SynthFra!F11+12</f>
        <v>Synthetic FRA 3x15</v>
      </c>
      <c r="C14" s="399">
        <f>_xll.qlInterestRateIndexFixingDate(IborIndex,D14)</f>
        <v>41943</v>
      </c>
      <c r="D14" s="400">
        <f>SynthFra!I11</f>
        <v>41947</v>
      </c>
      <c r="E14" s="400">
        <f>_xll.qlCalendarAdvance(Calendar,D14,"1Y","mf")</f>
        <v>42312</v>
      </c>
      <c r="F14" s="400" t="str">
        <f>_xll.qlMakeDatedOIS(,D14,E14,OvernightIndex,0,"Act/360",0)</f>
        <v>obj_00676#0022</v>
      </c>
      <c r="G14" s="422">
        <f>_xll.qlOvernightIndexedSwapFairRate(F14,Contribution!$P$25)</f>
        <v>5.5729385370681134E-4</v>
      </c>
      <c r="H14" s="402">
        <v>4.3565267214026324E-3</v>
      </c>
      <c r="I14" s="401">
        <f t="shared" si="0"/>
        <v>4.9138205751094437E-3</v>
      </c>
      <c r="J14" s="426">
        <f>SynthFra!N11-FRACharts!I14</f>
        <v>0</v>
      </c>
    </row>
    <row r="15" spans="1:10" x14ac:dyDescent="0.2">
      <c r="A15" s="268"/>
      <c r="B15" s="403" t="str">
        <f>"Synthetic FRA "&amp;SynthFra!F12&amp;"x"&amp;SynthFra!F12+12</f>
        <v>Synthetic FRA 4x16</v>
      </c>
      <c r="C15" s="399">
        <f>_xll.qlInterestRateIndexFixingDate(IborIndex,D15)</f>
        <v>41975</v>
      </c>
      <c r="D15" s="400">
        <f>SynthFra!I12</f>
        <v>41977</v>
      </c>
      <c r="E15" s="400">
        <f>_xll.qlCalendarAdvance(Calendar,D15,"1Y","mf")</f>
        <v>42342</v>
      </c>
      <c r="F15" s="400" t="str">
        <f>_xll.qlMakeDatedOIS(,D15,E15,OvernightIndex,0,"Act/360",0)</f>
        <v>obj_0067c#0021</v>
      </c>
      <c r="G15" s="422">
        <f>_xll.qlOvernightIndexedSwapFairRate(F15,Contribution!$P$25)</f>
        <v>5.4910645987103334E-4</v>
      </c>
      <c r="H15" s="402">
        <v>4.3769485074118706E-3</v>
      </c>
      <c r="I15" s="401">
        <f t="shared" si="0"/>
        <v>4.926054967282904E-3</v>
      </c>
      <c r="J15" s="426">
        <f>SynthFra!N12-FRACharts!I15</f>
        <v>0</v>
      </c>
    </row>
    <row r="16" spans="1:10" x14ac:dyDescent="0.2">
      <c r="A16" s="268"/>
      <c r="B16" s="403" t="str">
        <f>"Synthetic FRA "&amp;SynthFra!F13&amp;"x"&amp;SynthFra!F13+12</f>
        <v>Synthetic FRA 5x17</v>
      </c>
      <c r="C16" s="399">
        <f>_xll.qlInterestRateIndexFixingDate(IborIndex,D16)</f>
        <v>42004</v>
      </c>
      <c r="D16" s="400">
        <f>SynthFra!I13</f>
        <v>42009</v>
      </c>
      <c r="E16" s="400">
        <f>_xll.qlCalendarAdvance(Calendar,D16,"1Y","mf")</f>
        <v>42374</v>
      </c>
      <c r="F16" s="400" t="str">
        <f>_xll.qlMakeDatedOIS(,D16,E16,OvernightIndex,0,"Act/360",0)</f>
        <v>obj_00682#0019</v>
      </c>
      <c r="G16" s="422">
        <f>_xll.qlOvernightIndexedSwapFairRate(F16,Contribution!$P$25)</f>
        <v>5.4680103239296046E-4</v>
      </c>
      <c r="H16" s="402">
        <v>4.3975462971664447E-3</v>
      </c>
      <c r="I16" s="401">
        <f t="shared" si="0"/>
        <v>4.9443473295594049E-3</v>
      </c>
      <c r="J16" s="426">
        <f>SynthFra!N13-FRACharts!I16</f>
        <v>0</v>
      </c>
    </row>
    <row r="17" spans="1:10" x14ac:dyDescent="0.2">
      <c r="A17" s="268"/>
      <c r="B17" s="403" t="str">
        <f>"Synthetic FRA "&amp;SynthFra!F14&amp;"x"&amp;SynthFra!F14+12</f>
        <v>Synthetic FRA 6x18</v>
      </c>
      <c r="C17" s="399">
        <f>_xll.qlInterestRateIndexFixingDate(IborIndex,D17)</f>
        <v>42037</v>
      </c>
      <c r="D17" s="400">
        <f>SynthFra!I14</f>
        <v>42039</v>
      </c>
      <c r="E17" s="400">
        <f>_xll.qlCalendarAdvance(Calendar,D17,"1Y","mf")</f>
        <v>42404</v>
      </c>
      <c r="F17" s="400" t="str">
        <f>_xll.qlMakeDatedOIS(,D17,E17,OvernightIndex,0,"Act/360",0)</f>
        <v>obj_00688#0019</v>
      </c>
      <c r="G17" s="422">
        <f>_xll.qlOvernightIndexedSwapFairRate(F17,Contribution!$P$25)</f>
        <v>5.6470294929109835E-4</v>
      </c>
      <c r="H17" s="402">
        <v>4.4154675274184502E-3</v>
      </c>
      <c r="I17" s="401">
        <f t="shared" si="0"/>
        <v>4.9801704767095485E-3</v>
      </c>
      <c r="J17" s="426">
        <f>SynthFra!N14-FRACharts!I17</f>
        <v>0</v>
      </c>
    </row>
    <row r="18" spans="1:10" x14ac:dyDescent="0.2">
      <c r="A18" s="268"/>
      <c r="B18" s="403" t="str">
        <f>"Synthetic FRA "&amp;SynthFra!F15&amp;"x"&amp;SynthFra!F15+12</f>
        <v>Synthetic FRA 7x19</v>
      </c>
      <c r="C18" s="399">
        <f>_xll.qlInterestRateIndexFixingDate(IborIndex,D18)</f>
        <v>42065</v>
      </c>
      <c r="D18" s="400">
        <f>SynthFra!I15</f>
        <v>42067</v>
      </c>
      <c r="E18" s="400">
        <f>_xll.qlCalendarAdvance(Calendar,D18,"1Y","mf")</f>
        <v>42433</v>
      </c>
      <c r="F18" s="400" t="str">
        <f>_xll.qlMakeDatedOIS(,D18,E18,OvernightIndex,0,"Act/360",0)</f>
        <v>obj_0068e#0019</v>
      </c>
      <c r="G18" s="422">
        <f>_xll.qlOvernightIndexedSwapFairRate(F18,Contribution!$P$25)</f>
        <v>5.6272132517927605E-4</v>
      </c>
      <c r="H18" s="402">
        <v>4.4307437619853021E-3</v>
      </c>
      <c r="I18" s="401">
        <f t="shared" si="0"/>
        <v>4.9934650871645784E-3</v>
      </c>
      <c r="J18" s="426">
        <f>SynthFra!N15-FRACharts!I18</f>
        <v>0</v>
      </c>
    </row>
    <row r="19" spans="1:10" x14ac:dyDescent="0.2">
      <c r="A19" s="268"/>
      <c r="B19" s="403" t="str">
        <f>"Synthetic FRA "&amp;SynthFra!F16&amp;"x"&amp;SynthFra!F16+12</f>
        <v>Synthetic FRA 8x20</v>
      </c>
      <c r="C19" s="399">
        <f>_xll.qlInterestRateIndexFixingDate(IborIndex,D19)</f>
        <v>42095</v>
      </c>
      <c r="D19" s="400">
        <f>SynthFra!I16</f>
        <v>42101</v>
      </c>
      <c r="E19" s="400">
        <f>_xll.qlCalendarAdvance(Calendar,D19,"1Y","mf")</f>
        <v>42467</v>
      </c>
      <c r="F19" s="400" t="str">
        <f>_xll.qlMakeDatedOIS(,D19,E19,OvernightIndex,0,"Act/360",0)</f>
        <v>obj_00694#0019</v>
      </c>
      <c r="G19" s="422">
        <f>_xll.qlOvernightIndexedSwapFairRate(F19,Contribution!$P$25)</f>
        <v>5.930014991555794E-4</v>
      </c>
      <c r="H19" s="402">
        <v>4.4470961271162136E-3</v>
      </c>
      <c r="I19" s="401">
        <f t="shared" si="0"/>
        <v>5.0400976262717934E-3</v>
      </c>
      <c r="J19" s="426">
        <f>SynthFra!N16-FRACharts!I19</f>
        <v>0</v>
      </c>
    </row>
    <row r="20" spans="1:10" x14ac:dyDescent="0.2">
      <c r="A20" s="268"/>
      <c r="B20" s="403" t="str">
        <f>"Synthetic FRA "&amp;SynthFra!F17&amp;"x"&amp;SynthFra!F17+12</f>
        <v>Synthetic FRA 9x21</v>
      </c>
      <c r="C20" s="399">
        <f>_xll.qlInterestRateIndexFixingDate(IborIndex,D20)</f>
        <v>42123</v>
      </c>
      <c r="D20" s="400">
        <f>SynthFra!I17</f>
        <v>42128</v>
      </c>
      <c r="E20" s="400">
        <f>_xll.qlCalendarAdvance(Calendar,D20,"1Y","mf")</f>
        <v>42494</v>
      </c>
      <c r="F20" s="400" t="str">
        <f>_xll.qlMakeDatedOIS(,D20,E20,OvernightIndex,0,"Act/360",0)</f>
        <v>obj_0066b#0019</v>
      </c>
      <c r="G20" s="422">
        <f>_xll.qlOvernightIndexedSwapFairRate(F20,Contribution!$P$25)</f>
        <v>6.4257294582789116E-4</v>
      </c>
      <c r="H20" s="402">
        <v>4.4581270202513771E-3</v>
      </c>
      <c r="I20" s="401">
        <f t="shared" si="0"/>
        <v>5.100699966079268E-3</v>
      </c>
      <c r="J20" s="426">
        <f>SynthFra!N17-FRACharts!I20</f>
        <v>0</v>
      </c>
    </row>
    <row r="21" spans="1:10" x14ac:dyDescent="0.2">
      <c r="A21" s="268"/>
      <c r="B21" s="403" t="str">
        <f>"Synthetic FRA "&amp;SynthFra!F18&amp;"x"&amp;SynthFra!F18+12</f>
        <v>Synthetic FRA 10x22</v>
      </c>
      <c r="C21" s="399">
        <f>_xll.qlInterestRateIndexFixingDate(IborIndex,D21)</f>
        <v>42157</v>
      </c>
      <c r="D21" s="400">
        <f>SynthFra!I18</f>
        <v>42159</v>
      </c>
      <c r="E21" s="400">
        <f>_xll.qlCalendarAdvance(Calendar,D21,"1Y","mf")</f>
        <v>42527</v>
      </c>
      <c r="F21" s="400" t="str">
        <f>_xll.qlMakeDatedOIS(,D21,E21,OvernightIndex,0,"Act/360",0)</f>
        <v>obj_00671#0018</v>
      </c>
      <c r="G21" s="422">
        <f>_xll.qlOvernightIndexedSwapFairRate(F21,Contribution!$P$25)</f>
        <v>7.0526863899445446E-4</v>
      </c>
      <c r="H21" s="402">
        <v>4.468389512520177E-3</v>
      </c>
      <c r="I21" s="401">
        <f t="shared" si="0"/>
        <v>5.1736581515146318E-3</v>
      </c>
      <c r="J21" s="426">
        <f>SynthFra!N18-FRACharts!I21</f>
        <v>0</v>
      </c>
    </row>
    <row r="22" spans="1:10" x14ac:dyDescent="0.2">
      <c r="A22" s="268"/>
      <c r="B22" s="403" t="str">
        <f>"Synthetic FRA "&amp;SynthFra!F19&amp;"x"&amp;SynthFra!F19+12</f>
        <v>Synthetic FRA 11x23</v>
      </c>
      <c r="C22" s="399">
        <f>_xll.qlInterestRateIndexFixingDate(IborIndex,D22)</f>
        <v>42187</v>
      </c>
      <c r="D22" s="400">
        <f>SynthFra!I19</f>
        <v>42191</v>
      </c>
      <c r="E22" s="400">
        <f>_xll.qlCalendarAdvance(Calendar,D22,"1Y","mf")</f>
        <v>42557</v>
      </c>
      <c r="F22" s="400" t="str">
        <f>_xll.qlMakeDatedOIS(,D22,E22,OvernightIndex,0,"Act/360",0)</f>
        <v>obj_00677#0018</v>
      </c>
      <c r="G22" s="422">
        <f>_xll.qlOvernightIndexedSwapFairRate(F22,Contribution!$P$25)</f>
        <v>7.868143852139619E-4</v>
      </c>
      <c r="H22" s="402">
        <v>4.4759945439328576E-3</v>
      </c>
      <c r="I22" s="401">
        <f t="shared" si="0"/>
        <v>5.2628089291468193E-3</v>
      </c>
      <c r="J22" s="426">
        <f>SynthFra!N19-FRACharts!I22</f>
        <v>0</v>
      </c>
    </row>
    <row r="23" spans="1:10" x14ac:dyDescent="0.2">
      <c r="A23" s="268"/>
      <c r="B23" s="407" t="str">
        <f>"FRA "&amp;SynthFra!F20&amp;"x"&amp;SynthFra!F20+12</f>
        <v>FRA 12x24</v>
      </c>
      <c r="C23" s="412">
        <f>_xll.qlInterestRateIndexFixingDate(IborIndex,D23)</f>
        <v>42216</v>
      </c>
      <c r="D23" s="413">
        <f>SynthFra!I3</f>
        <v>42220</v>
      </c>
      <c r="E23" s="413">
        <f>_xll.qlCalendarAdvance(Calendar,D23,"1Y","mf")</f>
        <v>42586</v>
      </c>
      <c r="F23" s="413" t="str">
        <f>_xll.qlMakeDatedOIS(,D23,E23,OvernightIndex,0,"Act/360",0)</f>
        <v>obj_0067d#0014</v>
      </c>
      <c r="G23" s="423">
        <f>_xll.qlOvernightIndexedSwapFairRate(F23,Contribution!$P$25)</f>
        <v>8.5975812967063856E-4</v>
      </c>
      <c r="H23" s="415">
        <v>4.4799999999999996E-3</v>
      </c>
      <c r="I23" s="414">
        <f t="shared" si="0"/>
        <v>5.3397581296706379E-3</v>
      </c>
      <c r="J23" s="426">
        <f>SynthFra!N20-FRACharts!I23</f>
        <v>0</v>
      </c>
    </row>
    <row r="24" spans="1:10" x14ac:dyDescent="0.2">
      <c r="A24" s="268"/>
      <c r="B24" s="403" t="str">
        <f>"Synthetic FRA "&amp;SynthFra!F21&amp;"x"&amp;SynthFra!F21+12</f>
        <v>Synthetic FRA 13x25</v>
      </c>
      <c r="C24" s="399">
        <f>_xll.qlInterestRateIndexFixingDate(IborIndex,D24)</f>
        <v>42249</v>
      </c>
      <c r="D24" s="400">
        <f>SynthFra!I21</f>
        <v>42251</v>
      </c>
      <c r="E24" s="400">
        <f>_xll.qlCalendarAdvance(Calendar,D24,"1Y","mf")</f>
        <v>42618</v>
      </c>
      <c r="F24" s="400" t="str">
        <f>_xll.qlMakeDatedOIS(,D24,E24,OvernightIndex,0,"Act/360",0)</f>
        <v>obj_00683#0014</v>
      </c>
      <c r="G24" s="422">
        <f>_xll.qlOvernightIndexedSwapFairRate(F24,Contribution!$P$25)</f>
        <v>9.4803799160475565E-4</v>
      </c>
      <c r="H24" s="402">
        <v>4.4822999232971604E-3</v>
      </c>
      <c r="I24" s="401">
        <f t="shared" si="0"/>
        <v>5.4303379149019159E-3</v>
      </c>
      <c r="J24" s="426">
        <f>SynthFra!N21-FRACharts!I24</f>
        <v>0</v>
      </c>
    </row>
    <row r="25" spans="1:10" x14ac:dyDescent="0.2">
      <c r="A25" s="268"/>
      <c r="B25" s="403" t="str">
        <f>"Synthetic FRA "&amp;SynthFra!F22&amp;"x"&amp;SynthFra!F22+12</f>
        <v>Synthetic FRA 14x26</v>
      </c>
      <c r="C25" s="399">
        <f>_xll.qlInterestRateIndexFixingDate(IborIndex,D25)</f>
        <v>42278</v>
      </c>
      <c r="D25" s="400">
        <f>SynthFra!I22</f>
        <v>42282</v>
      </c>
      <c r="E25" s="400">
        <f>_xll.qlCalendarAdvance(Calendar,D25,"1Y","mf")</f>
        <v>42648</v>
      </c>
      <c r="F25" s="400" t="str">
        <f>_xll.qlMakeDatedOIS(,D25,E25,OvernightIndex,0,"Act/360",0)</f>
        <v>obj_00689#0014</v>
      </c>
      <c r="G25" s="422">
        <f>_xll.qlOvernightIndexedSwapFairRate(F25,Contribution!$P$25)</f>
        <v>1.0442576174563194E-3</v>
      </c>
      <c r="H25" s="402">
        <v>4.4838921492848984E-3</v>
      </c>
      <c r="I25" s="401">
        <f t="shared" si="0"/>
        <v>5.5281497667412178E-3</v>
      </c>
      <c r="J25" s="426">
        <f>SynthFra!N22-FRACharts!I25</f>
        <v>0</v>
      </c>
    </row>
    <row r="26" spans="1:10" x14ac:dyDescent="0.2">
      <c r="A26" s="268"/>
      <c r="B26" s="403" t="str">
        <f>"Synthetic FRA "&amp;SynthFra!F23&amp;"x"&amp;SynthFra!F23+12</f>
        <v>Synthetic FRA 15x27</v>
      </c>
      <c r="C26" s="399">
        <f>_xll.qlInterestRateIndexFixingDate(IborIndex,D26)</f>
        <v>42310</v>
      </c>
      <c r="D26" s="400">
        <f>SynthFra!I23</f>
        <v>42312</v>
      </c>
      <c r="E26" s="400">
        <f>_xll.qlCalendarAdvance(Calendar,D26,"1Y","mf")</f>
        <v>42678</v>
      </c>
      <c r="F26" s="400" t="str">
        <f>_xll.qlMakeDatedOIS(,D26,E26,OvernightIndex,0,"Act/360",0)</f>
        <v>obj_0068f#0014</v>
      </c>
      <c r="G26" s="422">
        <f>_xll.qlOvernightIndexedSwapFairRate(F26,Contribution!$P$25)</f>
        <v>1.1462336475707195E-3</v>
      </c>
      <c r="H26" s="402">
        <v>4.4849624155911772E-3</v>
      </c>
      <c r="I26" s="401">
        <f t="shared" si="0"/>
        <v>5.6311960631618965E-3</v>
      </c>
      <c r="J26" s="426">
        <f>SynthFra!N23-FRACharts!I26</f>
        <v>0</v>
      </c>
    </row>
    <row r="27" spans="1:10" x14ac:dyDescent="0.2">
      <c r="A27" s="268"/>
      <c r="B27" s="403" t="str">
        <f>"Synthetic FRA "&amp;SynthFra!F24&amp;"x"&amp;SynthFra!F24+12</f>
        <v>Synthetic FRA 16x28</v>
      </c>
      <c r="C27" s="399">
        <f>_xll.qlInterestRateIndexFixingDate(IborIndex,D27)</f>
        <v>42340</v>
      </c>
      <c r="D27" s="400">
        <f>SynthFra!I24</f>
        <v>42342</v>
      </c>
      <c r="E27" s="400">
        <f>_xll.qlCalendarAdvance(Calendar,D27,"1Y","mf")</f>
        <v>42709</v>
      </c>
      <c r="F27" s="400" t="str">
        <f>_xll.qlMakeDatedOIS(,D27,E27,OvernightIndex,0,"Act/360",0)</f>
        <v>obj_00695#0014</v>
      </c>
      <c r="G27" s="422">
        <f>_xll.qlOvernightIndexedSwapFairRate(F27,Contribution!$P$25)</f>
        <v>1.254538712773213E-3</v>
      </c>
      <c r="H27" s="402">
        <v>4.4857675193058907E-3</v>
      </c>
      <c r="I27" s="401">
        <f t="shared" si="0"/>
        <v>5.7403062320791039E-3</v>
      </c>
      <c r="J27" s="426">
        <f>SynthFra!N24-FRACharts!I27</f>
        <v>0</v>
      </c>
    </row>
    <row r="28" spans="1:10" x14ac:dyDescent="0.2">
      <c r="A28" s="268"/>
      <c r="B28" s="403" t="str">
        <f>"Synthetic FRA "&amp;SynthFra!F25&amp;"x"&amp;SynthFra!F25+12</f>
        <v>Synthetic FRA 17x29</v>
      </c>
      <c r="C28" s="399">
        <f>_xll.qlInterestRateIndexFixingDate(IborIndex,D28)</f>
        <v>42368</v>
      </c>
      <c r="D28" s="400">
        <f>SynthFra!I25</f>
        <v>42373</v>
      </c>
      <c r="E28" s="400">
        <f>_xll.qlCalendarAdvance(Calendar,D28,"1Y","mf")</f>
        <v>42739</v>
      </c>
      <c r="F28" s="400" t="str">
        <f>_xll.qlMakeDatedOIS(,D28,E28,OvernightIndex,0,"Act/360",0)</f>
        <v>obj_0066c#0014</v>
      </c>
      <c r="G28" s="422">
        <f>_xll.qlOvernightIndexedSwapFairRate(F28,Contribution!$P$25)</f>
        <v>1.3675436419697527E-3</v>
      </c>
      <c r="H28" s="402">
        <v>4.4865286078816227E-3</v>
      </c>
      <c r="I28" s="401">
        <f t="shared" si="0"/>
        <v>5.8540722498513758E-3</v>
      </c>
      <c r="J28" s="426">
        <f>SynthFra!N25-FRACharts!I28</f>
        <v>0</v>
      </c>
    </row>
    <row r="29" spans="1:10" x14ac:dyDescent="0.2">
      <c r="A29" s="268"/>
      <c r="B29" s="403" t="str">
        <f>"Synthetic FRA "&amp;SynthFra!F26&amp;"x"&amp;SynthFra!F26+12</f>
        <v>Synthetic FRA 18x30</v>
      </c>
      <c r="C29" s="399">
        <f>_xll.qlInterestRateIndexFixingDate(IborIndex,D29)</f>
        <v>42402</v>
      </c>
      <c r="D29" s="400">
        <f>SynthFra!I26</f>
        <v>42404</v>
      </c>
      <c r="E29" s="400">
        <f>_xll.qlCalendarAdvance(Calendar,D29,"1Y","mf")</f>
        <v>42772</v>
      </c>
      <c r="F29" s="400" t="str">
        <f>_xll.qlMakeDatedOIS(,D29,E29,OvernightIndex,0,"Act/360",0)</f>
        <v>obj_00672#0014</v>
      </c>
      <c r="G29" s="422">
        <f>_xll.qlOvernightIndexedSwapFairRate(F29,Contribution!$P$25)</f>
        <v>1.4937061415228349E-3</v>
      </c>
      <c r="H29" s="402">
        <v>4.4874311243212339E-3</v>
      </c>
      <c r="I29" s="401">
        <f t="shared" si="0"/>
        <v>5.9811372658440691E-3</v>
      </c>
      <c r="J29" s="426">
        <f>SynthFra!N26-FRACharts!I29</f>
        <v>0</v>
      </c>
    </row>
    <row r="30" spans="1:10" x14ac:dyDescent="0.2">
      <c r="A30" s="268"/>
      <c r="B30" s="403" t="str">
        <f>"Synthetic FRA "&amp;SynthFra!F27&amp;"x"&amp;SynthFra!F27+12</f>
        <v>Synthetic FRA 19x31</v>
      </c>
      <c r="C30" s="399">
        <f>_xll.qlInterestRateIndexFixingDate(IborIndex,D30)</f>
        <v>42431</v>
      </c>
      <c r="D30" s="400">
        <f>SynthFra!I27</f>
        <v>42433</v>
      </c>
      <c r="E30" s="400">
        <f>_xll.qlCalendarAdvance(Calendar,D30,"1Y","mf")</f>
        <v>42800</v>
      </c>
      <c r="F30" s="400" t="str">
        <f>_xll.qlMakeDatedOIS(,D30,E30,OvernightIndex,0,"Act/360",0)</f>
        <v>obj_00678#0014</v>
      </c>
      <c r="G30" s="422">
        <f>_xll.qlOvernightIndexedSwapFairRate(F30,Contribution!$P$25)</f>
        <v>1.6125460263299001E-3</v>
      </c>
      <c r="H30" s="402">
        <v>4.488594579097332E-3</v>
      </c>
      <c r="I30" s="401">
        <f t="shared" si="0"/>
        <v>6.1011406054272323E-3</v>
      </c>
      <c r="J30" s="426">
        <f>SynthFra!N27-FRACharts!I30</f>
        <v>0</v>
      </c>
    </row>
    <row r="31" spans="1:10" x14ac:dyDescent="0.2">
      <c r="A31" s="268"/>
      <c r="B31" s="403" t="str">
        <f>"Synthetic FRA "&amp;SynthFra!F28&amp;"x"&amp;SynthFra!F28+12</f>
        <v>Synthetic FRA 20x32</v>
      </c>
      <c r="C31" s="399">
        <f>_xll.qlInterestRateIndexFixingDate(IborIndex,D31)</f>
        <v>42460</v>
      </c>
      <c r="D31" s="400">
        <f>SynthFra!I28</f>
        <v>42464</v>
      </c>
      <c r="E31" s="400">
        <f>_xll.qlCalendarAdvance(Calendar,D31,"1Y","mf")</f>
        <v>42829</v>
      </c>
      <c r="F31" s="400" t="str">
        <f>_xll.qlMakeDatedOIS(,D31,E31,OvernightIndex,0,"Act/360",0)</f>
        <v>obj_0067e#0014</v>
      </c>
      <c r="G31" s="422">
        <f>_xll.qlOvernightIndexedSwapFairRate(F31,Contribution!$P$25)</f>
        <v>1.7444610761902187E-3</v>
      </c>
      <c r="H31" s="402">
        <v>4.4903837596529453E-3</v>
      </c>
      <c r="I31" s="401">
        <f t="shared" si="0"/>
        <v>6.2348448358431636E-3</v>
      </c>
      <c r="J31" s="426">
        <f>SynthFra!N28-FRACharts!I31</f>
        <v>0</v>
      </c>
    </row>
    <row r="32" spans="1:10" x14ac:dyDescent="0.2">
      <c r="A32" s="268"/>
      <c r="B32" s="403" t="str">
        <f>"Synthetic FRA "&amp;SynthFra!F29&amp;"x"&amp;SynthFra!F29+12</f>
        <v>Synthetic FRA 21x33</v>
      </c>
      <c r="C32" s="399">
        <f>_xll.qlInterestRateIndexFixingDate(IborIndex,D32)</f>
        <v>42492</v>
      </c>
      <c r="D32" s="400">
        <f>SynthFra!I29</f>
        <v>42494</v>
      </c>
      <c r="E32" s="400">
        <f>_xll.qlCalendarAdvance(Calendar,D32,"1Y","mf")</f>
        <v>42859</v>
      </c>
      <c r="F32" s="400" t="str">
        <f>_xll.qlMakeDatedOIS(,D32,E32,OvernightIndex,0,"Act/360",0)</f>
        <v>obj_00684#0014</v>
      </c>
      <c r="G32" s="422">
        <f>_xll.qlOvernightIndexedSwapFairRate(F32,Contribution!$P$25)</f>
        <v>1.8835607413178509E-3</v>
      </c>
      <c r="H32" s="402">
        <v>4.492850720662328E-3</v>
      </c>
      <c r="I32" s="401">
        <f t="shared" si="0"/>
        <v>6.3764114619801792E-3</v>
      </c>
      <c r="J32" s="426">
        <f>SynthFra!N29-FRACharts!I32</f>
        <v>0</v>
      </c>
    </row>
    <row r="33" spans="1:10" x14ac:dyDescent="0.2">
      <c r="A33" s="268"/>
      <c r="B33" s="403" t="str">
        <f>"Synthetic FRA "&amp;SynthFra!F30&amp;"x"&amp;SynthFra!F30+12</f>
        <v>Synthetic FRA 22x34</v>
      </c>
      <c r="C33" s="399">
        <f>_xll.qlInterestRateIndexFixingDate(IborIndex,D33)</f>
        <v>42523</v>
      </c>
      <c r="D33" s="400">
        <f>SynthFra!I30</f>
        <v>42527</v>
      </c>
      <c r="E33" s="400">
        <f>_xll.qlCalendarAdvance(Calendar,D33,"1Y","mf")</f>
        <v>42892</v>
      </c>
      <c r="F33" s="400" t="str">
        <f>_xll.qlMakeDatedOIS(,D33,E33,OvernightIndex,0,"Act/360",0)</f>
        <v>obj_0068a#0014</v>
      </c>
      <c r="G33" s="422">
        <f>_xll.qlOvernightIndexedSwapFairRate(F33,Contribution!$P$25)</f>
        <v>2.0441693176770832E-3</v>
      </c>
      <c r="H33" s="402">
        <v>4.496635844871661E-3</v>
      </c>
      <c r="I33" s="401">
        <f t="shared" si="0"/>
        <v>6.5408051625487438E-3</v>
      </c>
      <c r="J33" s="426">
        <f>SynthFra!N30-FRACharts!I33</f>
        <v>0</v>
      </c>
    </row>
    <row r="34" spans="1:10" x14ac:dyDescent="0.2">
      <c r="A34" s="268"/>
      <c r="B34" s="403" t="str">
        <f>"Synthetic FRA "&amp;SynthFra!F31&amp;"x"&amp;SynthFra!F31+12</f>
        <v>Synthetic FRA 23x35</v>
      </c>
      <c r="C34" s="399">
        <f>_xll.qlInterestRateIndexFixingDate(IborIndex,D34)</f>
        <v>42551</v>
      </c>
      <c r="D34" s="400">
        <f>SynthFra!I31</f>
        <v>42555</v>
      </c>
      <c r="E34" s="400">
        <f>_xll.qlCalendarAdvance(Calendar,D34,"1Y","mf")</f>
        <v>42920</v>
      </c>
      <c r="F34" s="400" t="str">
        <f>_xll.qlMakeDatedOIS(,D34,E34,OvernightIndex,0,"Act/360",0)</f>
        <v>obj_00690#0014</v>
      </c>
      <c r="G34" s="422">
        <f>_xll.qlOvernightIndexedSwapFairRate(F34,Contribution!$P$25)</f>
        <v>2.1874232528349383E-3</v>
      </c>
      <c r="H34" s="402">
        <v>4.5009153424911859E-3</v>
      </c>
      <c r="I34" s="401">
        <f t="shared" si="0"/>
        <v>6.6883385953261237E-3</v>
      </c>
      <c r="J34" s="426">
        <f>SynthFra!N31-FRACharts!I34</f>
        <v>0</v>
      </c>
    </row>
    <row r="35" spans="1:10" x14ac:dyDescent="0.2">
      <c r="A35" s="268"/>
      <c r="B35" s="407" t="str">
        <f>"Swap/Impl FRA "&amp;SynthFra!F32&amp;"x"&amp;SynthFra!F32+12</f>
        <v>Swap/Impl FRA 24x36</v>
      </c>
      <c r="C35" s="412">
        <f>_xll.qlInterestRateIndexFixingDate(IborIndex,D35)</f>
        <v>42584</v>
      </c>
      <c r="D35" s="413">
        <f>SynthFra!I4</f>
        <v>42586</v>
      </c>
      <c r="E35" s="413">
        <f>_xll.qlCalendarAdvance(Calendar,D35,"1Y","mf")</f>
        <v>42951</v>
      </c>
      <c r="F35" s="413" t="str">
        <f>_xll.qlMakeDatedOIS(,D35,E35,OvernightIndex,0,"Act/360",0)</f>
        <v>obj_00696#0014</v>
      </c>
      <c r="G35" s="423">
        <f>_xll.qlOvernightIndexedSwapFairRate(F35,Contribution!$P$25)</f>
        <v>2.3545343331549864E-3</v>
      </c>
      <c r="H35" s="415">
        <v>4.5069999999999997E-3</v>
      </c>
      <c r="I35" s="414">
        <f t="shared" si="0"/>
        <v>6.8615343331549861E-3</v>
      </c>
      <c r="J35" s="426">
        <f>SynthFra!N32-FRACharts!I35</f>
        <v>0</v>
      </c>
    </row>
    <row r="36" spans="1:10" x14ac:dyDescent="0.2">
      <c r="A36" s="268"/>
      <c r="B36" s="403" t="str">
        <f>"Synthetic FRA "&amp;SynthFra!F33&amp;"x"&amp;SynthFra!F33+12</f>
        <v>Synthetic FRA 25x37</v>
      </c>
      <c r="C36" s="399">
        <f>_xll.qlInterestRateIndexFixingDate(IborIndex,D36)</f>
        <v>42614</v>
      </c>
      <c r="D36" s="400">
        <f>SynthFra!I33</f>
        <v>42618</v>
      </c>
      <c r="E36" s="400">
        <f>_xll.qlCalendarAdvance(Calendar,D36,"1Y","mf")</f>
        <v>42983</v>
      </c>
      <c r="F36" s="400" t="str">
        <f>_xll.qlMakeDatedOIS(,D36,E36,OvernightIndex,0,"Act/360",0)</f>
        <v>obj_0066d#0014</v>
      </c>
      <c r="G36" s="422">
        <f>_xll.qlOvernightIndexedSwapFairRate(F36,Contribution!$P$25)</f>
        <v>2.5372840834912108E-3</v>
      </c>
      <c r="H36" s="402">
        <v>4.5214096570005665E-3</v>
      </c>
      <c r="I36" s="401">
        <f t="shared" si="0"/>
        <v>7.0586937404917768E-3</v>
      </c>
      <c r="J36" s="426">
        <f>SynthFra!N33-FRACharts!I36</f>
        <v>0</v>
      </c>
    </row>
    <row r="37" spans="1:10" x14ac:dyDescent="0.2">
      <c r="A37" s="268"/>
      <c r="B37" s="403" t="str">
        <f>"Synthetic FRA "&amp;SynthFra!F34&amp;"x"&amp;SynthFra!F34+12</f>
        <v>Synthetic FRA 26x38</v>
      </c>
      <c r="C37" s="399">
        <f>_xll.qlInterestRateIndexFixingDate(IborIndex,D37)</f>
        <v>42643</v>
      </c>
      <c r="D37" s="400">
        <f>SynthFra!I34</f>
        <v>42647</v>
      </c>
      <c r="E37" s="400">
        <f>_xll.qlCalendarAdvance(Calendar,D37,"1Y","mf")</f>
        <v>43012</v>
      </c>
      <c r="F37" s="400" t="str">
        <f>_xll.qlMakeDatedOIS(,D37,E37,OvernightIndex,0,"Act/360",0)</f>
        <v>obj_00673#0014</v>
      </c>
      <c r="G37" s="422">
        <f>_xll.qlOvernightIndexedSwapFairRate(F37,Contribution!$P$25)</f>
        <v>2.7118228114120175E-3</v>
      </c>
      <c r="H37" s="402">
        <v>4.5456432243435292E-3</v>
      </c>
      <c r="I37" s="401">
        <f t="shared" si="0"/>
        <v>7.2574660357555467E-3</v>
      </c>
      <c r="J37" s="426">
        <f>SynthFra!N34-FRACharts!I37</f>
        <v>0</v>
      </c>
    </row>
    <row r="38" spans="1:10" x14ac:dyDescent="0.2">
      <c r="A38" s="268"/>
      <c r="B38" s="403" t="str">
        <f>"Synthetic FRA "&amp;SynthFra!F35&amp;"x"&amp;SynthFra!F35+12</f>
        <v>Synthetic FRA 27x39</v>
      </c>
      <c r="C38" s="399">
        <f>_xll.qlInterestRateIndexFixingDate(IborIndex,D38)</f>
        <v>42676</v>
      </c>
      <c r="D38" s="400">
        <f>SynthFra!I35</f>
        <v>42678</v>
      </c>
      <c r="E38" s="400">
        <f>_xll.qlCalendarAdvance(Calendar,D38,"1Y","mf")</f>
        <v>43045</v>
      </c>
      <c r="F38" s="400" t="str">
        <f>_xll.qlMakeDatedOIS(,D38,E38,OvernightIndex,0,"Act/360",0)</f>
        <v>obj_00679#0014</v>
      </c>
      <c r="G38" s="422">
        <f>_xll.qlOvernightIndexedSwapFairRate(F38,Contribution!$P$25)</f>
        <v>2.9145642146590758E-3</v>
      </c>
      <c r="H38" s="402">
        <v>4.5809443519695828E-3</v>
      </c>
      <c r="I38" s="401">
        <f t="shared" si="0"/>
        <v>7.4955085666286586E-3</v>
      </c>
      <c r="J38" s="426">
        <f>SynthFra!N35-FRACharts!I38</f>
        <v>0</v>
      </c>
    </row>
    <row r="39" spans="1:10" x14ac:dyDescent="0.2">
      <c r="A39" s="268"/>
      <c r="B39" s="403" t="str">
        <f>"Synthetic FRA "&amp;SynthFra!F36&amp;"x"&amp;SynthFra!F36+12</f>
        <v>Synthetic FRA 28x40</v>
      </c>
      <c r="C39" s="399">
        <f>_xll.qlInterestRateIndexFixingDate(IborIndex,D39)</f>
        <v>42705</v>
      </c>
      <c r="D39" s="400">
        <f>SynthFra!I36</f>
        <v>42709</v>
      </c>
      <c r="E39" s="400">
        <f>_xll.qlCalendarAdvance(Calendar,D39,"1Y","mf")</f>
        <v>43074</v>
      </c>
      <c r="F39" s="400" t="str">
        <f>_xll.qlMakeDatedOIS(,D39,E39,OvernightIndex,0,"Act/360",0)</f>
        <v>obj_0067f#0014</v>
      </c>
      <c r="G39" s="422">
        <f>_xll.qlOvernightIndexedSwapFairRate(F39,Contribution!$P$25)</f>
        <v>3.1122199812351767E-3</v>
      </c>
      <c r="H39" s="402">
        <v>4.6235495703713103E-3</v>
      </c>
      <c r="I39" s="401">
        <f t="shared" si="0"/>
        <v>7.735769551606487E-3</v>
      </c>
      <c r="J39" s="426">
        <f>SynthFra!N36-FRACharts!I39</f>
        <v>0</v>
      </c>
    </row>
    <row r="40" spans="1:10" x14ac:dyDescent="0.2">
      <c r="A40" s="268"/>
      <c r="B40" s="403" t="str">
        <f>"Synthetic FRA "&amp;SynthFra!F37&amp;"x"&amp;SynthFra!F37+12</f>
        <v>Synthetic FRA 29x41</v>
      </c>
      <c r="C40" s="399">
        <f>_xll.qlInterestRateIndexFixingDate(IborIndex,D40)</f>
        <v>42737</v>
      </c>
      <c r="D40" s="400">
        <f>SynthFra!I37</f>
        <v>42739</v>
      </c>
      <c r="E40" s="400">
        <f>_xll.qlCalendarAdvance(Calendar,D40,"1Y","mf")</f>
        <v>43104</v>
      </c>
      <c r="F40" s="400" t="str">
        <f>_xll.qlMakeDatedOIS(,D40,E40,OvernightIndex,0,"Act/360",0)</f>
        <v>obj_00685#0014</v>
      </c>
      <c r="G40" s="422">
        <f>_xll.qlOvernightIndexedSwapFairRate(F40,Contribution!$P$25)</f>
        <v>3.3187066851951192E-3</v>
      </c>
      <c r="H40" s="402">
        <v>4.6694194668918387E-3</v>
      </c>
      <c r="I40" s="401">
        <f t="shared" si="0"/>
        <v>7.9881261520869575E-3</v>
      </c>
      <c r="J40" s="426">
        <f>SynthFra!N37-FRACharts!I40</f>
        <v>0</v>
      </c>
    </row>
    <row r="41" spans="1:10" x14ac:dyDescent="0.2">
      <c r="A41" s="268"/>
      <c r="B41" s="403" t="str">
        <f>"Synthetic FRA "&amp;SynthFra!F38&amp;"x"&amp;SynthFra!F38+12</f>
        <v>Synthetic FRA 30x42</v>
      </c>
      <c r="C41" s="399">
        <f>_xll.qlInterestRateIndexFixingDate(IborIndex,D41)</f>
        <v>42768</v>
      </c>
      <c r="D41" s="400">
        <f>SynthFra!I38</f>
        <v>42772</v>
      </c>
      <c r="E41" s="400">
        <f>_xll.qlCalendarAdvance(Calendar,D41,"1Y","mf")</f>
        <v>43137</v>
      </c>
      <c r="F41" s="400" t="str">
        <f>_xll.qlMakeDatedOIS(,D41,E41,OvernightIndex,0,"Act/360",0)</f>
        <v>obj_0068b#0014</v>
      </c>
      <c r="G41" s="422">
        <f>_xll.qlOvernightIndexedSwapFairRate(F41,Contribution!$P$25)</f>
        <v>3.5549902974928117E-3</v>
      </c>
      <c r="H41" s="402">
        <v>4.7224589451968077E-3</v>
      </c>
      <c r="I41" s="401">
        <f t="shared" si="0"/>
        <v>8.2774492426896194E-3</v>
      </c>
      <c r="J41" s="426">
        <f>SynthFra!N38-FRACharts!I41</f>
        <v>0</v>
      </c>
    </row>
    <row r="42" spans="1:10" x14ac:dyDescent="0.2">
      <c r="A42" s="268"/>
      <c r="B42" s="403" t="str">
        <f>"Synthetic FRA "&amp;SynthFra!F39&amp;"x"&amp;SynthFra!F39+12</f>
        <v>Synthetic FRA 31x43</v>
      </c>
      <c r="C42" s="399">
        <f>_xll.qlInterestRateIndexFixingDate(IborIndex,D42)</f>
        <v>42796</v>
      </c>
      <c r="D42" s="400">
        <f>SynthFra!I39</f>
        <v>42800</v>
      </c>
      <c r="E42" s="400">
        <f>_xll.qlCalendarAdvance(Calendar,D42,"1Y","mf")</f>
        <v>43165</v>
      </c>
      <c r="F42" s="400" t="str">
        <f>_xll.qlMakeDatedOIS(,D42,E42,OvernightIndex,0,"Act/360",0)</f>
        <v>obj_00691#0014</v>
      </c>
      <c r="G42" s="422">
        <f>_xll.qlOvernightIndexedSwapFairRate(F42,Contribution!$P$25)</f>
        <v>3.7627181349260104E-3</v>
      </c>
      <c r="H42" s="402">
        <v>4.7674462888126585E-3</v>
      </c>
      <c r="I42" s="401">
        <f t="shared" si="0"/>
        <v>8.530164423738669E-3</v>
      </c>
      <c r="J42" s="426">
        <f>SynthFra!N39-FRACharts!I42</f>
        <v>0</v>
      </c>
    </row>
    <row r="43" spans="1:10" x14ac:dyDescent="0.2">
      <c r="A43" s="268"/>
      <c r="B43" s="403" t="str">
        <f>"Synthetic FRA "&amp;SynthFra!F40&amp;"x"&amp;SynthFra!F40+12</f>
        <v>Synthetic FRA 32x44</v>
      </c>
      <c r="C43" s="399">
        <f>_xll.qlInterestRateIndexFixingDate(IborIndex,D43)</f>
        <v>42825</v>
      </c>
      <c r="D43" s="400">
        <f>SynthFra!I40</f>
        <v>42829</v>
      </c>
      <c r="E43" s="400">
        <f>_xll.qlCalendarAdvance(Calendar,D43,"1Y","mf")</f>
        <v>43194</v>
      </c>
      <c r="F43" s="400" t="str">
        <f>_xll.qlMakeDatedOIS(,D43,E43,OvernightIndex,0,"Act/360",0)</f>
        <v>obj_00697#0014</v>
      </c>
      <c r="G43" s="422">
        <f>_xll.qlOvernightIndexedSwapFairRate(F43,Contribution!$P$25)</f>
        <v>3.9846168887703731E-3</v>
      </c>
      <c r="H43" s="402">
        <v>4.8119789743241818E-3</v>
      </c>
      <c r="I43" s="401">
        <f t="shared" si="0"/>
        <v>8.796595863094555E-3</v>
      </c>
      <c r="J43" s="426">
        <f>SynthFra!N40-FRACharts!I43</f>
        <v>0</v>
      </c>
    </row>
    <row r="44" spans="1:10" x14ac:dyDescent="0.2">
      <c r="A44" s="268"/>
      <c r="B44" s="403" t="str">
        <f>"Synthetic FRA "&amp;SynthFra!F41&amp;"x"&amp;SynthFra!F41+12</f>
        <v>Synthetic FRA 33x45</v>
      </c>
      <c r="C44" s="399">
        <f>_xll.qlInterestRateIndexFixingDate(IborIndex,D44)</f>
        <v>42857</v>
      </c>
      <c r="D44" s="400">
        <f>SynthFra!I41</f>
        <v>42859</v>
      </c>
      <c r="E44" s="400">
        <f>_xll.qlCalendarAdvance(Calendar,D44,"1Y","mf")</f>
        <v>43224</v>
      </c>
      <c r="F44" s="400" t="str">
        <f>_xll.qlMakeDatedOIS(,D44,E44,OvernightIndex,0,"Act/360",0)</f>
        <v>obj_0066e#0014</v>
      </c>
      <c r="G44" s="422">
        <f>_xll.qlOvernightIndexedSwapFairRate(F44,Contribution!$P$25)</f>
        <v>4.2211286913778926E-3</v>
      </c>
      <c r="H44" s="402">
        <v>4.8537222185878158E-3</v>
      </c>
      <c r="I44" s="401">
        <f t="shared" si="0"/>
        <v>9.0748509099657093E-3</v>
      </c>
      <c r="J44" s="426">
        <f>SynthFra!N41-FRACharts!I44</f>
        <v>0</v>
      </c>
    </row>
    <row r="45" spans="1:10" x14ac:dyDescent="0.2">
      <c r="A45" s="268"/>
      <c r="B45" s="403" t="str">
        <f>"Synthetic FRA "&amp;SynthFra!F42&amp;"x"&amp;SynthFra!F42+12</f>
        <v>Synthetic FRA 34x46</v>
      </c>
      <c r="C45" s="399">
        <f>_xll.qlInterestRateIndexFixingDate(IborIndex,D45)</f>
        <v>42887</v>
      </c>
      <c r="D45" s="400">
        <f>SynthFra!I42</f>
        <v>42891</v>
      </c>
      <c r="E45" s="400">
        <f>_xll.qlCalendarAdvance(Calendar,D45,"1Y","mf")</f>
        <v>43256</v>
      </c>
      <c r="F45" s="400" t="str">
        <f>_xll.qlMakeDatedOIS(,D45,E45,OvernightIndex,0,"Act/360",0)</f>
        <v>obj_00674#0014</v>
      </c>
      <c r="G45" s="422">
        <f>_xll.qlOvernightIndexedSwapFairRate(F45,Contribution!$P$25)</f>
        <v>4.4808959093556918E-3</v>
      </c>
      <c r="H45" s="402">
        <v>4.8909173871060554E-3</v>
      </c>
      <c r="I45" s="401">
        <f t="shared" si="0"/>
        <v>9.3718132964617472E-3</v>
      </c>
      <c r="J45" s="426">
        <f>SynthFra!N42-FRACharts!I45</f>
        <v>0</v>
      </c>
    </row>
    <row r="46" spans="1:10" x14ac:dyDescent="0.2">
      <c r="A46" s="268"/>
      <c r="B46" s="403" t="str">
        <f>"Synthetic FRA "&amp;SynthFra!F43&amp;"x"&amp;SynthFra!F43+12</f>
        <v>Synthetic FRA 35x47</v>
      </c>
      <c r="C46" s="399">
        <f>_xll.qlInterestRateIndexFixingDate(IborIndex,D46)</f>
        <v>42916</v>
      </c>
      <c r="D46" s="400">
        <f>SynthFra!I43</f>
        <v>42920</v>
      </c>
      <c r="E46" s="400">
        <f>_xll.qlCalendarAdvance(Calendar,D46,"1Y","mf")</f>
        <v>43285</v>
      </c>
      <c r="F46" s="400" t="str">
        <f>_xll.qlMakeDatedOIS(,D46,E46,OvernightIndex,0,"Act/360",0)</f>
        <v>obj_0067a#0014</v>
      </c>
      <c r="G46" s="422">
        <f>_xll.qlOvernightIndexedSwapFairRate(F46,Contribution!$P$25)</f>
        <v>4.7227054065541677E-3</v>
      </c>
      <c r="H46" s="402">
        <v>4.915875065800681E-3</v>
      </c>
      <c r="I46" s="401">
        <f t="shared" si="0"/>
        <v>9.6385804723548487E-3</v>
      </c>
      <c r="J46" s="426">
        <f>SynthFra!N43-FRACharts!I46</f>
        <v>0</v>
      </c>
    </row>
    <row r="47" spans="1:10" x14ac:dyDescent="0.2">
      <c r="A47" s="268"/>
      <c r="B47" s="407" t="str">
        <f>"Swap/Impl FRA "&amp;SynthFra!F44&amp;"x"&amp;SynthFra!F44+12</f>
        <v>Swap/Impl FRA 36x48</v>
      </c>
      <c r="C47" s="412">
        <f>_xll.qlInterestRateIndexFixingDate(IborIndex,D47)</f>
        <v>42949</v>
      </c>
      <c r="D47" s="413">
        <f>SynthFra!I5</f>
        <v>42951</v>
      </c>
      <c r="E47" s="413">
        <f>_xll.qlCalendarAdvance(Calendar,D47,"1Y","mf")</f>
        <v>43318</v>
      </c>
      <c r="F47" s="413" t="str">
        <f>_xll.qlMakeDatedOIS(,D47,E47,OvernightIndex,0,"Act/360",0)</f>
        <v>obj_00680#0014</v>
      </c>
      <c r="G47" s="423">
        <f>_xll.qlOvernightIndexedSwapFairRate(F47,Contribution!$P$25)</f>
        <v>4.9967362926392591E-3</v>
      </c>
      <c r="H47" s="415">
        <v>4.9309999999999996E-3</v>
      </c>
      <c r="I47" s="414">
        <f t="shared" si="0"/>
        <v>9.9277362926392596E-3</v>
      </c>
      <c r="J47" s="426">
        <f>SynthFra!N44-FRACharts!I47</f>
        <v>0</v>
      </c>
    </row>
    <row r="48" spans="1:10" x14ac:dyDescent="0.2">
      <c r="A48" s="268"/>
      <c r="B48" s="403" t="str">
        <f>"Synthetic FRA "&amp;SynthFra!F45&amp;"x"&amp;SynthFra!F45+12</f>
        <v>Synthetic FRA 37x49</v>
      </c>
      <c r="C48" s="399">
        <f>_xll.qlInterestRateIndexFixingDate(IborIndex,D48)</f>
        <v>42978</v>
      </c>
      <c r="D48" s="400">
        <f>SynthFra!I45</f>
        <v>42982</v>
      </c>
      <c r="E48" s="400">
        <f>_xll.qlCalendarAdvance(Calendar,D48,"1Y","mf")</f>
        <v>43347</v>
      </c>
      <c r="F48" s="400" t="str">
        <f>_xll.qlMakeDatedOIS(,D48,E48,OvernightIndex,0,"Act/360",0)</f>
        <v>obj_00686#0014</v>
      </c>
      <c r="G48" s="422">
        <f>_xll.qlOvernightIndexedSwapFairRate(F48,Contribution!$P$25)</f>
        <v>5.2588608325772179E-3</v>
      </c>
      <c r="H48" s="402">
        <v>4.938675925686347E-3</v>
      </c>
      <c r="I48" s="401">
        <f t="shared" si="0"/>
        <v>1.0197536758263565E-2</v>
      </c>
      <c r="J48" s="426">
        <f>SynthFra!N45-FRACharts!I48</f>
        <v>0</v>
      </c>
    </row>
    <row r="49" spans="1:10" x14ac:dyDescent="0.2">
      <c r="A49" s="268"/>
      <c r="B49" s="403" t="str">
        <f>"Synthetic FRA "&amp;SynthFra!F46&amp;"x"&amp;SynthFra!F46+12</f>
        <v>Synthetic FRA 38x50</v>
      </c>
      <c r="C49" s="399">
        <f>_xll.qlInterestRateIndexFixingDate(IborIndex,D49)</f>
        <v>43010</v>
      </c>
      <c r="D49" s="400">
        <f>SynthFra!I46</f>
        <v>43012</v>
      </c>
      <c r="E49" s="400">
        <f>_xll.qlCalendarAdvance(Calendar,D49,"1Y","mf")</f>
        <v>43377</v>
      </c>
      <c r="F49" s="400" t="str">
        <f>_xll.qlMakeDatedOIS(,D49,E49,OvernightIndex,0,"Act/360",0)</f>
        <v>obj_0068c#0014</v>
      </c>
      <c r="G49" s="422">
        <f>_xll.qlOvernightIndexedSwapFairRate(F49,Contribution!$P$25)</f>
        <v>5.5270384545260858E-3</v>
      </c>
      <c r="H49" s="402">
        <v>4.9448715391434694E-3</v>
      </c>
      <c r="I49" s="401">
        <f t="shared" si="0"/>
        <v>1.0471909993669554E-2</v>
      </c>
      <c r="J49" s="426">
        <f>SynthFra!N46-FRACharts!I49</f>
        <v>0</v>
      </c>
    </row>
    <row r="50" spans="1:10" x14ac:dyDescent="0.2">
      <c r="A50" s="268"/>
      <c r="B50" s="403" t="str">
        <f>"Synthetic FRA "&amp;SynthFra!F47&amp;"x"&amp;SynthFra!F47+12</f>
        <v>Synthetic FRA 39x51</v>
      </c>
      <c r="C50" s="399">
        <f>_xll.qlInterestRateIndexFixingDate(IborIndex,D50)</f>
        <v>43041</v>
      </c>
      <c r="D50" s="400">
        <f>SynthFra!I47</f>
        <v>43045</v>
      </c>
      <c r="E50" s="400">
        <f>_xll.qlCalendarAdvance(Calendar,D50,"1Y","mf")</f>
        <v>43410</v>
      </c>
      <c r="F50" s="400" t="str">
        <f>_xll.qlMakeDatedOIS(,D50,E50,OvernightIndex,0,"Act/360",0)</f>
        <v>obj_00692#0014</v>
      </c>
      <c r="G50" s="422">
        <f>_xll.qlOvernightIndexedSwapFairRate(F50,Contribution!$P$25)</f>
        <v>5.8280588084647358E-3</v>
      </c>
      <c r="H50" s="402">
        <v>4.9504167501789311E-3</v>
      </c>
      <c r="I50" s="401">
        <f t="shared" si="0"/>
        <v>1.0778475558643667E-2</v>
      </c>
      <c r="J50" s="426">
        <f>SynthFra!N47-FRACharts!I50</f>
        <v>0</v>
      </c>
    </row>
    <row r="51" spans="1:10" x14ac:dyDescent="0.2">
      <c r="A51" s="268"/>
      <c r="B51" s="403" t="str">
        <f>"Synthetic FRA "&amp;SynthFra!F48&amp;"x"&amp;SynthFra!F48+12</f>
        <v>Synthetic FRA 40x52</v>
      </c>
      <c r="C51" s="399">
        <f>_xll.qlInterestRateIndexFixingDate(IborIndex,D51)</f>
        <v>43069</v>
      </c>
      <c r="D51" s="400">
        <f>SynthFra!I48</f>
        <v>43073</v>
      </c>
      <c r="E51" s="400">
        <f>_xll.qlCalendarAdvance(Calendar,D51,"1Y","mf")</f>
        <v>43438</v>
      </c>
      <c r="F51" s="400" t="str">
        <f>_xll.qlMakeDatedOIS(,D51,E51,OvernightIndex,0,"Act/360",0)</f>
        <v>obj_00698#0014</v>
      </c>
      <c r="G51" s="422">
        <f>_xll.qlOvernightIndexedSwapFairRate(F51,Contribution!$P$25)</f>
        <v>6.0880760090518344E-3</v>
      </c>
      <c r="H51" s="402">
        <v>4.9541822040816887E-3</v>
      </c>
      <c r="I51" s="401">
        <f t="shared" si="0"/>
        <v>1.1042258213133524E-2</v>
      </c>
      <c r="J51" s="426">
        <f>SynthFra!N48-FRACharts!I51</f>
        <v>0</v>
      </c>
    </row>
    <row r="52" spans="1:10" x14ac:dyDescent="0.2">
      <c r="A52" s="268"/>
      <c r="B52" s="403" t="str">
        <f>"Synthetic FRA "&amp;SynthFra!F49&amp;"x"&amp;SynthFra!F49+12</f>
        <v>Synthetic FRA 41x53</v>
      </c>
      <c r="C52" s="399">
        <f>_xll.qlInterestRateIndexFixingDate(IborIndex,D52)</f>
        <v>43102</v>
      </c>
      <c r="D52" s="400">
        <f>SynthFra!I49</f>
        <v>43104</v>
      </c>
      <c r="E52" s="400">
        <f>_xll.qlCalendarAdvance(Calendar,D52,"1Y","mf")</f>
        <v>43469</v>
      </c>
      <c r="F52" s="400" t="str">
        <f>_xll.qlMakeDatedOIS(,D52,E52,OvernightIndex,0,"Act/360",0)</f>
        <v>obj_0066f#0014</v>
      </c>
      <c r="G52" s="422">
        <f>_xll.qlOvernightIndexedSwapFairRate(F52,Contribution!$P$25)</f>
        <v>6.3805119201479927E-3</v>
      </c>
      <c r="H52" s="402">
        <v>4.9574572990967198E-3</v>
      </c>
      <c r="I52" s="401">
        <f t="shared" si="0"/>
        <v>1.1337969219244712E-2</v>
      </c>
      <c r="J52" s="426">
        <f>SynthFra!N49-FRACharts!I52</f>
        <v>0</v>
      </c>
    </row>
    <row r="53" spans="1:10" x14ac:dyDescent="0.2">
      <c r="A53" s="268"/>
      <c r="B53" s="403" t="str">
        <f>"Synthetic FRA "&amp;SynthFra!F50&amp;"x"&amp;SynthFra!F50+12</f>
        <v>Synthetic FRA 42x54</v>
      </c>
      <c r="C53" s="399">
        <f>_xll.qlInterestRateIndexFixingDate(IborIndex,D53)</f>
        <v>43132</v>
      </c>
      <c r="D53" s="400">
        <f>SynthFra!I50</f>
        <v>43136</v>
      </c>
      <c r="E53" s="400">
        <f>_xll.qlCalendarAdvance(Calendar,D53,"1Y","mf")</f>
        <v>43501</v>
      </c>
      <c r="F53" s="400" t="str">
        <f>_xll.qlMakeDatedOIS(,D53,E53,OvernightIndex,0,"Act/360",0)</f>
        <v>obj_00675#0014</v>
      </c>
      <c r="G53" s="422">
        <f>_xll.qlOvernightIndexedSwapFairRate(F53,Contribution!$P$25)</f>
        <v>6.6870005598641457E-3</v>
      </c>
      <c r="H53" s="402">
        <v>4.9599753333863499E-3</v>
      </c>
      <c r="I53" s="401">
        <f t="shared" si="0"/>
        <v>1.1646975893250495E-2</v>
      </c>
      <c r="J53" s="426">
        <f>SynthFra!N50-FRACharts!I53</f>
        <v>0</v>
      </c>
    </row>
    <row r="54" spans="1:10" x14ac:dyDescent="0.2">
      <c r="A54" s="268"/>
      <c r="B54" s="403" t="str">
        <f>"Synthetic FRA "&amp;SynthFra!F51&amp;"x"&amp;SynthFra!F51+12</f>
        <v>Synthetic FRA 43x55</v>
      </c>
      <c r="C54" s="399">
        <f>_xll.qlInterestRateIndexFixingDate(IborIndex,D54)</f>
        <v>43160</v>
      </c>
      <c r="D54" s="400">
        <f>SynthFra!I51</f>
        <v>43164</v>
      </c>
      <c r="E54" s="400">
        <f>_xll.qlCalendarAdvance(Calendar,D54,"1Y","mf")</f>
        <v>43529</v>
      </c>
      <c r="F54" s="400" t="str">
        <f>_xll.qlMakeDatedOIS(,D54,E54,OvernightIndex,0,"Act/360",0)</f>
        <v>obj_0067b#0014</v>
      </c>
      <c r="G54" s="422">
        <f>_xll.qlOvernightIndexedSwapFairRate(F54,Contribution!$P$25)</f>
        <v>6.9586883657929898E-3</v>
      </c>
      <c r="H54" s="402">
        <v>4.9615617518148523E-3</v>
      </c>
      <c r="I54" s="401">
        <f t="shared" si="0"/>
        <v>1.1920250117607842E-2</v>
      </c>
      <c r="J54" s="426">
        <f>SynthFra!N51-FRACharts!I54</f>
        <v>0</v>
      </c>
    </row>
    <row r="55" spans="1:10" x14ac:dyDescent="0.2">
      <c r="A55" s="268"/>
      <c r="B55" s="403" t="str">
        <f>"Synthetic FRA "&amp;SynthFra!F52&amp;"x"&amp;SynthFra!F52+12</f>
        <v>Synthetic FRA 44x56</v>
      </c>
      <c r="C55" s="399">
        <f>_xll.qlInterestRateIndexFixingDate(IborIndex,D55)</f>
        <v>43188</v>
      </c>
      <c r="D55" s="400">
        <f>SynthFra!I52</f>
        <v>43194</v>
      </c>
      <c r="E55" s="400">
        <f>_xll.qlCalendarAdvance(Calendar,D55,"1Y","mf")</f>
        <v>43559</v>
      </c>
      <c r="F55" s="400" t="str">
        <f>_xll.qlMakeDatedOIS(,D55,E55,OvernightIndex,0,"Act/360",0)</f>
        <v>obj_00681#0014</v>
      </c>
      <c r="G55" s="422">
        <f>_xll.qlOvernightIndexedSwapFairRate(F55,Contribution!$P$25)</f>
        <v>7.253070251865266E-3</v>
      </c>
      <c r="H55" s="402">
        <v>4.9627271395201004E-3</v>
      </c>
      <c r="I55" s="401">
        <f t="shared" si="0"/>
        <v>1.2215797391385366E-2</v>
      </c>
      <c r="J55" s="426">
        <f>SynthFra!N52-FRACharts!I55</f>
        <v>0</v>
      </c>
    </row>
    <row r="56" spans="1:10" x14ac:dyDescent="0.2">
      <c r="A56" s="268"/>
      <c r="B56" s="403" t="str">
        <f>"Synthetic FRA "&amp;SynthFra!F53&amp;"x"&amp;SynthFra!F53+12</f>
        <v>Synthetic FRA 45x57</v>
      </c>
      <c r="C56" s="399">
        <f>_xll.qlInterestRateIndexFixingDate(IborIndex,D56)</f>
        <v>43222</v>
      </c>
      <c r="D56" s="400">
        <f>SynthFra!I53</f>
        <v>43224</v>
      </c>
      <c r="E56" s="400">
        <f>_xll.qlCalendarAdvance(Calendar,D56,"1Y","mf")</f>
        <v>43591</v>
      </c>
      <c r="F56" s="400" t="str">
        <f>_xll.qlMakeDatedOIS(,D56,E56,OvernightIndex,0,"Act/360",0)</f>
        <v>obj_00687#0014</v>
      </c>
      <c r="G56" s="422">
        <f>_xll.qlOvernightIndexedSwapFairRate(F56,Contribution!$P$25)</f>
        <v>7.5607698325916989E-3</v>
      </c>
      <c r="H56" s="402">
        <v>4.9634455028632618E-3</v>
      </c>
      <c r="I56" s="401">
        <f t="shared" si="0"/>
        <v>1.2524215335454961E-2</v>
      </c>
      <c r="J56" s="426">
        <f>SynthFra!N53-FRACharts!I56</f>
        <v>0</v>
      </c>
    </row>
    <row r="57" spans="1:10" x14ac:dyDescent="0.2">
      <c r="A57" s="268"/>
      <c r="B57" s="403" t="str">
        <f>"Synthetic FRA "&amp;SynthFra!F54&amp;"x"&amp;SynthFra!F54+12</f>
        <v>Synthetic FRA 46x58</v>
      </c>
      <c r="C57" s="399">
        <f>_xll.qlInterestRateIndexFixingDate(IborIndex,D57)</f>
        <v>43251</v>
      </c>
      <c r="D57" s="400">
        <f>SynthFra!I54</f>
        <v>43255</v>
      </c>
      <c r="E57" s="400">
        <f>_xll.qlCalendarAdvance(Calendar,D57,"1Y","mf")</f>
        <v>43620</v>
      </c>
      <c r="F57" s="400" t="str">
        <f>_xll.qlMakeDatedOIS(,D57,E57,OvernightIndex,0,"Act/360",0)</f>
        <v>obj_0068d#0014</v>
      </c>
      <c r="G57" s="422">
        <f>_xll.qlOvernightIndexedSwapFairRate(F57,Contribution!$P$25)</f>
        <v>7.8606664866632571E-3</v>
      </c>
      <c r="H57" s="402">
        <v>4.9638330688460764E-3</v>
      </c>
      <c r="I57" s="401">
        <f t="shared" si="0"/>
        <v>1.2824499555509333E-2</v>
      </c>
      <c r="J57" s="426">
        <f>SynthFra!N54-FRACharts!I57</f>
        <v>0</v>
      </c>
    </row>
    <row r="58" spans="1:10" x14ac:dyDescent="0.2">
      <c r="A58" s="268"/>
      <c r="B58" s="403" t="str">
        <f>"Synthetic FRA "&amp;SynthFra!F55&amp;"x"&amp;SynthFra!F55+12</f>
        <v>Synthetic FRA 47x59</v>
      </c>
      <c r="C58" s="399">
        <f>_xll.qlInterestRateIndexFixingDate(IborIndex,D58)</f>
        <v>43283</v>
      </c>
      <c r="D58" s="400">
        <f>SynthFra!I55</f>
        <v>43285</v>
      </c>
      <c r="E58" s="400">
        <f>_xll.qlCalendarAdvance(Calendar,D58,"1Y","mf")</f>
        <v>43650</v>
      </c>
      <c r="F58" s="400" t="str">
        <f>_xll.qlMakeDatedOIS(,D58,E58,OvernightIndex,0,"Act/360",0)</f>
        <v>obj_00693#0014</v>
      </c>
      <c r="G58" s="422">
        <f>_xll.qlOvernightIndexedSwapFairRate(F58,Contribution!$P$25)</f>
        <v>8.1631845396251193E-3</v>
      </c>
      <c r="H58" s="402">
        <v>4.9639760084908896E-3</v>
      </c>
      <c r="I58" s="401">
        <f t="shared" si="0"/>
        <v>1.312716054811601E-2</v>
      </c>
      <c r="J58" s="426">
        <f>SynthFra!N55-FRACharts!I58</f>
        <v>0</v>
      </c>
    </row>
    <row r="59" spans="1:10" ht="12" thickBot="1" x14ac:dyDescent="0.25">
      <c r="A59" s="268"/>
      <c r="B59" s="406" t="str">
        <f>"Swap/Impl FRA "&amp;SynthFra!F56&amp;"x"&amp;SynthFra!F56+12</f>
        <v>Swap/Impl FRA 48x60</v>
      </c>
      <c r="C59" s="408">
        <f>_xll.qlInterestRateIndexFixingDate(IborIndex,D59)</f>
        <v>43314</v>
      </c>
      <c r="D59" s="409">
        <f>SynthFra!I6</f>
        <v>43318</v>
      </c>
      <c r="E59" s="409">
        <f>_xll.qlCalendarAdvance(Calendar,D59,"1Y","mf")</f>
        <v>43683</v>
      </c>
      <c r="F59" s="409" t="str">
        <f>_xll.qlMakeDatedOIS(,D59,E59,OvernightIndex,0,"Act/360",0)</f>
        <v>obj_00699#0014</v>
      </c>
      <c r="G59" s="424">
        <f>_xll.qlOvernightIndexedSwapFairRate(F59,Contribution!$P$25)</f>
        <v>8.4981972510532241E-3</v>
      </c>
      <c r="H59" s="411">
        <v>4.9639999999999997E-3</v>
      </c>
      <c r="I59" s="410">
        <f t="shared" si="0"/>
        <v>1.3462197251053224E-2</v>
      </c>
      <c r="J59" s="426">
        <f>SynthFra!N56-FRACharts!I59</f>
        <v>0</v>
      </c>
    </row>
    <row r="60" spans="1:10" x14ac:dyDescent="0.2">
      <c r="A60" s="268"/>
      <c r="B60" s="268"/>
      <c r="C60" s="268"/>
      <c r="D60" s="268"/>
      <c r="E60" s="268"/>
      <c r="F60" s="268"/>
      <c r="G60" s="268"/>
      <c r="H60" s="268"/>
      <c r="I60" s="268"/>
      <c r="J60" s="26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30"/>
  <sheetViews>
    <sheetView workbookViewId="0">
      <selection activeCell="C49" sqref="C49"/>
    </sheetView>
  </sheetViews>
  <sheetFormatPr defaultColWidth="9.5" defaultRowHeight="11.25" x14ac:dyDescent="0.2"/>
  <cols>
    <col min="1" max="1" width="2.83203125" style="434" customWidth="1"/>
    <col min="2" max="2" width="21.33203125" style="434" bestFit="1" customWidth="1"/>
    <col min="3" max="4" width="20.1640625" style="434" bestFit="1" customWidth="1"/>
    <col min="5" max="5" width="9.33203125" style="434" bestFit="1" customWidth="1"/>
    <col min="6" max="6" width="12.5" style="434" customWidth="1"/>
    <col min="7" max="7" width="13.1640625" style="434" customWidth="1"/>
    <col min="8" max="8" width="9.5" style="434"/>
    <col min="9" max="9" width="15.33203125" style="434" customWidth="1"/>
    <col min="10" max="13" width="9.5" style="434"/>
    <col min="14" max="14" width="10.5" style="434" bestFit="1" customWidth="1"/>
    <col min="15" max="17" width="9.5" style="434"/>
    <col min="18" max="18" width="10.6640625" style="434" bestFit="1" customWidth="1"/>
    <col min="19" max="16384" width="9.5" style="434"/>
  </cols>
  <sheetData>
    <row r="1" spans="2:19" ht="12" thickBot="1" x14ac:dyDescent="0.25"/>
    <row r="2" spans="2:19" ht="27.75" customHeight="1" x14ac:dyDescent="0.2">
      <c r="B2" s="447" t="s">
        <v>148</v>
      </c>
      <c r="C2" s="448" t="s">
        <v>127</v>
      </c>
      <c r="D2" s="448" t="s">
        <v>128</v>
      </c>
      <c r="E2" s="448" t="s">
        <v>106</v>
      </c>
      <c r="F2" s="448" t="s">
        <v>45</v>
      </c>
      <c r="G2" s="449"/>
      <c r="N2" s="454" t="s">
        <v>157</v>
      </c>
      <c r="P2" s="381"/>
    </row>
    <row r="3" spans="2:19" x14ac:dyDescent="0.2">
      <c r="B3" s="437" t="s">
        <v>156</v>
      </c>
      <c r="C3" s="438">
        <f>SynthDepo!E7</f>
        <v>41855</v>
      </c>
      <c r="D3" s="438">
        <f>SynthDepo!F7</f>
        <v>41947</v>
      </c>
      <c r="E3" s="439">
        <f>SynthDepo!G7</f>
        <v>2.0899999999999998E-3</v>
      </c>
      <c r="F3" s="440">
        <f>SynthDepo!H7</f>
        <v>6.6999999974494471E-4</v>
      </c>
      <c r="G3" s="441">
        <f>SynthDepo!I7</f>
        <v>1.4200000002550551E-3</v>
      </c>
      <c r="I3" s="465" t="s">
        <v>158</v>
      </c>
      <c r="J3" s="467">
        <f>SynthDepo!X9</f>
        <v>2821.333333333333</v>
      </c>
      <c r="K3" s="468">
        <f>SynthDepo!Y9</f>
        <v>46</v>
      </c>
      <c r="L3" s="469">
        <f>SynthDepo!Z9</f>
        <v>1</v>
      </c>
      <c r="M3" s="450"/>
      <c r="N3" s="471">
        <f>SynthDepo!AB9</f>
        <v>1.6101130882138433E-7</v>
      </c>
      <c r="O3" s="472"/>
      <c r="P3" s="439">
        <f>SynthDepo!AD9</f>
        <v>1.4200000002550551E-3</v>
      </c>
      <c r="R3" s="464"/>
    </row>
    <row r="4" spans="2:19" x14ac:dyDescent="0.2">
      <c r="B4" s="437" t="str">
        <f>SUBSTITUTE(SUBSTITUTE(SUBSTITUTE(SynthDepo!D10,"_Quote",""),"EURFUT","Future "),"3M","3M ")</f>
        <v>Future 3M Q4</v>
      </c>
      <c r="C4" s="438">
        <f>SynthDepo!E10</f>
        <v>41871</v>
      </c>
      <c r="D4" s="438">
        <f>SynthDepo!F10</f>
        <v>41963</v>
      </c>
      <c r="E4" s="439">
        <f>SynthDepo!G10</f>
        <v>2.074999999999938E-3</v>
      </c>
      <c r="F4" s="440">
        <f>SynthDepo!H10</f>
        <v>7.0960707283836924E-4</v>
      </c>
      <c r="G4" s="441">
        <f>SynthDepo!I10</f>
        <v>1.3653929271615689E-3</v>
      </c>
      <c r="I4" s="465"/>
      <c r="J4" s="467">
        <f>SynthDepo!X10</f>
        <v>4549.3333333333339</v>
      </c>
      <c r="K4" s="468">
        <f>SynthDepo!Y10</f>
        <v>62</v>
      </c>
      <c r="L4" s="469">
        <f>SynthDepo!Z10</f>
        <v>1</v>
      </c>
      <c r="M4" s="451" t="str">
        <f>SynthDepo!AA10</f>
        <v>x</v>
      </c>
      <c r="N4" s="471">
        <f>SynthDepo!AB10</f>
        <v>-2.0802163421052429E-5</v>
      </c>
      <c r="O4" s="451" t="str">
        <f>SynthDepo!AC10</f>
        <v>=</v>
      </c>
      <c r="P4" s="439">
        <f>SynthDepo!AD10</f>
        <v>1.3653929271615689E-3</v>
      </c>
      <c r="R4" s="464"/>
    </row>
    <row r="5" spans="2:19" ht="12" thickBot="1" x14ac:dyDescent="0.25">
      <c r="B5" s="442" t="str">
        <f>SUBSTITUTE(SUBSTITUTE(SUBSTITUTE(SynthDepo!D11,"_Quote",""),"EURFUT","Future "),"3M","3M ")</f>
        <v>Future 3M U4</v>
      </c>
      <c r="C5" s="443">
        <f>SynthDepo!E11</f>
        <v>41899</v>
      </c>
      <c r="D5" s="443">
        <f>SynthDepo!F11</f>
        <v>41990</v>
      </c>
      <c r="E5" s="444">
        <f>SynthDepo!G11</f>
        <v>2.1250000000000435E-3</v>
      </c>
      <c r="F5" s="445">
        <f>SynthDepo!H11</f>
        <v>6.6330862399985042E-4</v>
      </c>
      <c r="G5" s="446">
        <f>SynthDepo!I11</f>
        <v>1.461691376000193E-3</v>
      </c>
      <c r="I5" s="465"/>
      <c r="J5" s="467">
        <f>SynthDepo!X11</f>
        <v>8700.3333333333339</v>
      </c>
      <c r="K5" s="468">
        <f>SynthDepo!Y11</f>
        <v>89.5</v>
      </c>
      <c r="L5" s="469">
        <f>SynthDepo!Z11</f>
        <v>1</v>
      </c>
      <c r="M5" s="453"/>
      <c r="N5" s="471">
        <f>SynthDepo!AB11</f>
        <v>1.9226329450020654E-3</v>
      </c>
      <c r="O5" s="451"/>
      <c r="P5" s="439">
        <f>SynthDepo!AD11</f>
        <v>1.461691376000193E-3</v>
      </c>
      <c r="R5" s="464"/>
    </row>
    <row r="6" spans="2:19" x14ac:dyDescent="0.2">
      <c r="N6" s="473"/>
      <c r="O6" s="456"/>
      <c r="P6" s="474"/>
    </row>
    <row r="7" spans="2:19" x14ac:dyDescent="0.2">
      <c r="N7" s="473"/>
      <c r="O7" s="456"/>
      <c r="P7" s="474"/>
    </row>
    <row r="8" spans="2:19" x14ac:dyDescent="0.2">
      <c r="N8" s="473"/>
      <c r="O8" s="456"/>
      <c r="P8" s="474"/>
    </row>
    <row r="9" spans="2:19" x14ac:dyDescent="0.2">
      <c r="I9" s="466" t="s">
        <v>159</v>
      </c>
      <c r="J9" s="455"/>
      <c r="K9" s="467">
        <f t="shared" ref="K9:L10" si="0">K3</f>
        <v>46</v>
      </c>
      <c r="L9" s="469">
        <f t="shared" si="0"/>
        <v>1</v>
      </c>
      <c r="M9" s="457" t="s">
        <v>56</v>
      </c>
      <c r="N9" s="471">
        <f t="array" ref="N9:N10">MMULT(R9:S10,P9:P10)</f>
        <v>-3.4129420683428913E-6</v>
      </c>
      <c r="O9" s="458" t="s">
        <v>57</v>
      </c>
      <c r="P9" s="439">
        <f>G3</f>
        <v>1.4200000002550551E-3</v>
      </c>
      <c r="R9" s="434">
        <f t="array" ref="R9:S10">MINVERSE(K9:L10)</f>
        <v>-6.25E-2</v>
      </c>
      <c r="S9" s="434">
        <v>6.25E-2</v>
      </c>
    </row>
    <row r="10" spans="2:19" x14ac:dyDescent="0.2">
      <c r="I10" s="466"/>
      <c r="J10" s="455"/>
      <c r="K10" s="467">
        <f t="shared" si="0"/>
        <v>62</v>
      </c>
      <c r="L10" s="469">
        <f t="shared" si="0"/>
        <v>1</v>
      </c>
      <c r="M10" s="457"/>
      <c r="N10" s="471">
        <v>1.5769953353988279E-3</v>
      </c>
      <c r="O10" s="458"/>
      <c r="P10" s="439">
        <f>G4</f>
        <v>1.3653929271615689E-3</v>
      </c>
      <c r="R10" s="434">
        <v>3.875</v>
      </c>
      <c r="S10" s="434">
        <v>-2.875</v>
      </c>
    </row>
    <row r="11" spans="2:19" x14ac:dyDescent="0.2">
      <c r="N11" s="473"/>
      <c r="O11" s="456"/>
      <c r="P11" s="474"/>
    </row>
    <row r="12" spans="2:19" x14ac:dyDescent="0.2">
      <c r="N12" s="473"/>
      <c r="O12" s="456"/>
      <c r="P12" s="474"/>
    </row>
    <row r="13" spans="2:19" x14ac:dyDescent="0.2">
      <c r="I13" s="459" t="s">
        <v>160</v>
      </c>
      <c r="K13" s="381"/>
      <c r="L13" s="470">
        <f>L9</f>
        <v>1</v>
      </c>
      <c r="M13" s="459" t="s">
        <v>56</v>
      </c>
      <c r="N13" s="471">
        <f>P13/L13</f>
        <v>1.4200000002550551E-3</v>
      </c>
      <c r="O13" s="459" t="s">
        <v>57</v>
      </c>
      <c r="P13" s="439">
        <f>G3</f>
        <v>1.4200000002550551E-3</v>
      </c>
    </row>
    <row r="15" spans="2:19" ht="12" thickBot="1" x14ac:dyDescent="0.25"/>
    <row r="16" spans="2:19" ht="19.5" customHeight="1" x14ac:dyDescent="0.2">
      <c r="C16" s="447" t="s">
        <v>127</v>
      </c>
      <c r="D16" s="448" t="s">
        <v>58</v>
      </c>
      <c r="E16" s="448" t="s">
        <v>143</v>
      </c>
      <c r="F16" s="449" t="s">
        <v>144</v>
      </c>
    </row>
    <row r="17" spans="3:6" x14ac:dyDescent="0.2">
      <c r="C17" s="461">
        <f>SettlementDate</f>
        <v>41855</v>
      </c>
      <c r="D17" s="452">
        <f>$N$13</f>
        <v>1.4200000002550551E-3</v>
      </c>
      <c r="E17" s="452">
        <f>$N$10+$N$9*(C17-SettlementDate)</f>
        <v>1.5769953353988279E-3</v>
      </c>
      <c r="F17" s="435">
        <f>$N$5+$N$4*(C17-SettlementDate)+$N$3*(C17-SettlementDate)^2</f>
        <v>1.9226329450020654E-3</v>
      </c>
    </row>
    <row r="18" spans="3:6" x14ac:dyDescent="0.2">
      <c r="C18" s="461">
        <f>_xll.qlCalendarAdvance(Calendar,C17,"1d","mf")</f>
        <v>41856</v>
      </c>
      <c r="D18" s="452">
        <f t="shared" ref="D18:D81" si="1">$N$13</f>
        <v>1.4200000002550551E-3</v>
      </c>
      <c r="E18" s="452">
        <f>$N$10+$N$9*(C18-SettlementDate)</f>
        <v>1.573582393330485E-3</v>
      </c>
      <c r="F18" s="435">
        <f>$N$5+$N$4*(C18-SettlementDate)+$N$3*(C18-SettlementDate)^2</f>
        <v>1.9019917928898343E-3</v>
      </c>
    </row>
    <row r="19" spans="3:6" x14ac:dyDescent="0.2">
      <c r="C19" s="461">
        <f>_xll.qlCalendarAdvance(Calendar,C18,"1d","mf")</f>
        <v>41857</v>
      </c>
      <c r="D19" s="452">
        <f t="shared" si="1"/>
        <v>1.4200000002550551E-3</v>
      </c>
      <c r="E19" s="452">
        <f>$N$10+$N$9*(C19-SettlementDate)</f>
        <v>1.5701694512621422E-3</v>
      </c>
      <c r="F19" s="435">
        <f>$N$5+$N$4*(C19-SettlementDate)+$N$3*(C19-SettlementDate)^2</f>
        <v>1.8816726633952461E-3</v>
      </c>
    </row>
    <row r="20" spans="3:6" x14ac:dyDescent="0.2">
      <c r="C20" s="461">
        <f>_xll.qlCalendarAdvance(Calendar,C19,"1d","mf")</f>
        <v>41858</v>
      </c>
      <c r="D20" s="452">
        <f t="shared" si="1"/>
        <v>1.4200000002550551E-3</v>
      </c>
      <c r="E20" s="452">
        <f>$N$10+$N$9*(C20-SettlementDate)</f>
        <v>1.5667565091937992E-3</v>
      </c>
      <c r="F20" s="435">
        <f>$N$5+$N$4*(C20-SettlementDate)+$N$3*(C20-SettlementDate)^2</f>
        <v>1.8616755565183005E-3</v>
      </c>
    </row>
    <row r="21" spans="3:6" x14ac:dyDescent="0.2">
      <c r="C21" s="461">
        <f>_xll.qlCalendarAdvance(Calendar,C20,"1d","mf")</f>
        <v>41859</v>
      </c>
      <c r="D21" s="452">
        <f t="shared" si="1"/>
        <v>1.4200000002550551E-3</v>
      </c>
      <c r="E21" s="452">
        <f>$N$10+$N$9*(C21-SettlementDate)</f>
        <v>1.5633435671254564E-3</v>
      </c>
      <c r="F21" s="435">
        <f>$N$5+$N$4*(C21-SettlementDate)+$N$3*(C21-SettlementDate)^2</f>
        <v>1.8420004722589979E-3</v>
      </c>
    </row>
    <row r="22" spans="3:6" x14ac:dyDescent="0.2">
      <c r="C22" s="461">
        <f>_xll.qlCalendarAdvance(Calendar,C21,"1d","mf")</f>
        <v>41862</v>
      </c>
      <c r="D22" s="452">
        <f t="shared" si="1"/>
        <v>1.4200000002550551E-3</v>
      </c>
      <c r="E22" s="452">
        <f>$N$10+$N$9*(C22-SettlementDate)</f>
        <v>1.5531047409204277E-3</v>
      </c>
      <c r="F22" s="435">
        <f>$N$5+$N$4*(C22-SettlementDate)+$N$3*(C22-SettlementDate)^2</f>
        <v>1.7849073551869461E-3</v>
      </c>
    </row>
    <row r="23" spans="3:6" x14ac:dyDescent="0.2">
      <c r="C23" s="461">
        <f>_xll.qlCalendarAdvance(Calendar,C22,"1d","mf")</f>
        <v>41863</v>
      </c>
      <c r="D23" s="452">
        <f t="shared" si="1"/>
        <v>1.4200000002550551E-3</v>
      </c>
      <c r="E23" s="452">
        <f>$N$10+$N$9*(C23-SettlementDate)</f>
        <v>1.5496917988520849E-3</v>
      </c>
      <c r="F23" s="435">
        <f>$N$5+$N$4*(C23-SettlementDate)+$N$3*(C23-SettlementDate)^2</f>
        <v>1.7665203613982145E-3</v>
      </c>
    </row>
    <row r="24" spans="3:6" x14ac:dyDescent="0.2">
      <c r="C24" s="461">
        <f>_xll.qlCalendarAdvance(Calendar,C23,"1d","mf")</f>
        <v>41864</v>
      </c>
      <c r="D24" s="452">
        <f t="shared" si="1"/>
        <v>1.4200000002550551E-3</v>
      </c>
      <c r="E24" s="452">
        <f>$N$10+$N$9*(C24-SettlementDate)</f>
        <v>1.5462788567837419E-3</v>
      </c>
      <c r="F24" s="435">
        <f>$N$5+$N$4*(C24-SettlementDate)+$N$3*(C24-SettlementDate)^2</f>
        <v>1.7484553902271257E-3</v>
      </c>
    </row>
    <row r="25" spans="3:6" x14ac:dyDescent="0.2">
      <c r="C25" s="461">
        <f>_xll.qlCalendarAdvance(Calendar,C24,"1d","mf")</f>
        <v>41865</v>
      </c>
      <c r="D25" s="452">
        <f t="shared" si="1"/>
        <v>1.4200000002550551E-3</v>
      </c>
      <c r="E25" s="452">
        <f>$N$10+$N$9*(C25-SettlementDate)</f>
        <v>1.5428659147153989E-3</v>
      </c>
      <c r="F25" s="435">
        <f>$N$5+$N$4*(C25-SettlementDate)+$N$3*(C25-SettlementDate)^2</f>
        <v>1.7307124416736795E-3</v>
      </c>
    </row>
    <row r="26" spans="3:6" x14ac:dyDescent="0.2">
      <c r="C26" s="461">
        <f>_xll.qlCalendarAdvance(Calendar,C25,"1d","mf")</f>
        <v>41866</v>
      </c>
      <c r="D26" s="452">
        <f t="shared" si="1"/>
        <v>1.4200000002550551E-3</v>
      </c>
      <c r="E26" s="452">
        <f>$N$10+$N$9*(C26-SettlementDate)</f>
        <v>1.5394529726470562E-3</v>
      </c>
      <c r="F26" s="435">
        <f>$N$5+$N$4*(C26-SettlementDate)+$N$3*(C26-SettlementDate)^2</f>
        <v>1.7132915157378763E-3</v>
      </c>
    </row>
    <row r="27" spans="3:6" x14ac:dyDescent="0.2">
      <c r="C27" s="461">
        <f>_xll.qlCalendarAdvance(Calendar,C26,"1d","mf")</f>
        <v>41869</v>
      </c>
      <c r="D27" s="452">
        <f t="shared" si="1"/>
        <v>1.4200000002550551E-3</v>
      </c>
      <c r="E27" s="452">
        <f>$N$10+$N$9*(C27-SettlementDate)</f>
        <v>1.5292141464420274E-3</v>
      </c>
      <c r="F27" s="435">
        <f>$N$5+$N$4*(C27-SettlementDate)+$N$3*(C27-SettlementDate)^2</f>
        <v>1.6629608736363226E-3</v>
      </c>
    </row>
    <row r="28" spans="3:6" x14ac:dyDescent="0.2">
      <c r="C28" s="461">
        <f>_xll.qlCalendarAdvance(Calendar,C27,"1d","mf")</f>
        <v>41870</v>
      </c>
      <c r="D28" s="452">
        <f t="shared" si="1"/>
        <v>1.4200000002550551E-3</v>
      </c>
      <c r="E28" s="452">
        <f>$N$10+$N$9*(C28-SettlementDate)</f>
        <v>1.5258012043736847E-3</v>
      </c>
      <c r="F28" s="435">
        <f>$N$5+$N$4*(C28-SettlementDate)+$N$3*(C28-SettlementDate)^2</f>
        <v>1.6468280381710903E-3</v>
      </c>
    </row>
    <row r="29" spans="3:6" x14ac:dyDescent="0.2">
      <c r="C29" s="461">
        <f>_xll.qlCalendarAdvance(Calendar,C28,"1d","mf")</f>
        <v>41871</v>
      </c>
      <c r="D29" s="452">
        <f t="shared" si="1"/>
        <v>1.4200000002550551E-3</v>
      </c>
      <c r="E29" s="452">
        <f>$N$10+$N$9*(C29-SettlementDate)</f>
        <v>1.5223882623053417E-3</v>
      </c>
      <c r="F29" s="435">
        <f>$N$5+$N$4*(C29-SettlementDate)+$N$3*(C29-SettlementDate)^2</f>
        <v>1.631017225323501E-3</v>
      </c>
    </row>
    <row r="30" spans="3:6" x14ac:dyDescent="0.2">
      <c r="C30" s="461">
        <f>_xll.qlCalendarAdvance(Calendar,C29,"1d","mf")</f>
        <v>41872</v>
      </c>
      <c r="D30" s="452">
        <f t="shared" si="1"/>
        <v>1.4200000002550551E-3</v>
      </c>
      <c r="E30" s="452">
        <f>$N$10+$N$9*(C30-SettlementDate)</f>
        <v>1.5189753202369987E-3</v>
      </c>
      <c r="F30" s="435">
        <f>$N$5+$N$4*(C30-SettlementDate)+$N$3*(C30-SettlementDate)^2</f>
        <v>1.6155284350935543E-3</v>
      </c>
    </row>
    <row r="31" spans="3:6" x14ac:dyDescent="0.2">
      <c r="C31" s="461">
        <f>_xll.qlCalendarAdvance(Calendar,C30,"1d","mf")</f>
        <v>41873</v>
      </c>
      <c r="D31" s="452">
        <f t="shared" si="1"/>
        <v>1.4200000002550551E-3</v>
      </c>
      <c r="E31" s="452">
        <f>$N$10+$N$9*(C31-SettlementDate)</f>
        <v>1.5155623781686559E-3</v>
      </c>
      <c r="F31" s="435">
        <f>$N$5+$N$4*(C31-SettlementDate)+$N$3*(C31-SettlementDate)^2</f>
        <v>1.6003616674812502E-3</v>
      </c>
    </row>
    <row r="32" spans="3:6" x14ac:dyDescent="0.2">
      <c r="C32" s="461">
        <f>_xll.qlCalendarAdvance(Calendar,C31,"1d","mf")</f>
        <v>41876</v>
      </c>
      <c r="D32" s="452">
        <f t="shared" si="1"/>
        <v>1.4200000002550551E-3</v>
      </c>
      <c r="E32" s="452">
        <f>$N$10+$N$9*(C32-SettlementDate)</f>
        <v>1.5053235519636272E-3</v>
      </c>
      <c r="F32" s="435">
        <f>$N$5+$N$4*(C32-SettlementDate)+$N$3*(C32-SettlementDate)^2</f>
        <v>1.5567935003501948E-3</v>
      </c>
    </row>
    <row r="33" spans="3:6" x14ac:dyDescent="0.2">
      <c r="C33" s="461">
        <f>_xll.qlCalendarAdvance(Calendar,C32,"1d","mf")</f>
        <v>41877</v>
      </c>
      <c r="D33" s="452">
        <f t="shared" si="1"/>
        <v>1.4200000002550551E-3</v>
      </c>
      <c r="E33" s="452">
        <f>$N$10+$N$9*(C33-SettlementDate)</f>
        <v>1.5019106098952844E-3</v>
      </c>
      <c r="F33" s="435">
        <f>$N$5+$N$4*(C33-SettlementDate)+$N$3*(C33-SettlementDate)^2</f>
        <v>1.5429148232084619E-3</v>
      </c>
    </row>
    <row r="34" spans="3:6" x14ac:dyDescent="0.2">
      <c r="C34" s="461">
        <f>_xll.qlCalendarAdvance(Calendar,C33,"1d","mf")</f>
        <v>41878</v>
      </c>
      <c r="D34" s="452">
        <f t="shared" si="1"/>
        <v>1.4200000002550551E-3</v>
      </c>
      <c r="E34" s="452">
        <f>$N$10+$N$9*(C34-SettlementDate)</f>
        <v>1.4984976678269414E-3</v>
      </c>
      <c r="F34" s="435">
        <f>$N$5+$N$4*(C34-SettlementDate)+$N$3*(C34-SettlementDate)^2</f>
        <v>1.5293581686843718E-3</v>
      </c>
    </row>
    <row r="35" spans="3:6" x14ac:dyDescent="0.2">
      <c r="C35" s="461">
        <f>_xll.qlCalendarAdvance(Calendar,C34,"1d","mf")</f>
        <v>41879</v>
      </c>
      <c r="D35" s="452">
        <f t="shared" si="1"/>
        <v>1.4200000002550551E-3</v>
      </c>
      <c r="E35" s="452">
        <f>$N$10+$N$9*(C35-SettlementDate)</f>
        <v>1.4950847257585984E-3</v>
      </c>
      <c r="F35" s="435">
        <f>$N$5+$N$4*(C35-SettlementDate)+$N$3*(C35-SettlementDate)^2</f>
        <v>1.5161235367779245E-3</v>
      </c>
    </row>
    <row r="36" spans="3:6" x14ac:dyDescent="0.2">
      <c r="C36" s="461">
        <f>_xll.qlCalendarAdvance(Calendar,C35,"1d","mf")</f>
        <v>41880</v>
      </c>
      <c r="D36" s="452">
        <f t="shared" si="1"/>
        <v>1.4200000002550551E-3</v>
      </c>
      <c r="E36" s="452">
        <f>$N$10+$N$9*(C36-SettlementDate)</f>
        <v>1.4916717836902557E-3</v>
      </c>
      <c r="F36" s="435">
        <f>$N$5+$N$4*(C36-SettlementDate)+$N$3*(C36-SettlementDate)^2</f>
        <v>1.5032109274891198E-3</v>
      </c>
    </row>
    <row r="37" spans="3:6" x14ac:dyDescent="0.2">
      <c r="C37" s="461">
        <f>_xll.qlCalendarAdvance(Calendar,C36,"1d","mf")</f>
        <v>41883</v>
      </c>
      <c r="D37" s="452">
        <f t="shared" si="1"/>
        <v>1.4200000002550551E-3</v>
      </c>
      <c r="E37" s="452">
        <f>$N$10+$N$9*(C37-SettlementDate)</f>
        <v>1.4814329574852269E-3</v>
      </c>
      <c r="F37" s="435">
        <f>$N$5+$N$4*(C37-SettlementDate)+$N$3*(C37-SettlementDate)^2</f>
        <v>1.4664052353285627E-3</v>
      </c>
    </row>
    <row r="38" spans="3:6" x14ac:dyDescent="0.2">
      <c r="C38" s="461">
        <f>_xll.qlCalendarAdvance(Calendar,C37,"1d","mf")</f>
        <v>41884</v>
      </c>
      <c r="D38" s="452">
        <f t="shared" si="1"/>
        <v>1.4200000002550551E-3</v>
      </c>
      <c r="E38" s="452">
        <f>$N$10+$N$9*(C38-SettlementDate)</f>
        <v>1.4780200154168842E-3</v>
      </c>
      <c r="F38" s="435">
        <f>$N$5+$N$4*(C38-SettlementDate)+$N$3*(C38-SettlementDate)^2</f>
        <v>1.4547807165103293E-3</v>
      </c>
    </row>
    <row r="39" spans="3:6" x14ac:dyDescent="0.2">
      <c r="C39" s="461">
        <f>_xll.qlCalendarAdvance(Calendar,C38,"1d","mf")</f>
        <v>41885</v>
      </c>
      <c r="D39" s="452">
        <f t="shared" si="1"/>
        <v>1.4200000002550551E-3</v>
      </c>
      <c r="E39" s="452">
        <f>$N$10+$N$9*(C39-SettlementDate)</f>
        <v>1.4746070733485412E-3</v>
      </c>
      <c r="F39" s="435">
        <f>$N$5+$N$4*(C39-SettlementDate)+$N$3*(C39-SettlementDate)^2</f>
        <v>1.4434782203097383E-3</v>
      </c>
    </row>
    <row r="40" spans="3:6" x14ac:dyDescent="0.2">
      <c r="C40" s="461">
        <f>_xll.qlCalendarAdvance(Calendar,C39,"1d","mf")</f>
        <v>41886</v>
      </c>
      <c r="D40" s="452">
        <f t="shared" si="1"/>
        <v>1.4200000002550551E-3</v>
      </c>
      <c r="E40" s="452">
        <f>$N$10+$N$9*(C40-SettlementDate)</f>
        <v>1.4711941312801984E-3</v>
      </c>
      <c r="F40" s="435">
        <f>$N$5+$N$4*(C40-SettlementDate)+$N$3*(C40-SettlementDate)^2</f>
        <v>1.4324977467267905E-3</v>
      </c>
    </row>
    <row r="41" spans="3:6" x14ac:dyDescent="0.2">
      <c r="C41" s="461">
        <f>_xll.qlCalendarAdvance(Calendar,C40,"1d","mf")</f>
        <v>41887</v>
      </c>
      <c r="D41" s="452">
        <f t="shared" si="1"/>
        <v>1.4200000002550551E-3</v>
      </c>
      <c r="E41" s="452">
        <f>$N$10+$N$9*(C41-SettlementDate)</f>
        <v>1.4677811892118554E-3</v>
      </c>
      <c r="F41" s="435">
        <f>$N$5+$N$4*(C41-SettlementDate)+$N$3*(C41-SettlementDate)^2</f>
        <v>1.4218392957614852E-3</v>
      </c>
    </row>
    <row r="42" spans="3:6" x14ac:dyDescent="0.2">
      <c r="C42" s="461">
        <f>_xll.qlCalendarAdvance(Calendar,C41,"1d","mf")</f>
        <v>41890</v>
      </c>
      <c r="D42" s="452">
        <f t="shared" si="1"/>
        <v>1.4200000002550551E-3</v>
      </c>
      <c r="E42" s="452">
        <f>$N$10+$N$9*(C42-SettlementDate)</f>
        <v>1.4575423630068267E-3</v>
      </c>
      <c r="F42" s="435">
        <f>$N$5+$N$4*(C42-SettlementDate)+$N$3*(C42-SettlementDate)^2</f>
        <v>1.3917960785714261E-3</v>
      </c>
    </row>
    <row r="43" spans="3:6" x14ac:dyDescent="0.2">
      <c r="C43" s="461">
        <f>_xll.qlCalendarAdvance(Calendar,C42,"1d","mf")</f>
        <v>41891</v>
      </c>
      <c r="D43" s="452">
        <f t="shared" si="1"/>
        <v>1.4200000002550551E-3</v>
      </c>
      <c r="E43" s="452">
        <f>$N$10+$N$9*(C43-SettlementDate)</f>
        <v>1.4541294209384839E-3</v>
      </c>
      <c r="F43" s="435">
        <f>$N$5+$N$4*(C43-SettlementDate)+$N$3*(C43-SettlementDate)^2</f>
        <v>1.3824257180766921E-3</v>
      </c>
    </row>
    <row r="44" spans="3:6" x14ac:dyDescent="0.2">
      <c r="C44" s="461">
        <f>_xll.qlCalendarAdvance(Calendar,C43,"1d","mf")</f>
        <v>41892</v>
      </c>
      <c r="D44" s="452">
        <f t="shared" si="1"/>
        <v>1.4200000002550551E-3</v>
      </c>
      <c r="E44" s="452">
        <f>$N$10+$N$9*(C44-SettlementDate)</f>
        <v>1.4507164788701409E-3</v>
      </c>
      <c r="F44" s="435">
        <f>$N$5+$N$4*(C44-SettlementDate)+$N$3*(C44-SettlementDate)^2</f>
        <v>1.3733773801996006E-3</v>
      </c>
    </row>
    <row r="45" spans="3:6" x14ac:dyDescent="0.2">
      <c r="C45" s="461">
        <f>_xll.qlCalendarAdvance(Calendar,C44,"1d","mf")</f>
        <v>41893</v>
      </c>
      <c r="D45" s="452">
        <f t="shared" si="1"/>
        <v>1.4200000002550551E-3</v>
      </c>
      <c r="E45" s="452">
        <f>$N$10+$N$9*(C45-SettlementDate)</f>
        <v>1.4473035368017982E-3</v>
      </c>
      <c r="F45" s="435">
        <f>$N$5+$N$4*(C45-SettlementDate)+$N$3*(C45-SettlementDate)^2</f>
        <v>1.3646510649401519E-3</v>
      </c>
    </row>
    <row r="46" spans="3:6" x14ac:dyDescent="0.2">
      <c r="C46" s="461">
        <f>_xll.qlCalendarAdvance(Calendar,C45,"1d","mf")</f>
        <v>41894</v>
      </c>
      <c r="D46" s="452">
        <f t="shared" si="1"/>
        <v>1.4200000002550551E-3</v>
      </c>
      <c r="E46" s="452">
        <f>$N$10+$N$9*(C46-SettlementDate)</f>
        <v>1.4438905947334552E-3</v>
      </c>
      <c r="F46" s="435">
        <f>$N$5+$N$4*(C46-SettlementDate)+$N$3*(C46-SettlementDate)^2</f>
        <v>1.3562467722983461E-3</v>
      </c>
    </row>
    <row r="47" spans="3:6" x14ac:dyDescent="0.2">
      <c r="C47" s="461">
        <f>_xll.qlCalendarAdvance(Calendar,C46,"1d","mf")</f>
        <v>41897</v>
      </c>
      <c r="D47" s="452">
        <f t="shared" si="1"/>
        <v>1.4200000002550551E-3</v>
      </c>
      <c r="E47" s="452">
        <f>$N$10+$N$9*(C47-SettlementDate)</f>
        <v>1.4336517685284264E-3</v>
      </c>
      <c r="F47" s="435">
        <f>$N$5+$N$4*(C47-SettlementDate)+$N$3*(C47-SettlementDate)^2</f>
        <v>1.3329660300787855E-3</v>
      </c>
    </row>
    <row r="48" spans="3:6" x14ac:dyDescent="0.2">
      <c r="C48" s="461">
        <f>_xll.qlCalendarAdvance(Calendar,C47,"1d","mf")</f>
        <v>41898</v>
      </c>
      <c r="D48" s="452">
        <f t="shared" si="1"/>
        <v>1.4200000002550551E-3</v>
      </c>
      <c r="E48" s="452">
        <f>$N$10+$N$9*(C48-SettlementDate)</f>
        <v>1.4302388264600837E-3</v>
      </c>
      <c r="F48" s="435">
        <f>$N$5+$N$4*(C48-SettlementDate)+$N$3*(C48-SettlementDate)^2</f>
        <v>1.3258498279075507E-3</v>
      </c>
    </row>
    <row r="49" spans="3:6" x14ac:dyDescent="0.2">
      <c r="C49" s="461">
        <f>_xll.qlCalendarAdvance(Calendar,C48,"1d","mf")</f>
        <v>41899</v>
      </c>
      <c r="D49" s="452">
        <f t="shared" si="1"/>
        <v>1.4200000002550551E-3</v>
      </c>
      <c r="E49" s="452">
        <f>$N$10+$N$9*(C49-SettlementDate)</f>
        <v>1.4268258843917407E-3</v>
      </c>
      <c r="F49" s="435">
        <f>$N$5+$N$4*(C49-SettlementDate)+$N$3*(C49-SettlementDate)^2</f>
        <v>1.3190556483539586E-3</v>
      </c>
    </row>
    <row r="50" spans="3:6" x14ac:dyDescent="0.2">
      <c r="C50" s="461">
        <f>_xll.qlCalendarAdvance(Calendar,C49,"1d","mf")</f>
        <v>41900</v>
      </c>
      <c r="D50" s="452">
        <f t="shared" si="1"/>
        <v>1.4200000002550551E-3</v>
      </c>
      <c r="E50" s="452">
        <f>$N$10+$N$9*(C50-SettlementDate)</f>
        <v>1.4234129423233979E-3</v>
      </c>
      <c r="F50" s="435">
        <f>$N$5+$N$4*(C50-SettlementDate)+$N$3*(C50-SettlementDate)^2</f>
        <v>1.3125834914180096E-3</v>
      </c>
    </row>
    <row r="51" spans="3:6" x14ac:dyDescent="0.2">
      <c r="C51" s="461">
        <f>_xll.qlCalendarAdvance(Calendar,C50,"1d","mf")</f>
        <v>41901</v>
      </c>
      <c r="D51" s="452">
        <f t="shared" si="1"/>
        <v>1.4200000002550551E-3</v>
      </c>
      <c r="E51" s="452">
        <f>$N$10+$N$9*(C51-SettlementDate)</f>
        <v>1.4200000002550549E-3</v>
      </c>
      <c r="F51" s="435">
        <f>$N$5+$N$4*(C51-SettlementDate)+$N$3*(C51-SettlementDate)^2</f>
        <v>1.3064333570997027E-3</v>
      </c>
    </row>
    <row r="52" spans="3:6" x14ac:dyDescent="0.2">
      <c r="C52" s="461">
        <f>_xll.qlCalendarAdvance(Calendar,C51,"1d","mf")</f>
        <v>41904</v>
      </c>
      <c r="D52" s="452">
        <f t="shared" si="1"/>
        <v>1.4200000002550551E-3</v>
      </c>
      <c r="E52" s="452">
        <f>$N$10+$N$9*(C52-SettlementDate)</f>
        <v>1.4097611740500264E-3</v>
      </c>
      <c r="F52" s="435">
        <f>$N$5+$N$4*(C52-SettlementDate)+$N$3*(C52-SettlementDate)^2</f>
        <v>1.2899150898506402E-3</v>
      </c>
    </row>
    <row r="53" spans="3:6" x14ac:dyDescent="0.2">
      <c r="C53" s="461">
        <f>_xll.qlCalendarAdvance(Calendar,C52,"1d","mf")</f>
        <v>41905</v>
      </c>
      <c r="D53" s="452">
        <f t="shared" si="1"/>
        <v>1.4200000002550551E-3</v>
      </c>
      <c r="E53" s="452">
        <f>$N$10+$N$9*(C53-SettlementDate)</f>
        <v>1.4063482319816834E-3</v>
      </c>
      <c r="F53" s="435">
        <f>$N$5+$N$4*(C53-SettlementDate)+$N$3*(C53-SettlementDate)^2</f>
        <v>1.2850530460029048E-3</v>
      </c>
    </row>
    <row r="54" spans="3:6" x14ac:dyDescent="0.2">
      <c r="C54" s="461">
        <f>_xll.qlCalendarAdvance(Calendar,C53,"1d","mf")</f>
        <v>41906</v>
      </c>
      <c r="D54" s="452">
        <f t="shared" si="1"/>
        <v>1.4200000002550551E-3</v>
      </c>
      <c r="E54" s="452">
        <f>$N$10+$N$9*(C54-SettlementDate)</f>
        <v>1.4029352899133404E-3</v>
      </c>
      <c r="F54" s="435">
        <f>$N$5+$N$4*(C54-SettlementDate)+$N$3*(C54-SettlementDate)^2</f>
        <v>1.2805130247728123E-3</v>
      </c>
    </row>
    <row r="55" spans="3:6" x14ac:dyDescent="0.2">
      <c r="C55" s="461">
        <f>_xll.qlCalendarAdvance(Calendar,C54,"1d","mf")</f>
        <v>41907</v>
      </c>
      <c r="D55" s="452">
        <f t="shared" si="1"/>
        <v>1.4200000002550551E-3</v>
      </c>
      <c r="E55" s="452">
        <f>$N$10+$N$9*(C55-SettlementDate)</f>
        <v>1.3995223478449976E-3</v>
      </c>
      <c r="F55" s="435">
        <f>$N$5+$N$4*(C55-SettlementDate)+$N$3*(C55-SettlementDate)^2</f>
        <v>1.2762950261603625E-3</v>
      </c>
    </row>
    <row r="56" spans="3:6" x14ac:dyDescent="0.2">
      <c r="C56" s="461">
        <f>_xll.qlCalendarAdvance(Calendar,C55,"1d","mf")</f>
        <v>41908</v>
      </c>
      <c r="D56" s="452">
        <f t="shared" si="1"/>
        <v>1.4200000002550551E-3</v>
      </c>
      <c r="E56" s="452">
        <f>$N$10+$N$9*(C56-SettlementDate)</f>
        <v>1.3961094057766547E-3</v>
      </c>
      <c r="F56" s="435">
        <f>$N$5+$N$4*(C56-SettlementDate)+$N$3*(C56-SettlementDate)^2</f>
        <v>1.2723990501655551E-3</v>
      </c>
    </row>
    <row r="57" spans="3:6" x14ac:dyDescent="0.2">
      <c r="C57" s="461">
        <f>_xll.qlCalendarAdvance(Calendar,C56,"1d","mf")</f>
        <v>41911</v>
      </c>
      <c r="D57" s="452">
        <f t="shared" si="1"/>
        <v>1.4200000002550551E-3</v>
      </c>
      <c r="E57" s="452">
        <f>$N$10+$N$9*(C57-SettlementDate)</f>
        <v>1.3858705795716259E-3</v>
      </c>
      <c r="F57" s="435">
        <f>$N$5+$N$4*(C57-SettlementDate)+$N$3*(C57-SettlementDate)^2</f>
        <v>1.2626432578869908E-3</v>
      </c>
    </row>
    <row r="58" spans="3:6" x14ac:dyDescent="0.2">
      <c r="C58" s="461">
        <f>_xll.qlCalendarAdvance(Calendar,C57,"1d","mf")</f>
        <v>41912</v>
      </c>
      <c r="D58" s="452">
        <f t="shared" si="1"/>
        <v>1.4200000002550551E-3</v>
      </c>
      <c r="E58" s="452">
        <f>$N$10+$N$9*(C58-SettlementDate)</f>
        <v>1.3824576375032831E-3</v>
      </c>
      <c r="F58" s="435">
        <f>$N$5+$N$4*(C58-SettlementDate)+$N$3*(C58-SettlementDate)^2</f>
        <v>1.2600353723627546E-3</v>
      </c>
    </row>
    <row r="59" spans="3:6" x14ac:dyDescent="0.2">
      <c r="C59" s="461">
        <f>_xll.qlCalendarAdvance(Calendar,C58,"1d","mf")</f>
        <v>41913</v>
      </c>
      <c r="D59" s="452">
        <f t="shared" si="1"/>
        <v>1.4200000002550551E-3</v>
      </c>
      <c r="E59" s="452">
        <f>$N$10+$N$9*(C59-SettlementDate)</f>
        <v>1.3790446954349402E-3</v>
      </c>
      <c r="F59" s="435">
        <f>$N$5+$N$4*(C59-SettlementDate)+$N$3*(C59-SettlementDate)^2</f>
        <v>1.2577495094561616E-3</v>
      </c>
    </row>
    <row r="60" spans="3:6" x14ac:dyDescent="0.2">
      <c r="C60" s="461">
        <f>_xll.qlCalendarAdvance(Calendar,C59,"1d","mf")</f>
        <v>41914</v>
      </c>
      <c r="D60" s="452">
        <f t="shared" si="1"/>
        <v>1.4200000002550551E-3</v>
      </c>
      <c r="E60" s="452">
        <f>$N$10+$N$9*(C60-SettlementDate)</f>
        <v>1.3756317533665974E-3</v>
      </c>
      <c r="F60" s="435">
        <f>$N$5+$N$4*(C60-SettlementDate)+$N$3*(C60-SettlementDate)^2</f>
        <v>1.2557856691672109E-3</v>
      </c>
    </row>
    <row r="61" spans="3:6" x14ac:dyDescent="0.2">
      <c r="C61" s="461">
        <f>_xll.qlCalendarAdvance(Calendar,C60,"1d","mf")</f>
        <v>41915</v>
      </c>
      <c r="D61" s="452">
        <f t="shared" si="1"/>
        <v>1.4200000002550551E-3</v>
      </c>
      <c r="E61" s="452">
        <f>$N$10+$N$9*(C61-SettlementDate)</f>
        <v>1.3722188112982544E-3</v>
      </c>
      <c r="F61" s="435">
        <f>$N$5+$N$4*(C61-SettlementDate)+$N$3*(C61-SettlementDate)^2</f>
        <v>1.2541438514959032E-3</v>
      </c>
    </row>
    <row r="62" spans="3:6" x14ac:dyDescent="0.2">
      <c r="C62" s="461">
        <f>_xll.qlCalendarAdvance(Calendar,C61,"1d","mf")</f>
        <v>41918</v>
      </c>
      <c r="D62" s="452">
        <f t="shared" si="1"/>
        <v>1.4200000002550551E-3</v>
      </c>
      <c r="E62" s="452">
        <f>$N$10+$N$9*(C62-SettlementDate)</f>
        <v>1.3619799850932259E-3</v>
      </c>
      <c r="F62" s="435">
        <f>$N$5+$N$4*(C62-SettlementDate)+$N$3*(C62-SettlementDate)^2</f>
        <v>1.2511505341878367E-3</v>
      </c>
    </row>
    <row r="63" spans="3:6" x14ac:dyDescent="0.2">
      <c r="C63" s="461">
        <f>_xll.qlCalendarAdvance(Calendar,C62,"1d","mf")</f>
        <v>41919</v>
      </c>
      <c r="D63" s="452">
        <f t="shared" si="1"/>
        <v>1.4200000002550551E-3</v>
      </c>
      <c r="E63" s="452">
        <f>$N$10+$N$9*(C63-SettlementDate)</f>
        <v>1.3585670430248829E-3</v>
      </c>
      <c r="F63" s="435">
        <f>$N$5+$N$4*(C63-SettlementDate)+$N$3*(C63-SettlementDate)^2</f>
        <v>1.2507968069871002E-3</v>
      </c>
    </row>
    <row r="64" spans="3:6" x14ac:dyDescent="0.2">
      <c r="C64" s="461">
        <f>_xll.qlCalendarAdvance(Calendar,C63,"1d","mf")</f>
        <v>41920</v>
      </c>
      <c r="D64" s="452">
        <f t="shared" si="1"/>
        <v>1.4200000002550551E-3</v>
      </c>
      <c r="E64" s="452">
        <f>$N$10+$N$9*(C64-SettlementDate)</f>
        <v>1.3551541009565399E-3</v>
      </c>
      <c r="F64" s="435">
        <f>$N$5+$N$4*(C64-SettlementDate)+$N$3*(C64-SettlementDate)^2</f>
        <v>1.2507651024040063E-3</v>
      </c>
    </row>
    <row r="65" spans="3:6" x14ac:dyDescent="0.2">
      <c r="C65" s="461">
        <f>_xll.qlCalendarAdvance(Calendar,C64,"1d","mf")</f>
        <v>41921</v>
      </c>
      <c r="D65" s="452">
        <f t="shared" si="1"/>
        <v>1.4200000002550551E-3</v>
      </c>
      <c r="E65" s="452">
        <f>$N$10+$N$9*(C65-SettlementDate)</f>
        <v>1.3517411588881971E-3</v>
      </c>
      <c r="F65" s="435">
        <f>$N$5+$N$4*(C65-SettlementDate)+$N$3*(C65-SettlementDate)^2</f>
        <v>1.2510554204385553E-3</v>
      </c>
    </row>
    <row r="66" spans="3:6" x14ac:dyDescent="0.2">
      <c r="C66" s="461">
        <f>_xll.qlCalendarAdvance(Calendar,C65,"1d","mf")</f>
        <v>41922</v>
      </c>
      <c r="D66" s="452">
        <f t="shared" si="1"/>
        <v>1.4200000002550551E-3</v>
      </c>
      <c r="E66" s="452">
        <f>$N$10+$N$9*(C66-SettlementDate)</f>
        <v>1.3483282168198542E-3</v>
      </c>
      <c r="F66" s="435">
        <f>$N$5+$N$4*(C66-SettlementDate)+$N$3*(C66-SettlementDate)^2</f>
        <v>1.251667761090747E-3</v>
      </c>
    </row>
    <row r="67" spans="3:6" x14ac:dyDescent="0.2">
      <c r="C67" s="461">
        <f>_xll.qlCalendarAdvance(Calendar,C66,"1d","mf")</f>
        <v>41925</v>
      </c>
      <c r="D67" s="452">
        <f t="shared" si="1"/>
        <v>1.4200000002550551E-3</v>
      </c>
      <c r="E67" s="452">
        <f>$N$10+$N$9*(C67-SettlementDate)</f>
        <v>1.3380893906148256E-3</v>
      </c>
      <c r="F67" s="435">
        <f>$N$5+$N$4*(C67-SettlementDate)+$N$3*(C67-SettlementDate)^2</f>
        <v>1.2554369187531785E-3</v>
      </c>
    </row>
    <row r="68" spans="3:6" x14ac:dyDescent="0.2">
      <c r="C68" s="461">
        <f>_xll.qlCalendarAdvance(Calendar,C67,"1d","mf")</f>
        <v>41926</v>
      </c>
      <c r="D68" s="452">
        <f t="shared" si="1"/>
        <v>1.4200000002550551E-3</v>
      </c>
      <c r="E68" s="452">
        <f>$N$10+$N$9*(C68-SettlementDate)</f>
        <v>1.3346764485464826E-3</v>
      </c>
      <c r="F68" s="435">
        <f>$N$5+$N$4*(C68-SettlementDate)+$N$3*(C68-SettlementDate)^2</f>
        <v>1.2573373498759415E-3</v>
      </c>
    </row>
    <row r="69" spans="3:6" x14ac:dyDescent="0.2">
      <c r="C69" s="461">
        <f>_xll.qlCalendarAdvance(Calendar,C68,"1d","mf")</f>
        <v>41927</v>
      </c>
      <c r="D69" s="452">
        <f t="shared" si="1"/>
        <v>1.4200000002550551E-3</v>
      </c>
      <c r="E69" s="452">
        <f>$N$10+$N$9*(C69-SettlementDate)</f>
        <v>1.3312635064781399E-3</v>
      </c>
      <c r="F69" s="435">
        <f>$N$5+$N$4*(C69-SettlementDate)+$N$3*(C69-SettlementDate)^2</f>
        <v>1.259559803616347E-3</v>
      </c>
    </row>
    <row r="70" spans="3:6" x14ac:dyDescent="0.2">
      <c r="C70" s="461">
        <f>_xll.qlCalendarAdvance(Calendar,C69,"1d","mf")</f>
        <v>41928</v>
      </c>
      <c r="D70" s="452">
        <f t="shared" si="1"/>
        <v>1.4200000002550551E-3</v>
      </c>
      <c r="E70" s="452">
        <f>$N$10+$N$9*(C70-SettlementDate)</f>
        <v>1.3278505644097969E-3</v>
      </c>
      <c r="F70" s="435">
        <f>$N$5+$N$4*(C70-SettlementDate)+$N$3*(C70-SettlementDate)^2</f>
        <v>1.2621042799743952E-3</v>
      </c>
    </row>
    <row r="71" spans="3:6" x14ac:dyDescent="0.2">
      <c r="C71" s="461">
        <f>_xll.qlCalendarAdvance(Calendar,C70,"1d","mf")</f>
        <v>41929</v>
      </c>
      <c r="D71" s="452">
        <f t="shared" si="1"/>
        <v>1.4200000002550551E-3</v>
      </c>
      <c r="E71" s="452">
        <f>$N$10+$N$9*(C71-SettlementDate)</f>
        <v>1.3244376223414539E-3</v>
      </c>
      <c r="F71" s="435">
        <f>$N$5+$N$4*(C71-SettlementDate)+$N$3*(C71-SettlementDate)^2</f>
        <v>1.2649707789500863E-3</v>
      </c>
    </row>
    <row r="72" spans="3:6" x14ac:dyDescent="0.2">
      <c r="C72" s="461">
        <f>_xll.qlCalendarAdvance(Calendar,C71,"1d","mf")</f>
        <v>41932</v>
      </c>
      <c r="D72" s="452">
        <f t="shared" si="1"/>
        <v>1.4200000002550551E-3</v>
      </c>
      <c r="E72" s="452">
        <f>$N$10+$N$9*(C72-SettlementDate)</f>
        <v>1.3141987961364254E-3</v>
      </c>
      <c r="F72" s="435">
        <f>$N$5+$N$4*(C72-SettlementDate)+$N$3*(C72-SettlementDate)^2</f>
        <v>1.2755024115830159E-3</v>
      </c>
    </row>
    <row r="73" spans="3:6" x14ac:dyDescent="0.2">
      <c r="C73" s="461">
        <f>_xll.qlCalendarAdvance(Calendar,C72,"1d","mf")</f>
        <v>41933</v>
      </c>
      <c r="D73" s="452">
        <f t="shared" si="1"/>
        <v>1.4200000002550551E-3</v>
      </c>
      <c r="E73" s="452">
        <f>$N$10+$N$9*(C73-SettlementDate)</f>
        <v>1.3107858540680824E-3</v>
      </c>
      <c r="F73" s="435">
        <f>$N$5+$N$4*(C73-SettlementDate)+$N$3*(C73-SettlementDate)^2</f>
        <v>1.2796570010292782E-3</v>
      </c>
    </row>
    <row r="74" spans="3:6" x14ac:dyDescent="0.2">
      <c r="C74" s="461">
        <f>_xll.qlCalendarAdvance(Calendar,C73,"1d","mf")</f>
        <v>41934</v>
      </c>
      <c r="D74" s="452">
        <f t="shared" si="1"/>
        <v>1.4200000002550551E-3</v>
      </c>
      <c r="E74" s="452">
        <f>$N$10+$N$9*(C74-SettlementDate)</f>
        <v>1.3073729119997394E-3</v>
      </c>
      <c r="F74" s="435">
        <f>$N$5+$N$4*(C74-SettlementDate)+$N$3*(C74-SettlementDate)^2</f>
        <v>1.284133613093183E-3</v>
      </c>
    </row>
    <row r="75" spans="3:6" x14ac:dyDescent="0.2">
      <c r="C75" s="461">
        <f>_xll.qlCalendarAdvance(Calendar,C74,"1d","mf")</f>
        <v>41935</v>
      </c>
      <c r="D75" s="452">
        <f t="shared" si="1"/>
        <v>1.4200000002550551E-3</v>
      </c>
      <c r="E75" s="452">
        <f>$N$10+$N$9*(C75-SettlementDate)</f>
        <v>1.3039599699313966E-3</v>
      </c>
      <c r="F75" s="435">
        <f>$N$5+$N$4*(C75-SettlementDate)+$N$3*(C75-SettlementDate)^2</f>
        <v>1.2889322477747309E-3</v>
      </c>
    </row>
    <row r="76" spans="3:6" x14ac:dyDescent="0.2">
      <c r="C76" s="461">
        <f>_xll.qlCalendarAdvance(Calendar,C75,"1d","mf")</f>
        <v>41936</v>
      </c>
      <c r="D76" s="452">
        <f t="shared" si="1"/>
        <v>1.4200000002550551E-3</v>
      </c>
      <c r="E76" s="452">
        <f>$N$10+$N$9*(C76-SettlementDate)</f>
        <v>1.3005470278630539E-3</v>
      </c>
      <c r="F76" s="435">
        <f>$N$5+$N$4*(C76-SettlementDate)+$N$3*(C76-SettlementDate)^2</f>
        <v>1.2940529050739214E-3</v>
      </c>
    </row>
    <row r="77" spans="3:6" x14ac:dyDescent="0.2">
      <c r="C77" s="461">
        <f>_xll.qlCalendarAdvance(Calendar,C76,"1d","mf")</f>
        <v>41939</v>
      </c>
      <c r="D77" s="452">
        <f t="shared" si="1"/>
        <v>1.4200000002550551E-3</v>
      </c>
      <c r="E77" s="452">
        <f>$N$10+$N$9*(C77-SettlementDate)</f>
        <v>1.2903082016580251E-3</v>
      </c>
      <c r="F77" s="435">
        <f>$N$5+$N$4*(C77-SettlementDate)+$N$3*(C77-SettlementDate)^2</f>
        <v>1.3113470126773492E-3</v>
      </c>
    </row>
    <row r="78" spans="3:6" x14ac:dyDescent="0.2">
      <c r="C78" s="461">
        <f>_xll.qlCalendarAdvance(Calendar,C77,"1d","mf")</f>
        <v>41940</v>
      </c>
      <c r="D78" s="452">
        <f t="shared" si="1"/>
        <v>1.4200000002550551E-3</v>
      </c>
      <c r="E78" s="452">
        <f>$N$10+$N$9*(C78-SettlementDate)</f>
        <v>1.2868952595896821E-3</v>
      </c>
      <c r="F78" s="435">
        <f>$N$5+$N$4*(C78-SettlementDate)+$N$3*(C78-SettlementDate)^2</f>
        <v>1.3177557604471108E-3</v>
      </c>
    </row>
    <row r="79" spans="3:6" x14ac:dyDescent="0.2">
      <c r="C79" s="461">
        <f>_xll.qlCalendarAdvance(Calendar,C78,"1d","mf")</f>
        <v>41941</v>
      </c>
      <c r="D79" s="452">
        <f t="shared" si="1"/>
        <v>1.4200000002550551E-3</v>
      </c>
      <c r="E79" s="452">
        <f>$N$10+$N$9*(C79-SettlementDate)</f>
        <v>1.2834823175213394E-3</v>
      </c>
      <c r="F79" s="435">
        <f>$N$5+$N$4*(C79-SettlementDate)+$N$3*(C79-SettlementDate)^2</f>
        <v>1.324486530834515E-3</v>
      </c>
    </row>
    <row r="80" spans="3:6" x14ac:dyDescent="0.2">
      <c r="C80" s="461">
        <f>_xll.qlCalendarAdvance(Calendar,C79,"1d","mf")</f>
        <v>41942</v>
      </c>
      <c r="D80" s="452">
        <f t="shared" si="1"/>
        <v>1.4200000002550551E-3</v>
      </c>
      <c r="E80" s="452">
        <f>$N$10+$N$9*(C80-SettlementDate)</f>
        <v>1.2800693754529964E-3</v>
      </c>
      <c r="F80" s="435">
        <f>$N$5+$N$4*(C80-SettlementDate)+$N$3*(C80-SettlementDate)^2</f>
        <v>1.331539323839562E-3</v>
      </c>
    </row>
    <row r="81" spans="3:6" x14ac:dyDescent="0.2">
      <c r="C81" s="461">
        <f>_xll.qlCalendarAdvance(Calendar,C80,"1d","mf")</f>
        <v>41943</v>
      </c>
      <c r="D81" s="452">
        <f t="shared" si="1"/>
        <v>1.4200000002550551E-3</v>
      </c>
      <c r="E81" s="452">
        <f>$N$10+$N$9*(C81-SettlementDate)</f>
        <v>1.2766564333846534E-3</v>
      </c>
      <c r="F81" s="435">
        <f>$N$5+$N$4*(C81-SettlementDate)+$N$3*(C81-SettlementDate)^2</f>
        <v>1.3389141394622519E-3</v>
      </c>
    </row>
    <row r="82" spans="3:6" x14ac:dyDescent="0.2">
      <c r="C82" s="461">
        <f>_xll.qlCalendarAdvance(Calendar,C81,"1d","mf")</f>
        <v>41946</v>
      </c>
      <c r="D82" s="452">
        <f t="shared" ref="D82:D114" si="2">$N$13</f>
        <v>1.4200000002550551E-3</v>
      </c>
      <c r="E82" s="452">
        <f>$N$10+$N$9*(C82-SettlementDate)</f>
        <v>1.2664176071796249E-3</v>
      </c>
      <c r="F82" s="435">
        <f>$N$5+$N$4*(C82-SettlementDate)+$N$3*(C82-SettlementDate)^2</f>
        <v>1.362970722036178E-3</v>
      </c>
    </row>
    <row r="83" spans="3:6" x14ac:dyDescent="0.2">
      <c r="C83" s="461">
        <f>_xll.qlCalendarAdvance(Calendar,C82,"1d","mf")</f>
        <v>41947</v>
      </c>
      <c r="D83" s="452">
        <f t="shared" si="2"/>
        <v>1.4200000002550551E-3</v>
      </c>
      <c r="E83" s="452">
        <f>$N$10+$N$9*(C83-SettlementDate)</f>
        <v>1.2630046651112819E-3</v>
      </c>
      <c r="F83" s="435">
        <f>$N$5+$N$4*(C83-SettlementDate)+$N$3*(C83-SettlementDate)^2</f>
        <v>1.3716336281294388E-3</v>
      </c>
    </row>
    <row r="84" spans="3:6" x14ac:dyDescent="0.2">
      <c r="C84" s="461"/>
      <c r="D84" s="452"/>
      <c r="E84" s="452"/>
      <c r="F84" s="435"/>
    </row>
    <row r="85" spans="3:6" x14ac:dyDescent="0.2">
      <c r="C85" s="461"/>
      <c r="D85" s="452"/>
      <c r="E85" s="452"/>
      <c r="F85" s="435"/>
    </row>
    <row r="86" spans="3:6" x14ac:dyDescent="0.2">
      <c r="C86" s="461"/>
      <c r="D86" s="452"/>
      <c r="E86" s="452"/>
      <c r="F86" s="435"/>
    </row>
    <row r="87" spans="3:6" x14ac:dyDescent="0.2">
      <c r="C87" s="461"/>
      <c r="D87" s="452"/>
      <c r="E87" s="452"/>
      <c r="F87" s="435"/>
    </row>
    <row r="88" spans="3:6" x14ac:dyDescent="0.2">
      <c r="C88" s="461"/>
      <c r="D88" s="452"/>
      <c r="E88" s="452"/>
      <c r="F88" s="435"/>
    </row>
    <row r="89" spans="3:6" x14ac:dyDescent="0.2">
      <c r="C89" s="461"/>
      <c r="D89" s="452"/>
      <c r="E89" s="452"/>
      <c r="F89" s="435"/>
    </row>
    <row r="90" spans="3:6" x14ac:dyDescent="0.2">
      <c r="C90" s="461"/>
      <c r="D90" s="452"/>
      <c r="E90" s="452"/>
      <c r="F90" s="435"/>
    </row>
    <row r="91" spans="3:6" x14ac:dyDescent="0.2">
      <c r="C91" s="461"/>
      <c r="D91" s="452"/>
      <c r="E91" s="452"/>
      <c r="F91" s="435"/>
    </row>
    <row r="92" spans="3:6" x14ac:dyDescent="0.2">
      <c r="C92" s="461"/>
      <c r="D92" s="452"/>
      <c r="E92" s="452"/>
      <c r="F92" s="435"/>
    </row>
    <row r="93" spans="3:6" x14ac:dyDescent="0.2">
      <c r="C93" s="461"/>
      <c r="D93" s="452"/>
      <c r="E93" s="452"/>
      <c r="F93" s="435"/>
    </row>
    <row r="94" spans="3:6" x14ac:dyDescent="0.2">
      <c r="C94" s="461"/>
      <c r="D94" s="452"/>
      <c r="E94" s="452"/>
      <c r="F94" s="435"/>
    </row>
    <row r="95" spans="3:6" x14ac:dyDescent="0.2">
      <c r="C95" s="461"/>
      <c r="D95" s="452"/>
      <c r="E95" s="452"/>
      <c r="F95" s="435"/>
    </row>
    <row r="96" spans="3:6" x14ac:dyDescent="0.2">
      <c r="C96" s="461"/>
      <c r="D96" s="452"/>
      <c r="E96" s="452"/>
      <c r="F96" s="435"/>
    </row>
    <row r="97" spans="3:6" x14ac:dyDescent="0.2">
      <c r="C97" s="461"/>
      <c r="D97" s="452"/>
      <c r="E97" s="452"/>
      <c r="F97" s="435"/>
    </row>
    <row r="98" spans="3:6" x14ac:dyDescent="0.2">
      <c r="C98" s="461"/>
      <c r="D98" s="452"/>
      <c r="E98" s="452"/>
      <c r="F98" s="435"/>
    </row>
    <row r="99" spans="3:6" x14ac:dyDescent="0.2">
      <c r="C99" s="461"/>
      <c r="D99" s="452"/>
      <c r="E99" s="452"/>
      <c r="F99" s="435"/>
    </row>
    <row r="100" spans="3:6" x14ac:dyDescent="0.2">
      <c r="C100" s="461"/>
      <c r="D100" s="452"/>
      <c r="E100" s="452"/>
      <c r="F100" s="435"/>
    </row>
    <row r="101" spans="3:6" x14ac:dyDescent="0.2">
      <c r="C101" s="461"/>
      <c r="D101" s="452"/>
      <c r="E101" s="452"/>
      <c r="F101" s="435"/>
    </row>
    <row r="102" spans="3:6" x14ac:dyDescent="0.2">
      <c r="C102" s="461"/>
      <c r="D102" s="452"/>
      <c r="E102" s="452"/>
      <c r="F102" s="435"/>
    </row>
    <row r="103" spans="3:6" x14ac:dyDescent="0.2">
      <c r="C103" s="461"/>
      <c r="D103" s="452"/>
      <c r="E103" s="452"/>
      <c r="F103" s="435"/>
    </row>
    <row r="104" spans="3:6" x14ac:dyDescent="0.2">
      <c r="C104" s="461"/>
      <c r="D104" s="452"/>
      <c r="E104" s="452"/>
      <c r="F104" s="435"/>
    </row>
    <row r="105" spans="3:6" x14ac:dyDescent="0.2">
      <c r="C105" s="461"/>
      <c r="D105" s="452"/>
      <c r="E105" s="452"/>
      <c r="F105" s="435"/>
    </row>
    <row r="106" spans="3:6" x14ac:dyDescent="0.2">
      <c r="C106" s="461"/>
      <c r="D106" s="452"/>
      <c r="E106" s="452"/>
      <c r="F106" s="435"/>
    </row>
    <row r="107" spans="3:6" x14ac:dyDescent="0.2">
      <c r="C107" s="461"/>
      <c r="D107" s="452"/>
      <c r="E107" s="452"/>
      <c r="F107" s="435"/>
    </row>
    <row r="108" spans="3:6" x14ac:dyDescent="0.2">
      <c r="C108" s="461"/>
      <c r="D108" s="452"/>
      <c r="E108" s="452"/>
      <c r="F108" s="435"/>
    </row>
    <row r="109" spans="3:6" x14ac:dyDescent="0.2">
      <c r="C109" s="461"/>
      <c r="D109" s="452"/>
      <c r="E109" s="452"/>
      <c r="F109" s="435"/>
    </row>
    <row r="110" spans="3:6" x14ac:dyDescent="0.2">
      <c r="C110" s="461"/>
      <c r="D110" s="452"/>
      <c r="E110" s="452"/>
      <c r="F110" s="435"/>
    </row>
    <row r="111" spans="3:6" x14ac:dyDescent="0.2">
      <c r="C111" s="461"/>
      <c r="D111" s="452"/>
      <c r="E111" s="452"/>
      <c r="F111" s="435"/>
    </row>
    <row r="112" spans="3:6" x14ac:dyDescent="0.2">
      <c r="C112" s="461"/>
      <c r="D112" s="452"/>
      <c r="E112" s="452"/>
      <c r="F112" s="435"/>
    </row>
    <row r="113" spans="3:6" x14ac:dyDescent="0.2">
      <c r="C113" s="461"/>
      <c r="D113" s="452"/>
      <c r="E113" s="452"/>
      <c r="F113" s="435"/>
    </row>
    <row r="114" spans="3:6" ht="12" thickBot="1" x14ac:dyDescent="0.25">
      <c r="C114" s="462"/>
      <c r="D114" s="463"/>
      <c r="E114" s="463"/>
      <c r="F114" s="436"/>
    </row>
    <row r="115" spans="3:6" x14ac:dyDescent="0.2">
      <c r="C115" s="460"/>
      <c r="D115" s="427"/>
      <c r="E115" s="427"/>
      <c r="F115" s="427"/>
    </row>
    <row r="116" spans="3:6" x14ac:dyDescent="0.2">
      <c r="C116" s="460"/>
      <c r="D116" s="427"/>
      <c r="E116" s="427"/>
      <c r="F116" s="427"/>
    </row>
    <row r="117" spans="3:6" x14ac:dyDescent="0.2">
      <c r="C117" s="460"/>
      <c r="D117" s="427"/>
      <c r="E117" s="427"/>
      <c r="F117" s="427"/>
    </row>
    <row r="118" spans="3:6" x14ac:dyDescent="0.2">
      <c r="C118" s="460"/>
      <c r="D118" s="427"/>
      <c r="E118" s="427"/>
      <c r="F118" s="427"/>
    </row>
    <row r="119" spans="3:6" x14ac:dyDescent="0.2">
      <c r="C119" s="460"/>
      <c r="D119" s="427"/>
      <c r="E119" s="427"/>
      <c r="F119" s="427"/>
    </row>
    <row r="120" spans="3:6" x14ac:dyDescent="0.2">
      <c r="C120" s="460"/>
      <c r="D120" s="427"/>
      <c r="E120" s="427"/>
      <c r="F120" s="427"/>
    </row>
    <row r="121" spans="3:6" x14ac:dyDescent="0.2">
      <c r="C121" s="460"/>
      <c r="D121" s="427"/>
      <c r="E121" s="427"/>
      <c r="F121" s="427"/>
    </row>
    <row r="122" spans="3:6" x14ac:dyDescent="0.2">
      <c r="C122" s="460"/>
      <c r="D122" s="427"/>
      <c r="E122" s="427"/>
      <c r="F122" s="427"/>
    </row>
    <row r="123" spans="3:6" x14ac:dyDescent="0.2">
      <c r="C123" s="460"/>
      <c r="D123" s="427"/>
      <c r="E123" s="427"/>
      <c r="F123" s="427"/>
    </row>
    <row r="124" spans="3:6" x14ac:dyDescent="0.2">
      <c r="C124" s="460"/>
      <c r="D124" s="427"/>
      <c r="E124" s="427"/>
      <c r="F124" s="427"/>
    </row>
    <row r="125" spans="3:6" x14ac:dyDescent="0.2">
      <c r="C125" s="460"/>
      <c r="D125" s="427"/>
      <c r="E125" s="427"/>
      <c r="F125" s="427"/>
    </row>
    <row r="126" spans="3:6" x14ac:dyDescent="0.2">
      <c r="C126" s="460"/>
      <c r="D126" s="427"/>
      <c r="E126" s="427"/>
      <c r="F126" s="427"/>
    </row>
    <row r="127" spans="3:6" x14ac:dyDescent="0.2">
      <c r="C127" s="460"/>
      <c r="D127" s="427"/>
      <c r="E127" s="427"/>
      <c r="F127" s="427"/>
    </row>
    <row r="128" spans="3:6" x14ac:dyDescent="0.2">
      <c r="C128" s="460"/>
      <c r="D128" s="427"/>
      <c r="E128" s="427"/>
      <c r="F128" s="427"/>
    </row>
    <row r="129" spans="3:6" x14ac:dyDescent="0.2">
      <c r="C129" s="460"/>
      <c r="D129" s="427"/>
      <c r="E129" s="427"/>
      <c r="F129" s="427"/>
    </row>
    <row r="130" spans="3:6" x14ac:dyDescent="0.2">
      <c r="C130" s="460"/>
      <c r="D130" s="427"/>
      <c r="E130" s="427"/>
      <c r="F130" s="427"/>
    </row>
  </sheetData>
  <mergeCells count="4">
    <mergeCell ref="M9:M10"/>
    <mergeCell ref="O9:O10"/>
    <mergeCell ref="I3:I5"/>
    <mergeCell ref="I9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51</vt:i4>
      </vt:variant>
    </vt:vector>
  </HeadingPairs>
  <TitlesOfParts>
    <vt:vector size="58" baseType="lpstr">
      <vt:lpstr>General Settings</vt:lpstr>
      <vt:lpstr>SynthDepo</vt:lpstr>
      <vt:lpstr>RateHelpersFra</vt:lpstr>
      <vt:lpstr>SynthFra</vt:lpstr>
      <vt:lpstr>Contribution</vt:lpstr>
      <vt:lpstr>FRACharts</vt:lpstr>
      <vt:lpstr>3M Depo Charts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2014-03-18T13:51:31Z</cp:lastPrinted>
  <dcterms:created xsi:type="dcterms:W3CDTF">2007-10-30T15:41:10Z</dcterms:created>
  <dcterms:modified xsi:type="dcterms:W3CDTF">2014-07-31T17:15:00Z</dcterms:modified>
</cp:coreProperties>
</file>