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15" yWindow="-15" windowWidth="18660" windowHeight="12390"/>
  </bookViews>
  <sheets>
    <sheet name="GeneralSettings" sheetId="1" r:id="rId1"/>
    <sheet name="AUDON" sheetId="14" r:id="rId2"/>
    <sheet name="AUD3M" sheetId="15" r:id="rId3"/>
    <sheet name="AUD6M" sheetId="16" r:id="rId4"/>
    <sheet name="AUD1M" sheetId="17" r:id="rId5"/>
  </sheets>
  <externalReferences>
    <externalReference r:id="rId6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AUD1M!$P$3:$P$84</definedName>
    <definedName name="IncludeFlag" localSheetId="2">AUD3M!$P$3:$P$111</definedName>
    <definedName name="IncludeFlag" localSheetId="3">AUD6M!$P$3:$P$95</definedName>
    <definedName name="IncludeFlag" localSheetId="1">AUDON!$L$3:$L$113</definedName>
    <definedName name="JumpDates_1M">AUD1M!$AF$11:$AF$23</definedName>
    <definedName name="JumpDates_3M">AUD3M!$AF$11:$AF$23</definedName>
    <definedName name="JumpDates_6M">AUD6M!$AF$11:$AF$23</definedName>
    <definedName name="JumpDates_ON">AUDON!$AB$11:$AB$23</definedName>
    <definedName name="JumpQuotes_1M">AUD1M!$AL$11:$AL$23</definedName>
    <definedName name="JumpQuotes_3M">AUD3M!$AL$11:$AL$23</definedName>
    <definedName name="JumpQuotes_6M">AUD6M!$AL$11:$AL$23</definedName>
    <definedName name="JumpQuotes_ON">AUDON!$AH$11:$AH$23</definedName>
    <definedName name="JumpSuffix">GeneralSettings!$I$9</definedName>
    <definedName name="MinDistance" localSheetId="4">AUD1M!$R$3:$R$84</definedName>
    <definedName name="MinDistance" localSheetId="2">AUD3M!$R$3:$R$111</definedName>
    <definedName name="MinDistance" localSheetId="3">AUD6M!$R$3:$R$95</definedName>
    <definedName name="MinDistance" localSheetId="1">AUDON!$N$3:$N$113</definedName>
    <definedName name="ObjectOverwrite">GeneralSettings!$D$6</definedName>
    <definedName name="Permanent">GeneralSettings!$D$4</definedName>
    <definedName name="PillarDate">GeneralSettings!$D$8</definedName>
    <definedName name="Priority" localSheetId="4">AUD1M!$Q$3:$Q$84</definedName>
    <definedName name="Priority" localSheetId="2">AUD3M!$Q$3:$Q$111</definedName>
    <definedName name="Priority" localSheetId="3">AUD6M!$Q$3:$Q$95</definedName>
    <definedName name="Priority" localSheetId="1">AUDON!$M$3:$M$113</definedName>
    <definedName name="QuoteSuffix">GeneralSettings!$I$8</definedName>
    <definedName name="RateHelpers" localSheetId="4">AUD1M!$M$3:$M$84</definedName>
    <definedName name="RateHelpers" localSheetId="2">AUD3M!$M$3:$M$111</definedName>
    <definedName name="RateHelpers" localSheetId="3">AUD6M!$M$3:$M$95</definedName>
    <definedName name="RateHelpers" localSheetId="1">AUDON!$I$3:$I$113</definedName>
    <definedName name="RateHelpers1M">AUD1M!$W$3:$W$84</definedName>
    <definedName name="RateHelpers3M">AUD3M!$W$3:$W$111</definedName>
    <definedName name="RateHelpers6M">AUD6M!$W$3:$W$95</definedName>
    <definedName name="RateHelpersON">AUDON!$S$3:$S$113</definedName>
    <definedName name="Settlementdate">GeneralSettings!$I$4</definedName>
    <definedName name="Tenor" localSheetId="4">AUD1M!$G$1</definedName>
    <definedName name="Tenor" localSheetId="2">AUD3M!$G$1</definedName>
    <definedName name="Tenor" localSheetId="3">AUD6M!$G$1</definedName>
    <definedName name="Trigger">GeneralSettings!$D$5</definedName>
    <definedName name="YieldCurve_1M">GeneralSettings!$I$28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C20" i="15" l="1"/>
  <c r="AC23" i="14" l="1"/>
  <c r="AC22" i="14"/>
  <c r="AC21" i="14"/>
  <c r="AC20" i="14"/>
  <c r="AH20" i="14" s="1"/>
  <c r="AC19" i="14"/>
  <c r="AH19" i="14" s="1"/>
  <c r="AC18" i="14"/>
  <c r="AH18" i="14" s="1"/>
  <c r="AC17" i="14"/>
  <c r="AH17" i="14" s="1"/>
  <c r="AC16" i="14"/>
  <c r="AH16" i="14" s="1"/>
  <c r="AC15" i="14"/>
  <c r="AC14" i="14"/>
  <c r="AC13" i="14"/>
  <c r="AC12" i="14"/>
  <c r="AH12" i="14" s="1"/>
  <c r="AC11" i="14"/>
  <c r="AH11" i="14" s="1"/>
  <c r="AH23" i="14"/>
  <c r="AH22" i="14"/>
  <c r="AH21" i="14"/>
  <c r="AH15" i="14"/>
  <c r="AH14" i="14"/>
  <c r="AH13" i="14"/>
  <c r="AE14" i="14"/>
  <c r="AE22" i="14"/>
  <c r="J50" i="17"/>
  <c r="AE13" i="14"/>
  <c r="J49" i="17"/>
  <c r="J92" i="15"/>
  <c r="AE16" i="14"/>
  <c r="AE20" i="14"/>
  <c r="AE17" i="14"/>
  <c r="AE11" i="14"/>
  <c r="AE21" i="14"/>
  <c r="AE15" i="14"/>
  <c r="AE19" i="14"/>
  <c r="AE18" i="14"/>
  <c r="AE23" i="14"/>
  <c r="AE12" i="14"/>
  <c r="J51" i="17"/>
  <c r="L46" i="17" l="1"/>
  <c r="L47" i="17"/>
  <c r="L48" i="17"/>
  <c r="M48" i="17"/>
  <c r="L49" i="17"/>
  <c r="M49" i="17"/>
  <c r="L50" i="17"/>
  <c r="M50" i="17"/>
  <c r="L51" i="17"/>
  <c r="M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M81" i="17"/>
  <c r="L82" i="17"/>
  <c r="M82" i="17"/>
  <c r="L83" i="17"/>
  <c r="M83" i="17"/>
  <c r="L84" i="17"/>
  <c r="M84" i="17"/>
  <c r="G50" i="17"/>
  <c r="H50" i="17"/>
  <c r="I50" i="17"/>
  <c r="G51" i="17"/>
  <c r="H51" i="17"/>
  <c r="I51" i="17"/>
  <c r="G52" i="17"/>
  <c r="H52" i="17"/>
  <c r="I52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49" i="17"/>
  <c r="I88" i="17"/>
  <c r="I87" i="17"/>
  <c r="I86" i="17"/>
  <c r="I85" i="17"/>
  <c r="I84" i="17"/>
  <c r="I83" i="17"/>
  <c r="I82" i="17"/>
  <c r="I81" i="17"/>
  <c r="I80" i="17"/>
  <c r="I79" i="17"/>
  <c r="I78" i="17"/>
  <c r="I77" i="17"/>
  <c r="I76" i="17"/>
  <c r="I75" i="17"/>
  <c r="I74" i="17"/>
  <c r="I73" i="17"/>
  <c r="I72" i="17"/>
  <c r="I71" i="17"/>
  <c r="I70" i="17"/>
  <c r="I69" i="17"/>
  <c r="I68" i="17"/>
  <c r="I67" i="17"/>
  <c r="I66" i="17"/>
  <c r="I65" i="17"/>
  <c r="I64" i="17"/>
  <c r="I63" i="17"/>
  <c r="I62" i="17"/>
  <c r="I61" i="17"/>
  <c r="I60" i="17"/>
  <c r="I59" i="17"/>
  <c r="I58" i="17"/>
  <c r="I57" i="17"/>
  <c r="I56" i="17"/>
  <c r="I55" i="17"/>
  <c r="I54" i="17"/>
  <c r="I53" i="17"/>
  <c r="I49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G8" i="16"/>
  <c r="G9" i="16"/>
  <c r="G10" i="16"/>
  <c r="G11" i="16"/>
  <c r="G12" i="16"/>
  <c r="T81" i="17"/>
  <c r="S83" i="17"/>
  <c r="N50" i="17"/>
  <c r="O82" i="17"/>
  <c r="S81" i="17"/>
  <c r="T48" i="17"/>
  <c r="G4" i="17"/>
  <c r="N83" i="17"/>
  <c r="O83" i="17"/>
  <c r="G3" i="16"/>
  <c r="O84" i="17"/>
  <c r="N82" i="17"/>
  <c r="T83" i="17"/>
  <c r="N49" i="17"/>
  <c r="O51" i="17"/>
  <c r="N84" i="17"/>
  <c r="S84" i="17"/>
  <c r="S82" i="17"/>
  <c r="T49" i="17"/>
  <c r="S50" i="17"/>
  <c r="T51" i="17"/>
  <c r="T82" i="17"/>
  <c r="N48" i="17"/>
  <c r="O48" i="17"/>
  <c r="G4" i="16"/>
  <c r="T50" i="17"/>
  <c r="O49" i="17"/>
  <c r="S49" i="17"/>
  <c r="T84" i="17"/>
  <c r="O81" i="17"/>
  <c r="S48" i="17"/>
  <c r="O50" i="17"/>
  <c r="N51" i="17"/>
  <c r="G3" i="17"/>
  <c r="N81" i="17"/>
  <c r="S51" i="17"/>
  <c r="M47" i="17" l="1"/>
  <c r="M46" i="17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H83" i="15"/>
  <c r="G15" i="15"/>
  <c r="G16" i="15"/>
  <c r="G17" i="15"/>
  <c r="C15" i="15"/>
  <c r="H15" i="15" s="1"/>
  <c r="L11" i="15"/>
  <c r="L12" i="15"/>
  <c r="L13" i="15"/>
  <c r="L14" i="15"/>
  <c r="L15" i="15"/>
  <c r="L10" i="15"/>
  <c r="N47" i="17"/>
  <c r="O47" i="17"/>
  <c r="J97" i="15"/>
  <c r="O46" i="17"/>
  <c r="N46" i="17"/>
  <c r="S46" i="17"/>
  <c r="T46" i="17"/>
  <c r="S47" i="17"/>
  <c r="T47" i="17"/>
  <c r="M13" i="15" l="1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60" i="14"/>
  <c r="H58" i="14"/>
  <c r="H59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64" i="14"/>
  <c r="D9" i="14"/>
  <c r="E9" i="14"/>
  <c r="D10" i="14"/>
  <c r="E10" i="14"/>
  <c r="D11" i="14"/>
  <c r="E11" i="14"/>
  <c r="D12" i="14"/>
  <c r="E12" i="14"/>
  <c r="D13" i="14"/>
  <c r="E13" i="14"/>
  <c r="D14" i="14"/>
  <c r="E14" i="14"/>
  <c r="D15" i="14"/>
  <c r="E15" i="14"/>
  <c r="D16" i="14"/>
  <c r="E16" i="14"/>
  <c r="D17" i="14"/>
  <c r="E17" i="14"/>
  <c r="D18" i="14"/>
  <c r="E18" i="14"/>
  <c r="D19" i="14"/>
  <c r="E19" i="14"/>
  <c r="D20" i="14"/>
  <c r="E20" i="14"/>
  <c r="D21" i="14"/>
  <c r="E21" i="14"/>
  <c r="D22" i="14"/>
  <c r="E22" i="14"/>
  <c r="D23" i="14"/>
  <c r="E23" i="14"/>
  <c r="D24" i="14"/>
  <c r="E24" i="14"/>
  <c r="D25" i="14"/>
  <c r="E25" i="14"/>
  <c r="D26" i="14"/>
  <c r="E26" i="14"/>
  <c r="D27" i="14"/>
  <c r="E27" i="14"/>
  <c r="D28" i="14"/>
  <c r="E28" i="14"/>
  <c r="D29" i="14"/>
  <c r="E29" i="14"/>
  <c r="D30" i="14"/>
  <c r="E30" i="14"/>
  <c r="D31" i="14"/>
  <c r="E31" i="14"/>
  <c r="D32" i="14"/>
  <c r="E32" i="14"/>
  <c r="D33" i="14"/>
  <c r="E33" i="14"/>
  <c r="D34" i="14"/>
  <c r="E34" i="14"/>
  <c r="D35" i="14"/>
  <c r="E35" i="14"/>
  <c r="D36" i="14"/>
  <c r="E36" i="14"/>
  <c r="D37" i="14"/>
  <c r="E37" i="14"/>
  <c r="D38" i="14"/>
  <c r="E38" i="14"/>
  <c r="D39" i="14"/>
  <c r="E39" i="14"/>
  <c r="D40" i="14"/>
  <c r="E40" i="14"/>
  <c r="D41" i="14"/>
  <c r="E41" i="14"/>
  <c r="D42" i="14"/>
  <c r="E42" i="14"/>
  <c r="D43" i="14"/>
  <c r="E43" i="14"/>
  <c r="D44" i="14"/>
  <c r="E44" i="14"/>
  <c r="D45" i="14"/>
  <c r="E45" i="14"/>
  <c r="D46" i="14"/>
  <c r="E46" i="14"/>
  <c r="D47" i="14"/>
  <c r="E47" i="14"/>
  <c r="D48" i="14"/>
  <c r="E48" i="14"/>
  <c r="D49" i="14"/>
  <c r="E49" i="14"/>
  <c r="D50" i="14"/>
  <c r="E50" i="14"/>
  <c r="D51" i="14"/>
  <c r="E51" i="14"/>
  <c r="D52" i="14"/>
  <c r="E52" i="14"/>
  <c r="D53" i="14"/>
  <c r="E53" i="14"/>
  <c r="D54" i="14"/>
  <c r="E54" i="14"/>
  <c r="D55" i="14"/>
  <c r="E55" i="14"/>
  <c r="D56" i="14"/>
  <c r="E56" i="14"/>
  <c r="D57" i="14"/>
  <c r="E57" i="14"/>
  <c r="D58" i="14"/>
  <c r="E58" i="14"/>
  <c r="D59" i="14"/>
  <c r="E59" i="14"/>
  <c r="D60" i="14"/>
  <c r="E60" i="14"/>
  <c r="D61" i="14"/>
  <c r="E61" i="14"/>
  <c r="G4" i="15"/>
  <c r="F113" i="14"/>
  <c r="F14" i="14"/>
  <c r="O13" i="15"/>
  <c r="N13" i="15"/>
  <c r="F90" i="14"/>
  <c r="F109" i="14"/>
  <c r="F94" i="14"/>
  <c r="F78" i="14"/>
  <c r="F104" i="14"/>
  <c r="S13" i="15"/>
  <c r="G3" i="15"/>
  <c r="F13" i="14"/>
  <c r="F12" i="14"/>
  <c r="F19" i="14"/>
  <c r="F11" i="14"/>
  <c r="F107" i="14"/>
  <c r="F111" i="14"/>
  <c r="F103" i="14"/>
  <c r="F98" i="14"/>
  <c r="F105" i="14"/>
  <c r="F108" i="14"/>
  <c r="T13" i="15"/>
  <c r="F84" i="14"/>
  <c r="F15" i="14"/>
  <c r="F110" i="14"/>
  <c r="F16" i="14"/>
  <c r="F106" i="14"/>
  <c r="F102" i="14"/>
  <c r="I30" i="14" l="1"/>
  <c r="I16" i="14"/>
  <c r="I12" i="14"/>
  <c r="I20" i="14"/>
  <c r="I28" i="14"/>
  <c r="I36" i="14"/>
  <c r="I44" i="14"/>
  <c r="I52" i="14"/>
  <c r="I29" i="14"/>
  <c r="I37" i="14"/>
  <c r="I45" i="14"/>
  <c r="I53" i="14"/>
  <c r="I38" i="14"/>
  <c r="I46" i="14"/>
  <c r="I54" i="14"/>
  <c r="I15" i="14"/>
  <c r="I39" i="14"/>
  <c r="I47" i="14"/>
  <c r="I55" i="14"/>
  <c r="I13" i="14"/>
  <c r="I48" i="14"/>
  <c r="I56" i="14"/>
  <c r="I21" i="14"/>
  <c r="I7" i="14"/>
  <c r="I40" i="14"/>
  <c r="I9" i="14"/>
  <c r="I17" i="14"/>
  <c r="I25" i="14"/>
  <c r="I33" i="14"/>
  <c r="I41" i="14"/>
  <c r="I49" i="14"/>
  <c r="I57" i="14"/>
  <c r="I22" i="14"/>
  <c r="I23" i="14"/>
  <c r="I8" i="14"/>
  <c r="I32" i="14"/>
  <c r="I10" i="14"/>
  <c r="I18" i="14"/>
  <c r="I26" i="14"/>
  <c r="I34" i="14"/>
  <c r="I42" i="14"/>
  <c r="I50" i="14"/>
  <c r="I58" i="14"/>
  <c r="I14" i="14"/>
  <c r="I31" i="14"/>
  <c r="I24" i="14"/>
  <c r="I11" i="14"/>
  <c r="I19" i="14"/>
  <c r="I27" i="14"/>
  <c r="I35" i="14"/>
  <c r="I43" i="14"/>
  <c r="I51" i="14"/>
  <c r="I59" i="14"/>
  <c r="I60" i="14"/>
  <c r="I70" i="14"/>
  <c r="I66" i="14"/>
  <c r="I74" i="14"/>
  <c r="I82" i="14"/>
  <c r="I90" i="14"/>
  <c r="I98" i="14"/>
  <c r="I106" i="14"/>
  <c r="I67" i="14"/>
  <c r="I75" i="14"/>
  <c r="I83" i="14"/>
  <c r="I91" i="14"/>
  <c r="I99" i="14"/>
  <c r="I107" i="14"/>
  <c r="I68" i="14"/>
  <c r="I76" i="14"/>
  <c r="I84" i="14"/>
  <c r="I92" i="14"/>
  <c r="I100" i="14"/>
  <c r="I108" i="14"/>
  <c r="I69" i="14"/>
  <c r="I77" i="14"/>
  <c r="I85" i="14"/>
  <c r="I93" i="14"/>
  <c r="I101" i="14"/>
  <c r="I109" i="14"/>
  <c r="I78" i="14"/>
  <c r="I86" i="14"/>
  <c r="I94" i="14"/>
  <c r="I102" i="14"/>
  <c r="I110" i="14"/>
  <c r="I61" i="14"/>
  <c r="I63" i="14"/>
  <c r="I71" i="14"/>
  <c r="I79" i="14"/>
  <c r="I87" i="14"/>
  <c r="I95" i="14"/>
  <c r="I103" i="14"/>
  <c r="I111" i="14"/>
  <c r="I62" i="14"/>
  <c r="I64" i="14"/>
  <c r="I72" i="14"/>
  <c r="I80" i="14"/>
  <c r="I88" i="14"/>
  <c r="I96" i="14"/>
  <c r="I104" i="14"/>
  <c r="I112" i="14"/>
  <c r="I65" i="14"/>
  <c r="I73" i="14"/>
  <c r="I81" i="14"/>
  <c r="I89" i="14"/>
  <c r="I97" i="14"/>
  <c r="I105" i="14"/>
  <c r="I113" i="14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L45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60" i="17"/>
  <c r="G59" i="17"/>
  <c r="G58" i="17"/>
  <c r="G57" i="17"/>
  <c r="G56" i="17"/>
  <c r="G55" i="17"/>
  <c r="G54" i="17"/>
  <c r="G53" i="17"/>
  <c r="G49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G7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59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G27" i="16"/>
  <c r="H27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6" i="16"/>
  <c r="G7" i="16"/>
  <c r="AG23" i="15"/>
  <c r="AG22" i="15"/>
  <c r="AG21" i="15"/>
  <c r="AG20" i="15"/>
  <c r="AG19" i="15"/>
  <c r="AG18" i="15"/>
  <c r="AG17" i="15"/>
  <c r="AG16" i="15"/>
  <c r="AG15" i="15"/>
  <c r="AG14" i="15"/>
  <c r="AG13" i="15"/>
  <c r="AG12" i="15"/>
  <c r="AG1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4" i="15"/>
  <c r="G13" i="15"/>
  <c r="G12" i="15"/>
  <c r="K84" i="14"/>
  <c r="P111" i="14"/>
  <c r="J72" i="14"/>
  <c r="J89" i="14"/>
  <c r="P103" i="14"/>
  <c r="O15" i="14"/>
  <c r="O48" i="14"/>
  <c r="J39" i="14"/>
  <c r="P21" i="14"/>
  <c r="K75" i="14"/>
  <c r="O102" i="14"/>
  <c r="O13" i="14"/>
  <c r="AI15" i="16"/>
  <c r="O89" i="14"/>
  <c r="K16" i="14"/>
  <c r="AI21" i="16"/>
  <c r="J66" i="14"/>
  <c r="O94" i="14"/>
  <c r="J66" i="17"/>
  <c r="K112" i="14"/>
  <c r="K68" i="14"/>
  <c r="J78" i="14"/>
  <c r="O61" i="14"/>
  <c r="O26" i="14"/>
  <c r="K52" i="14"/>
  <c r="P45" i="14"/>
  <c r="K56" i="14"/>
  <c r="P95" i="14"/>
  <c r="J12" i="14"/>
  <c r="J81" i="14"/>
  <c r="O17" i="14"/>
  <c r="J101" i="14"/>
  <c r="J47" i="14"/>
  <c r="J83" i="14"/>
  <c r="K42" i="14"/>
  <c r="P47" i="14"/>
  <c r="J33" i="14"/>
  <c r="J15" i="17"/>
  <c r="O25" i="14"/>
  <c r="K31" i="14"/>
  <c r="O108" i="14"/>
  <c r="K100" i="14"/>
  <c r="K19" i="14"/>
  <c r="K54" i="14"/>
  <c r="P64" i="14"/>
  <c r="O75" i="14"/>
  <c r="P40" i="14"/>
  <c r="O74" i="14"/>
  <c r="P80" i="14"/>
  <c r="J65" i="16"/>
  <c r="K53" i="14"/>
  <c r="P50" i="14"/>
  <c r="J104" i="14"/>
  <c r="K106" i="14"/>
  <c r="P110" i="14"/>
  <c r="O106" i="14"/>
  <c r="K69" i="14"/>
  <c r="J77" i="14"/>
  <c r="J92" i="14"/>
  <c r="O101" i="14"/>
  <c r="K26" i="14"/>
  <c r="O37" i="14"/>
  <c r="O71" i="14"/>
  <c r="K22" i="14"/>
  <c r="AI18" i="16"/>
  <c r="P26" i="14"/>
  <c r="P8" i="14"/>
  <c r="P75" i="14"/>
  <c r="J46" i="14"/>
  <c r="P18" i="14"/>
  <c r="J102" i="14"/>
  <c r="J95" i="14"/>
  <c r="J97" i="14"/>
  <c r="K47" i="14"/>
  <c r="J31" i="14"/>
  <c r="O51" i="14"/>
  <c r="J48" i="15"/>
  <c r="P7" i="14"/>
  <c r="P25" i="14"/>
  <c r="P86" i="14"/>
  <c r="O99" i="14"/>
  <c r="O11" i="14"/>
  <c r="O53" i="14"/>
  <c r="K44" i="14"/>
  <c r="P107" i="14"/>
  <c r="K10" i="14"/>
  <c r="O46" i="14"/>
  <c r="O76" i="14"/>
  <c r="K109" i="14"/>
  <c r="P93" i="14"/>
  <c r="O42" i="14"/>
  <c r="AI19" i="16"/>
  <c r="J60" i="14"/>
  <c r="O38" i="14"/>
  <c r="K25" i="14"/>
  <c r="J13" i="14"/>
  <c r="P46" i="14"/>
  <c r="P58" i="14"/>
  <c r="J36" i="14"/>
  <c r="P83" i="14"/>
  <c r="P31" i="14"/>
  <c r="P82" i="14"/>
  <c r="O93" i="14"/>
  <c r="P71" i="14"/>
  <c r="O43" i="14"/>
  <c r="K95" i="14"/>
  <c r="J40" i="14"/>
  <c r="K65" i="14"/>
  <c r="J24" i="14"/>
  <c r="K39" i="14"/>
  <c r="K11" i="14"/>
  <c r="P66" i="14"/>
  <c r="J16" i="14"/>
  <c r="J25" i="14"/>
  <c r="J41" i="14"/>
  <c r="AI12" i="16"/>
  <c r="P27" i="14"/>
  <c r="O109" i="14"/>
  <c r="O31" i="14"/>
  <c r="O12" i="14"/>
  <c r="O39" i="14"/>
  <c r="K30" i="14"/>
  <c r="J76" i="14"/>
  <c r="J105" i="15"/>
  <c r="J79" i="14"/>
  <c r="K36" i="14"/>
  <c r="J70" i="14"/>
  <c r="K110" i="14"/>
  <c r="P72" i="14"/>
  <c r="J44" i="15"/>
  <c r="J29" i="14"/>
  <c r="J14" i="17"/>
  <c r="K61" i="14"/>
  <c r="J15" i="14"/>
  <c r="J44" i="14"/>
  <c r="K55" i="14"/>
  <c r="P112" i="14"/>
  <c r="O92" i="14"/>
  <c r="J79" i="17"/>
  <c r="J82" i="14"/>
  <c r="O87" i="14"/>
  <c r="AI17" i="16"/>
  <c r="P57" i="14"/>
  <c r="J26" i="14"/>
  <c r="O95" i="14"/>
  <c r="J69" i="16"/>
  <c r="J58" i="14"/>
  <c r="K13" i="14"/>
  <c r="J63" i="14"/>
  <c r="J9" i="14"/>
  <c r="P61" i="14"/>
  <c r="K32" i="14"/>
  <c r="P69" i="14"/>
  <c r="O35" i="14"/>
  <c r="P55" i="14"/>
  <c r="P19" i="14"/>
  <c r="P81" i="14"/>
  <c r="O90" i="14"/>
  <c r="J93" i="14"/>
  <c r="P48" i="14"/>
  <c r="J11" i="14"/>
  <c r="K76" i="14"/>
  <c r="K48" i="14"/>
  <c r="O16" i="14"/>
  <c r="P24" i="14"/>
  <c r="P89" i="14"/>
  <c r="J35" i="14"/>
  <c r="O67" i="14"/>
  <c r="K62" i="14"/>
  <c r="O27" i="14"/>
  <c r="AI23" i="16"/>
  <c r="K17" i="14"/>
  <c r="AI20" i="16"/>
  <c r="K67" i="14"/>
  <c r="O70" i="14"/>
  <c r="K51" i="14"/>
  <c r="O98" i="14"/>
  <c r="K70" i="14"/>
  <c r="K74" i="14"/>
  <c r="O40" i="14"/>
  <c r="J87" i="14"/>
  <c r="O82" i="14"/>
  <c r="J112" i="14"/>
  <c r="K105" i="14"/>
  <c r="O103" i="14"/>
  <c r="P109" i="14"/>
  <c r="O22" i="14"/>
  <c r="J52" i="14"/>
  <c r="O65" i="14"/>
  <c r="P41" i="14"/>
  <c r="AI11" i="16"/>
  <c r="P20" i="14"/>
  <c r="O66" i="14"/>
  <c r="P98" i="14"/>
  <c r="K72" i="14"/>
  <c r="J106" i="14"/>
  <c r="O23" i="14"/>
  <c r="J89" i="15"/>
  <c r="J8" i="14"/>
  <c r="K73" i="14"/>
  <c r="K9" i="14"/>
  <c r="K113" i="14"/>
  <c r="J61" i="14"/>
  <c r="O86" i="14"/>
  <c r="P99" i="14"/>
  <c r="P29" i="14"/>
  <c r="K91" i="14"/>
  <c r="P76" i="14"/>
  <c r="K33" i="14"/>
  <c r="P85" i="14"/>
  <c r="K24" i="14"/>
  <c r="P60" i="14"/>
  <c r="P15" i="14"/>
  <c r="P84" i="14"/>
  <c r="K108" i="14"/>
  <c r="O58" i="14"/>
  <c r="O107" i="14"/>
  <c r="J110" i="15"/>
  <c r="K46" i="14"/>
  <c r="O68" i="14"/>
  <c r="P62" i="14"/>
  <c r="J20" i="14"/>
  <c r="P100" i="14"/>
  <c r="J27" i="14"/>
  <c r="K77" i="14"/>
  <c r="P32" i="14"/>
  <c r="AI13" i="16"/>
  <c r="P51" i="14"/>
  <c r="J57" i="14"/>
  <c r="O80" i="14"/>
  <c r="O113" i="14"/>
  <c r="AI16" i="16"/>
  <c r="K97" i="14"/>
  <c r="O18" i="14"/>
  <c r="J58" i="17"/>
  <c r="J95" i="15"/>
  <c r="J48" i="14"/>
  <c r="P38" i="14"/>
  <c r="J99" i="14"/>
  <c r="P49" i="14"/>
  <c r="P67" i="14"/>
  <c r="O63" i="14"/>
  <c r="O30" i="14"/>
  <c r="O62" i="14"/>
  <c r="J54" i="14"/>
  <c r="K8" i="14"/>
  <c r="J10" i="17"/>
  <c r="O44" i="14"/>
  <c r="K28" i="14"/>
  <c r="P16" i="14"/>
  <c r="O41" i="14"/>
  <c r="O21" i="14"/>
  <c r="P10" i="14"/>
  <c r="J55" i="14"/>
  <c r="P54" i="14"/>
  <c r="J17" i="14"/>
  <c r="J59" i="14"/>
  <c r="K38" i="14"/>
  <c r="O97" i="14"/>
  <c r="K88" i="14"/>
  <c r="P91" i="14"/>
  <c r="J32" i="14"/>
  <c r="P63" i="14"/>
  <c r="O96" i="14"/>
  <c r="J37" i="14"/>
  <c r="J74" i="17"/>
  <c r="O78" i="14"/>
  <c r="P88" i="14"/>
  <c r="K35" i="14"/>
  <c r="P37" i="14"/>
  <c r="K83" i="14"/>
  <c r="J65" i="14"/>
  <c r="P97" i="14"/>
  <c r="J59" i="17"/>
  <c r="P9" i="14"/>
  <c r="P74" i="14"/>
  <c r="P113" i="14"/>
  <c r="O28" i="14"/>
  <c r="K40" i="14"/>
  <c r="O29" i="14"/>
  <c r="O8" i="14"/>
  <c r="K82" i="14"/>
  <c r="J88" i="14"/>
  <c r="K94" i="14"/>
  <c r="J100" i="15"/>
  <c r="K92" i="14"/>
  <c r="J108" i="14"/>
  <c r="O19" i="14"/>
  <c r="J69" i="17"/>
  <c r="K93" i="14"/>
  <c r="J110" i="14"/>
  <c r="J42" i="14"/>
  <c r="K15" i="14"/>
  <c r="O56" i="14"/>
  <c r="K79" i="14"/>
  <c r="K37" i="14"/>
  <c r="O54" i="14"/>
  <c r="J28" i="14"/>
  <c r="K50" i="14"/>
  <c r="J43" i="14"/>
  <c r="P104" i="14"/>
  <c r="O60" i="14"/>
  <c r="K12" i="14"/>
  <c r="P17" i="14"/>
  <c r="K43" i="14"/>
  <c r="P11" i="14"/>
  <c r="O59" i="14"/>
  <c r="O77" i="14"/>
  <c r="J96" i="14"/>
  <c r="O105" i="14"/>
  <c r="P14" i="14"/>
  <c r="J74" i="14"/>
  <c r="K41" i="14"/>
  <c r="O24" i="14"/>
  <c r="O85" i="14"/>
  <c r="K101" i="14"/>
  <c r="P30" i="14"/>
  <c r="J68" i="14"/>
  <c r="P78" i="14"/>
  <c r="J62" i="14"/>
  <c r="P43" i="14"/>
  <c r="P44" i="14"/>
  <c r="K111" i="14"/>
  <c r="P77" i="14"/>
  <c r="J113" i="14"/>
  <c r="J105" i="14"/>
  <c r="K89" i="14"/>
  <c r="J64" i="17"/>
  <c r="P28" i="14"/>
  <c r="J64" i="14"/>
  <c r="J103" i="14"/>
  <c r="P53" i="14"/>
  <c r="K96" i="14"/>
  <c r="P13" i="14"/>
  <c r="O47" i="14"/>
  <c r="J10" i="14"/>
  <c r="AI22" i="16"/>
  <c r="K58" i="14"/>
  <c r="O81" i="14"/>
  <c r="J22" i="14"/>
  <c r="O88" i="14"/>
  <c r="O9" i="14"/>
  <c r="O72" i="14"/>
  <c r="P105" i="14"/>
  <c r="J18" i="14"/>
  <c r="P92" i="14"/>
  <c r="P101" i="14"/>
  <c r="O111" i="14"/>
  <c r="J67" i="14"/>
  <c r="P52" i="14"/>
  <c r="J50" i="14"/>
  <c r="K78" i="14"/>
  <c r="J45" i="14"/>
  <c r="P70" i="14"/>
  <c r="O7" i="14"/>
  <c r="P59" i="14"/>
  <c r="P12" i="14"/>
  <c r="P39" i="14"/>
  <c r="P65" i="14"/>
  <c r="J115" i="15"/>
  <c r="O32" i="14"/>
  <c r="O100" i="14"/>
  <c r="K18" i="14"/>
  <c r="J91" i="14"/>
  <c r="K107" i="14"/>
  <c r="J61" i="17"/>
  <c r="K29" i="14"/>
  <c r="K99" i="14"/>
  <c r="P35" i="14"/>
  <c r="J90" i="14"/>
  <c r="O52" i="14"/>
  <c r="J38" i="14"/>
  <c r="K98" i="14"/>
  <c r="J34" i="14"/>
  <c r="P94" i="14"/>
  <c r="J49" i="15"/>
  <c r="P22" i="14"/>
  <c r="K81" i="14"/>
  <c r="P79" i="14"/>
  <c r="J7" i="14"/>
  <c r="P33" i="14"/>
  <c r="J94" i="14"/>
  <c r="J90" i="15"/>
  <c r="K14" i="14"/>
  <c r="O83" i="14"/>
  <c r="P96" i="14"/>
  <c r="J56" i="14"/>
  <c r="P23" i="14"/>
  <c r="J23" i="14"/>
  <c r="J30" i="14"/>
  <c r="O112" i="14"/>
  <c r="O36" i="14"/>
  <c r="J70" i="16"/>
  <c r="K87" i="14"/>
  <c r="P34" i="14"/>
  <c r="K23" i="14"/>
  <c r="K86" i="14"/>
  <c r="P56" i="14"/>
  <c r="O104" i="14"/>
  <c r="O45" i="14"/>
  <c r="K103" i="14"/>
  <c r="K90" i="14"/>
  <c r="K80" i="14"/>
  <c r="J69" i="14"/>
  <c r="J51" i="14"/>
  <c r="K21" i="14"/>
  <c r="J109" i="14"/>
  <c r="K59" i="14"/>
  <c r="J85" i="14"/>
  <c r="J111" i="14"/>
  <c r="AI14" i="16"/>
  <c r="J100" i="14"/>
  <c r="P102" i="14"/>
  <c r="K49" i="14"/>
  <c r="O57" i="14"/>
  <c r="K104" i="14"/>
  <c r="K20" i="14"/>
  <c r="J80" i="14"/>
  <c r="P68" i="14"/>
  <c r="K7" i="14"/>
  <c r="K45" i="14"/>
  <c r="J49" i="14"/>
  <c r="J14" i="14"/>
  <c r="K71" i="14"/>
  <c r="J21" i="14"/>
  <c r="K63" i="14"/>
  <c r="J53" i="14"/>
  <c r="J84" i="17"/>
  <c r="K85" i="14"/>
  <c r="P42" i="14"/>
  <c r="O34" i="14"/>
  <c r="J73" i="14"/>
  <c r="P73" i="14"/>
  <c r="O79" i="14"/>
  <c r="O50" i="14"/>
  <c r="K57" i="14"/>
  <c r="K66" i="14"/>
  <c r="K27" i="14"/>
  <c r="J107" i="14"/>
  <c r="O110" i="14"/>
  <c r="J75" i="14"/>
  <c r="P108" i="14"/>
  <c r="J71" i="14"/>
  <c r="O49" i="14"/>
  <c r="K102" i="14"/>
  <c r="J84" i="14"/>
  <c r="O10" i="14"/>
  <c r="K64" i="14"/>
  <c r="K60" i="14"/>
  <c r="O69" i="14"/>
  <c r="O14" i="14"/>
  <c r="P87" i="14"/>
  <c r="O64" i="14"/>
  <c r="O20" i="14"/>
  <c r="O33" i="14"/>
  <c r="J98" i="14"/>
  <c r="J86" i="14"/>
  <c r="K34" i="14"/>
  <c r="P106" i="14"/>
  <c r="O73" i="14"/>
  <c r="J19" i="14"/>
  <c r="O55" i="14"/>
  <c r="O91" i="14"/>
  <c r="P90" i="14"/>
  <c r="P36" i="14"/>
  <c r="O84" i="14"/>
  <c r="M64" i="17" l="1"/>
  <c r="M63" i="17"/>
  <c r="M57" i="17"/>
  <c r="M59" i="17"/>
  <c r="M75" i="17"/>
  <c r="M68" i="17"/>
  <c r="M55" i="17"/>
  <c r="M79" i="17"/>
  <c r="M72" i="17"/>
  <c r="M65" i="17"/>
  <c r="M66" i="17"/>
  <c r="M60" i="17"/>
  <c r="M53" i="17"/>
  <c r="M61" i="17"/>
  <c r="M69" i="17"/>
  <c r="M77" i="17"/>
  <c r="M71" i="17"/>
  <c r="M56" i="17"/>
  <c r="M80" i="17"/>
  <c r="M73" i="17"/>
  <c r="M58" i="17"/>
  <c r="M74" i="17"/>
  <c r="M67" i="17"/>
  <c r="M52" i="17"/>
  <c r="M76" i="17"/>
  <c r="M54" i="17"/>
  <c r="M62" i="17"/>
  <c r="M70" i="17"/>
  <c r="M78" i="17"/>
  <c r="M10" i="17"/>
  <c r="M26" i="17"/>
  <c r="M45" i="17"/>
  <c r="M11" i="17"/>
  <c r="M28" i="17"/>
  <c r="M29" i="17"/>
  <c r="M41" i="17"/>
  <c r="M21" i="17"/>
  <c r="M37" i="17"/>
  <c r="M38" i="17"/>
  <c r="M23" i="17"/>
  <c r="M31" i="17"/>
  <c r="M39" i="17"/>
  <c r="M9" i="17"/>
  <c r="M33" i="17"/>
  <c r="M34" i="17"/>
  <c r="M27" i="17"/>
  <c r="M36" i="17"/>
  <c r="M8" i="17"/>
  <c r="M24" i="17"/>
  <c r="M32" i="17"/>
  <c r="M70" i="16"/>
  <c r="M62" i="16"/>
  <c r="M94" i="16"/>
  <c r="M95" i="16"/>
  <c r="M84" i="16"/>
  <c r="M91" i="16"/>
  <c r="M77" i="16"/>
  <c r="M76" i="16"/>
  <c r="M74" i="16"/>
  <c r="M87" i="16"/>
  <c r="M63" i="16"/>
  <c r="M86" i="16"/>
  <c r="M85" i="16"/>
  <c r="M61" i="16"/>
  <c r="M68" i="16"/>
  <c r="M83" i="16"/>
  <c r="M59" i="16"/>
  <c r="M82" i="16"/>
  <c r="M89" i="16"/>
  <c r="M81" i="16"/>
  <c r="M73" i="16"/>
  <c r="M65" i="16"/>
  <c r="M79" i="16"/>
  <c r="M71" i="16"/>
  <c r="M78" i="16"/>
  <c r="M93" i="16"/>
  <c r="M69" i="16"/>
  <c r="M92" i="16"/>
  <c r="M60" i="16"/>
  <c r="M75" i="16"/>
  <c r="M67" i="16"/>
  <c r="M90" i="16"/>
  <c r="M66" i="16"/>
  <c r="M88" i="16"/>
  <c r="M80" i="16"/>
  <c r="M72" i="16"/>
  <c r="M64" i="16"/>
  <c r="M23" i="16"/>
  <c r="AL13" i="16"/>
  <c r="AL21" i="16"/>
  <c r="AL14" i="16"/>
  <c r="AL22" i="16"/>
  <c r="AL15" i="16"/>
  <c r="AL23" i="16"/>
  <c r="AL16" i="16"/>
  <c r="AL17" i="16"/>
  <c r="AL18" i="16"/>
  <c r="AL11" i="16"/>
  <c r="AL19" i="16"/>
  <c r="AL12" i="16"/>
  <c r="AL20" i="16"/>
  <c r="AL13" i="15"/>
  <c r="AL21" i="15"/>
  <c r="AL14" i="15"/>
  <c r="AL22" i="15"/>
  <c r="AL15" i="15"/>
  <c r="AL23" i="15"/>
  <c r="AL16" i="15"/>
  <c r="AL17" i="15"/>
  <c r="AL18" i="15"/>
  <c r="AL11" i="15"/>
  <c r="AL19" i="15"/>
  <c r="AL12" i="15"/>
  <c r="AL20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75" i="15"/>
  <c r="G7" i="15"/>
  <c r="G8" i="15"/>
  <c r="G9" i="15"/>
  <c r="O72" i="16"/>
  <c r="S28" i="17"/>
  <c r="S31" i="17"/>
  <c r="S64" i="17"/>
  <c r="S73" i="17"/>
  <c r="T8" i="17"/>
  <c r="O23" i="17"/>
  <c r="AI18" i="17"/>
  <c r="S76" i="16"/>
  <c r="T83" i="16"/>
  <c r="S36" i="17"/>
  <c r="S72" i="16"/>
  <c r="N64" i="17"/>
  <c r="S85" i="16"/>
  <c r="S78" i="16"/>
  <c r="T45" i="17"/>
  <c r="S68" i="16"/>
  <c r="S24" i="17"/>
  <c r="N23" i="17"/>
  <c r="AI20" i="15"/>
  <c r="O75" i="16"/>
  <c r="AI15" i="17"/>
  <c r="O27" i="17"/>
  <c r="AI13" i="17"/>
  <c r="N85" i="16"/>
  <c r="T31" i="17"/>
  <c r="S65" i="16"/>
  <c r="N84" i="16"/>
  <c r="T81" i="16"/>
  <c r="N60" i="17"/>
  <c r="AI13" i="15"/>
  <c r="T64" i="17"/>
  <c r="O39" i="17"/>
  <c r="N10" i="17"/>
  <c r="S41" i="17"/>
  <c r="N63" i="16"/>
  <c r="N63" i="17"/>
  <c r="S73" i="16"/>
  <c r="O60" i="16"/>
  <c r="N86" i="16"/>
  <c r="S53" i="17"/>
  <c r="N73" i="17"/>
  <c r="T69" i="16"/>
  <c r="T67" i="17"/>
  <c r="N57" i="17"/>
  <c r="S64" i="16"/>
  <c r="AI16" i="15"/>
  <c r="O10" i="17"/>
  <c r="T73" i="17"/>
  <c r="N75" i="17"/>
  <c r="N72" i="16"/>
  <c r="S32" i="17"/>
  <c r="T95" i="16"/>
  <c r="S95" i="16"/>
  <c r="N74" i="17"/>
  <c r="T84" i="16"/>
  <c r="S21" i="17"/>
  <c r="AI21" i="17"/>
  <c r="S62" i="16"/>
  <c r="O74" i="17"/>
  <c r="S76" i="17"/>
  <c r="O67" i="17"/>
  <c r="S55" i="17"/>
  <c r="O77" i="17"/>
  <c r="T56" i="17"/>
  <c r="T32" i="17"/>
  <c r="S88" i="16"/>
  <c r="T57" i="17"/>
  <c r="O59" i="16"/>
  <c r="O88" i="16"/>
  <c r="S87" i="16"/>
  <c r="T21" i="17"/>
  <c r="N67" i="17"/>
  <c r="T66" i="17"/>
  <c r="O87" i="16"/>
  <c r="S26" i="17"/>
  <c r="N37" i="17"/>
  <c r="O70" i="17"/>
  <c r="O64" i="17"/>
  <c r="T80" i="16"/>
  <c r="N76" i="17"/>
  <c r="S82" i="16"/>
  <c r="N79" i="17"/>
  <c r="T80" i="17"/>
  <c r="N59" i="17"/>
  <c r="O37" i="17"/>
  <c r="N11" i="17"/>
  <c r="T58" i="17"/>
  <c r="S84" i="16"/>
  <c r="S70" i="16"/>
  <c r="T59" i="17"/>
  <c r="N52" i="17"/>
  <c r="T91" i="16"/>
  <c r="S79" i="16"/>
  <c r="N77" i="16"/>
  <c r="N59" i="16"/>
  <c r="T74" i="17"/>
  <c r="AI17" i="17"/>
  <c r="O31" i="17"/>
  <c r="S29" i="17"/>
  <c r="N9" i="17"/>
  <c r="T62" i="16"/>
  <c r="S86" i="16"/>
  <c r="S34" i="17"/>
  <c r="O21" i="17"/>
  <c r="N23" i="16"/>
  <c r="T75" i="17"/>
  <c r="T61" i="16"/>
  <c r="N77" i="17"/>
  <c r="O71" i="17"/>
  <c r="T94" i="16"/>
  <c r="N38" i="17"/>
  <c r="N78" i="17"/>
  <c r="O75" i="17"/>
  <c r="T68" i="16"/>
  <c r="S60" i="17"/>
  <c r="O67" i="16"/>
  <c r="O11" i="17"/>
  <c r="T34" i="17"/>
  <c r="O68" i="17"/>
  <c r="O54" i="17"/>
  <c r="T23" i="17"/>
  <c r="T28" i="17"/>
  <c r="N90" i="16"/>
  <c r="T24" i="17"/>
  <c r="N68" i="16"/>
  <c r="N34" i="17"/>
  <c r="T89" i="16"/>
  <c r="O73" i="17"/>
  <c r="N58" i="17"/>
  <c r="T37" i="17"/>
  <c r="O62" i="17"/>
  <c r="N24" i="17"/>
  <c r="N80" i="17"/>
  <c r="N64" i="16"/>
  <c r="N70" i="16"/>
  <c r="N79" i="16"/>
  <c r="N71" i="17"/>
  <c r="O53" i="17"/>
  <c r="AI22" i="17"/>
  <c r="AI22" i="15"/>
  <c r="O71" i="16"/>
  <c r="T71" i="17"/>
  <c r="N93" i="16"/>
  <c r="T74" i="16"/>
  <c r="N32" i="17"/>
  <c r="N78" i="16"/>
  <c r="S90" i="16"/>
  <c r="S80" i="16"/>
  <c r="T77" i="16"/>
  <c r="N33" i="17"/>
  <c r="S68" i="17"/>
  <c r="O55" i="17"/>
  <c r="T72" i="17"/>
  <c r="S92" i="16"/>
  <c r="S11" i="17"/>
  <c r="S91" i="16"/>
  <c r="O83" i="16"/>
  <c r="S9" i="17"/>
  <c r="AI14" i="17"/>
  <c r="T69" i="17"/>
  <c r="S54" i="17"/>
  <c r="N53" i="17"/>
  <c r="T70" i="16"/>
  <c r="S74" i="16"/>
  <c r="N91" i="16"/>
  <c r="T11" i="17"/>
  <c r="O84" i="16"/>
  <c r="N95" i="16"/>
  <c r="S58" i="17"/>
  <c r="O63" i="16"/>
  <c r="T78" i="16"/>
  <c r="O60" i="17"/>
  <c r="S59" i="16"/>
  <c r="S69" i="17"/>
  <c r="S63" i="17"/>
  <c r="S66" i="17"/>
  <c r="O41" i="17"/>
  <c r="N36" i="17"/>
  <c r="S63" i="16"/>
  <c r="N68" i="17"/>
  <c r="S45" i="17"/>
  <c r="T78" i="17"/>
  <c r="S37" i="17"/>
  <c r="O36" i="17"/>
  <c r="S57" i="17"/>
  <c r="O61" i="16"/>
  <c r="T82" i="16"/>
  <c r="N81" i="16"/>
  <c r="T38" i="17"/>
  <c r="T39" i="17"/>
  <c r="S78" i="17"/>
  <c r="T68" i="17"/>
  <c r="T53" i="17"/>
  <c r="O28" i="17"/>
  <c r="S27" i="17"/>
  <c r="O33" i="17"/>
  <c r="S69" i="16"/>
  <c r="N26" i="17"/>
  <c r="S74" i="17"/>
  <c r="O69" i="16"/>
  <c r="O56" i="17"/>
  <c r="N66" i="16"/>
  <c r="N83" i="16"/>
  <c r="N73" i="16"/>
  <c r="N88" i="16"/>
  <c r="S72" i="17"/>
  <c r="S66" i="16"/>
  <c r="S23" i="16"/>
  <c r="O91" i="16"/>
  <c r="S80" i="17"/>
  <c r="O79" i="16"/>
  <c r="T92" i="16"/>
  <c r="T71" i="16"/>
  <c r="T79" i="17"/>
  <c r="T66" i="16"/>
  <c r="T60" i="16"/>
  <c r="S39" i="17"/>
  <c r="AI18" i="15"/>
  <c r="S83" i="16"/>
  <c r="S67" i="16"/>
  <c r="S71" i="17"/>
  <c r="T27" i="17"/>
  <c r="N55" i="17"/>
  <c r="T60" i="17"/>
  <c r="O29" i="17"/>
  <c r="AI16" i="17"/>
  <c r="O76" i="17"/>
  <c r="O80" i="17"/>
  <c r="O24" i="17"/>
  <c r="O68" i="16"/>
  <c r="O45" i="17"/>
  <c r="O66" i="16"/>
  <c r="T63" i="17"/>
  <c r="T90" i="16"/>
  <c r="AI14" i="15"/>
  <c r="O90" i="16"/>
  <c r="O65" i="16"/>
  <c r="T76" i="16"/>
  <c r="T36" i="17"/>
  <c r="S33" i="17"/>
  <c r="N65" i="16"/>
  <c r="O63" i="17"/>
  <c r="T86" i="16"/>
  <c r="AI12" i="15"/>
  <c r="N67" i="16"/>
  <c r="T65" i="17"/>
  <c r="S10" i="17"/>
  <c r="N8" i="17"/>
  <c r="T61" i="17"/>
  <c r="N87" i="16"/>
  <c r="O38" i="17"/>
  <c r="N89" i="16"/>
  <c r="T59" i="16"/>
  <c r="O93" i="16"/>
  <c r="AI21" i="15"/>
  <c r="N71" i="16"/>
  <c r="N94" i="16"/>
  <c r="O78" i="17"/>
  <c r="T88" i="16"/>
  <c r="O89" i="16"/>
  <c r="T26" i="17"/>
  <c r="S65" i="17"/>
  <c r="O65" i="17"/>
  <c r="O95" i="16"/>
  <c r="O61" i="17"/>
  <c r="AI23" i="17"/>
  <c r="N56" i="17"/>
  <c r="AI17" i="15"/>
  <c r="S79" i="17"/>
  <c r="S71" i="16"/>
  <c r="T70" i="17"/>
  <c r="T79" i="16"/>
  <c r="N62" i="16"/>
  <c r="N72" i="17"/>
  <c r="T10" i="17"/>
  <c r="S75" i="17"/>
  <c r="N54" i="17"/>
  <c r="N61" i="17"/>
  <c r="S94" i="16"/>
  <c r="AI19" i="15"/>
  <c r="S8" i="17"/>
  <c r="O80" i="16"/>
  <c r="N61" i="16"/>
  <c r="O52" i="17"/>
  <c r="N41" i="17"/>
  <c r="AI11" i="15"/>
  <c r="S38" i="17"/>
  <c r="S81" i="16"/>
  <c r="S75" i="16"/>
  <c r="S62" i="17"/>
  <c r="T93" i="16"/>
  <c r="O66" i="17"/>
  <c r="N27" i="17"/>
  <c r="O64" i="16"/>
  <c r="O72" i="17"/>
  <c r="O70" i="16"/>
  <c r="N45" i="17"/>
  <c r="N69" i="17"/>
  <c r="T85" i="16"/>
  <c r="S61" i="17"/>
  <c r="O92" i="16"/>
  <c r="N74" i="16"/>
  <c r="AI15" i="15"/>
  <c r="O85" i="16"/>
  <c r="AI20" i="17"/>
  <c r="N65" i="17"/>
  <c r="S52" i="17"/>
  <c r="N62" i="17"/>
  <c r="O23" i="16"/>
  <c r="N75" i="16"/>
  <c r="N80" i="16"/>
  <c r="S77" i="16"/>
  <c r="O79" i="17"/>
  <c r="S60" i="16"/>
  <c r="O58" i="17"/>
  <c r="T63" i="16"/>
  <c r="AI12" i="17"/>
  <c r="O57" i="17"/>
  <c r="S70" i="17"/>
  <c r="N31" i="17"/>
  <c r="S61" i="16"/>
  <c r="O32" i="17"/>
  <c r="T73" i="16"/>
  <c r="T55" i="17"/>
  <c r="N39" i="17"/>
  <c r="O34" i="17"/>
  <c r="T67" i="16"/>
  <c r="N69" i="16"/>
  <c r="T54" i="17"/>
  <c r="O69" i="17"/>
  <c r="N66" i="17"/>
  <c r="S23" i="17"/>
  <c r="O94" i="16"/>
  <c r="N60" i="16"/>
  <c r="O62" i="16"/>
  <c r="O8" i="17"/>
  <c r="S67" i="17"/>
  <c r="AI11" i="17"/>
  <c r="T76" i="17"/>
  <c r="O81" i="16"/>
  <c r="O82" i="16"/>
  <c r="N29" i="17"/>
  <c r="O74" i="16"/>
  <c r="S59" i="17"/>
  <c r="N28" i="17"/>
  <c r="N21" i="17"/>
  <c r="N76" i="16"/>
  <c r="N92" i="16"/>
  <c r="T9" i="17"/>
  <c r="O78" i="16"/>
  <c r="S89" i="16"/>
  <c r="T52" i="17"/>
  <c r="T41" i="17"/>
  <c r="O86" i="16"/>
  <c r="AI19" i="17"/>
  <c r="T29" i="17"/>
  <c r="O76" i="16"/>
  <c r="O59" i="17"/>
  <c r="N70" i="17"/>
  <c r="T77" i="17"/>
  <c r="S93" i="16"/>
  <c r="O73" i="16"/>
  <c r="T72" i="16"/>
  <c r="T62" i="17"/>
  <c r="S56" i="17"/>
  <c r="O9" i="17"/>
  <c r="T64" i="16"/>
  <c r="O26" i="17"/>
  <c r="T23" i="16"/>
  <c r="T75" i="16"/>
  <c r="T33" i="17"/>
  <c r="AI23" i="15"/>
  <c r="S77" i="17"/>
  <c r="N82" i="16"/>
  <c r="T87" i="16"/>
  <c r="T65" i="16"/>
  <c r="O77" i="16"/>
  <c r="M91" i="15" l="1"/>
  <c r="M99" i="15"/>
  <c r="M108" i="15"/>
  <c r="M77" i="15"/>
  <c r="M104" i="15"/>
  <c r="M85" i="15"/>
  <c r="M97" i="15"/>
  <c r="M94" i="15"/>
  <c r="M105" i="15"/>
  <c r="M102" i="15"/>
  <c r="M83" i="15"/>
  <c r="M110" i="15"/>
  <c r="M89" i="15"/>
  <c r="M82" i="15"/>
  <c r="M93" i="15"/>
  <c r="M81" i="15"/>
  <c r="M76" i="15"/>
  <c r="M101" i="15"/>
  <c r="M80" i="15"/>
  <c r="M98" i="15"/>
  <c r="M95" i="15"/>
  <c r="M78" i="15"/>
  <c r="M107" i="15"/>
  <c r="M79" i="15"/>
  <c r="M90" i="15"/>
  <c r="M87" i="15"/>
  <c r="M84" i="15"/>
  <c r="M109" i="15"/>
  <c r="M88" i="15"/>
  <c r="M106" i="15"/>
  <c r="M92" i="15"/>
  <c r="M103" i="15"/>
  <c r="M96" i="15"/>
  <c r="M75" i="15"/>
  <c r="M100" i="15"/>
  <c r="M86" i="15"/>
  <c r="M111" i="15"/>
  <c r="I30" i="1"/>
  <c r="D30" i="1"/>
  <c r="I15" i="1"/>
  <c r="N84" i="15"/>
  <c r="O101" i="15"/>
  <c r="N102" i="15"/>
  <c r="S86" i="15"/>
  <c r="T103" i="15"/>
  <c r="S106" i="15"/>
  <c r="T101" i="15"/>
  <c r="S87" i="15"/>
  <c r="T86" i="15"/>
  <c r="T106" i="15"/>
  <c r="N83" i="15"/>
  <c r="T85" i="15"/>
  <c r="T102" i="15"/>
  <c r="O91" i="15"/>
  <c r="O81" i="15"/>
  <c r="S108" i="15"/>
  <c r="O80" i="15"/>
  <c r="N104" i="15"/>
  <c r="N93" i="15"/>
  <c r="T82" i="15"/>
  <c r="O89" i="15"/>
  <c r="S93" i="15"/>
  <c r="T96" i="15"/>
  <c r="T88" i="15"/>
  <c r="N101" i="15"/>
  <c r="O92" i="15"/>
  <c r="N94" i="15"/>
  <c r="T110" i="15"/>
  <c r="O94" i="15"/>
  <c r="O109" i="15"/>
  <c r="O82" i="15"/>
  <c r="T81" i="15"/>
  <c r="S98" i="15"/>
  <c r="O77" i="15"/>
  <c r="O88" i="15"/>
  <c r="O97" i="15"/>
  <c r="S94" i="15"/>
  <c r="S110" i="15"/>
  <c r="O83" i="15"/>
  <c r="O108" i="15"/>
  <c r="T76" i="15"/>
  <c r="S89" i="15"/>
  <c r="S103" i="15"/>
  <c r="N105" i="15"/>
  <c r="N98" i="15"/>
  <c r="S82" i="15"/>
  <c r="T78" i="15"/>
  <c r="T104" i="15"/>
  <c r="S95" i="15"/>
  <c r="N87" i="15"/>
  <c r="S107" i="15"/>
  <c r="N91" i="15"/>
  <c r="S92" i="15"/>
  <c r="S109" i="15"/>
  <c r="N110" i="15"/>
  <c r="T98" i="15"/>
  <c r="N82" i="15"/>
  <c r="O79" i="15"/>
  <c r="N85" i="15"/>
  <c r="S81" i="15"/>
  <c r="N107" i="15"/>
  <c r="O105" i="15"/>
  <c r="S101" i="15"/>
  <c r="N99" i="15"/>
  <c r="S78" i="15"/>
  <c r="T105" i="15"/>
  <c r="O84" i="15"/>
  <c r="S85" i="15"/>
  <c r="S79" i="15"/>
  <c r="N81" i="15"/>
  <c r="O104" i="15"/>
  <c r="T79" i="15"/>
  <c r="N76" i="15"/>
  <c r="N111" i="15"/>
  <c r="T100" i="15"/>
  <c r="T83" i="15"/>
  <c r="S83" i="15"/>
  <c r="O100" i="15"/>
  <c r="T89" i="15"/>
  <c r="O76" i="15"/>
  <c r="T109" i="15"/>
  <c r="S80" i="15"/>
  <c r="N103" i="15"/>
  <c r="O106" i="15"/>
  <c r="T92" i="15"/>
  <c r="T77" i="15"/>
  <c r="N77" i="15"/>
  <c r="O87" i="15"/>
  <c r="S100" i="15"/>
  <c r="N106" i="15"/>
  <c r="N92" i="15"/>
  <c r="S97" i="15"/>
  <c r="N88" i="15"/>
  <c r="N100" i="15"/>
  <c r="S96" i="15"/>
  <c r="O90" i="15"/>
  <c r="O85" i="15"/>
  <c r="T107" i="15"/>
  <c r="O96" i="15"/>
  <c r="S104" i="15"/>
  <c r="S105" i="15"/>
  <c r="N109" i="15"/>
  <c r="T84" i="15"/>
  <c r="N78" i="15"/>
  <c r="O99" i="15"/>
  <c r="S102" i="15"/>
  <c r="T111" i="15"/>
  <c r="T75" i="15"/>
  <c r="O78" i="15"/>
  <c r="N95" i="15"/>
  <c r="N80" i="15"/>
  <c r="S76" i="15"/>
  <c r="T80" i="15"/>
  <c r="S111" i="15"/>
  <c r="N90" i="15"/>
  <c r="O107" i="15"/>
  <c r="O111" i="15"/>
  <c r="S84" i="15"/>
  <c r="N108" i="15"/>
  <c r="T91" i="15"/>
  <c r="N96" i="15"/>
  <c r="T97" i="15"/>
  <c r="S91" i="15"/>
  <c r="O93" i="15"/>
  <c r="O75" i="15"/>
  <c r="N97" i="15"/>
  <c r="N89" i="15"/>
  <c r="T90" i="15"/>
  <c r="O86" i="15"/>
  <c r="T108" i="15"/>
  <c r="S99" i="15"/>
  <c r="N86" i="15"/>
  <c r="O98" i="15"/>
  <c r="O110" i="15"/>
  <c r="T95" i="15"/>
  <c r="N75" i="15"/>
  <c r="T99" i="15"/>
  <c r="S88" i="15"/>
  <c r="O95" i="15"/>
  <c r="T87" i="15"/>
  <c r="O102" i="15"/>
  <c r="O103" i="15"/>
  <c r="T94" i="15"/>
  <c r="N79" i="15"/>
  <c r="S77" i="15"/>
  <c r="S90" i="15"/>
  <c r="T93" i="15"/>
  <c r="S75" i="15"/>
  <c r="R1" i="14" l="1"/>
  <c r="H6" i="14"/>
  <c r="D8" i="14"/>
  <c r="E8" i="14"/>
  <c r="D5" i="14"/>
  <c r="D4" i="14"/>
  <c r="D3" i="14"/>
  <c r="D15" i="1"/>
  <c r="F8" i="14"/>
  <c r="I5" i="14" l="1"/>
  <c r="L7" i="17" l="1"/>
  <c r="C7" i="17"/>
  <c r="L6" i="17"/>
  <c r="C6" i="17"/>
  <c r="L5" i="17"/>
  <c r="C5" i="17"/>
  <c r="L4" i="17"/>
  <c r="L3" i="17"/>
  <c r="V1" i="17"/>
  <c r="H1" i="17"/>
  <c r="H7" i="17" s="1"/>
  <c r="L22" i="16"/>
  <c r="L14" i="16"/>
  <c r="L15" i="16"/>
  <c r="L16" i="16"/>
  <c r="L17" i="16"/>
  <c r="L18" i="16"/>
  <c r="L19" i="16"/>
  <c r="L20" i="16"/>
  <c r="L21" i="16"/>
  <c r="L13" i="16"/>
  <c r="L10" i="16"/>
  <c r="L11" i="16"/>
  <c r="L12" i="16"/>
  <c r="C10" i="16"/>
  <c r="C11" i="16"/>
  <c r="C12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6" i="16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L9" i="16"/>
  <c r="C9" i="16"/>
  <c r="L8" i="16"/>
  <c r="C8" i="16"/>
  <c r="L7" i="16"/>
  <c r="C7" i="16"/>
  <c r="L6" i="16"/>
  <c r="C6" i="16"/>
  <c r="L5" i="16"/>
  <c r="C5" i="16"/>
  <c r="L4" i="16"/>
  <c r="L3" i="16"/>
  <c r="V1" i="16"/>
  <c r="H1" i="16"/>
  <c r="H8" i="16" s="1"/>
  <c r="G6" i="17"/>
  <c r="G5" i="16"/>
  <c r="J8" i="16"/>
  <c r="J34" i="16"/>
  <c r="J37" i="16"/>
  <c r="J40" i="16"/>
  <c r="G6" i="16"/>
  <c r="J43" i="16"/>
  <c r="J36" i="16"/>
  <c r="J48" i="16"/>
  <c r="J33" i="16"/>
  <c r="J53" i="16"/>
  <c r="J38" i="16"/>
  <c r="J35" i="16"/>
  <c r="J58" i="16"/>
  <c r="J32" i="16"/>
  <c r="G5" i="17"/>
  <c r="M51" i="16" l="1"/>
  <c r="M45" i="16"/>
  <c r="M38" i="16"/>
  <c r="M35" i="16"/>
  <c r="M52" i="16"/>
  <c r="M53" i="16"/>
  <c r="M40" i="16"/>
  <c r="M25" i="16"/>
  <c r="M41" i="16"/>
  <c r="M43" i="16"/>
  <c r="M37" i="16"/>
  <c r="M46" i="16"/>
  <c r="M47" i="16"/>
  <c r="M24" i="16"/>
  <c r="M48" i="16"/>
  <c r="M26" i="16"/>
  <c r="M42" i="16"/>
  <c r="M50" i="16"/>
  <c r="H6" i="17"/>
  <c r="H3" i="17"/>
  <c r="H4" i="17"/>
  <c r="H5" i="17"/>
  <c r="M22" i="16"/>
  <c r="H11" i="16"/>
  <c r="H12" i="16"/>
  <c r="H10" i="16"/>
  <c r="H4" i="16"/>
  <c r="H9" i="16"/>
  <c r="H3" i="16"/>
  <c r="H7" i="16"/>
  <c r="H6" i="16"/>
  <c r="H5" i="16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16" i="15"/>
  <c r="L4" i="15"/>
  <c r="L5" i="15"/>
  <c r="L6" i="15"/>
  <c r="L7" i="15"/>
  <c r="L8" i="15"/>
  <c r="L9" i="15"/>
  <c r="C17" i="15"/>
  <c r="H17" i="15" s="1"/>
  <c r="C16" i="15"/>
  <c r="H16" i="15" s="1"/>
  <c r="C14" i="15"/>
  <c r="H14" i="15" s="1"/>
  <c r="C13" i="15"/>
  <c r="H13" i="15" s="1"/>
  <c r="C12" i="15"/>
  <c r="H12" i="15" s="1"/>
  <c r="H1" i="15"/>
  <c r="H4" i="15" s="1"/>
  <c r="H9" i="15"/>
  <c r="C6" i="15"/>
  <c r="C7" i="15"/>
  <c r="C8" i="15"/>
  <c r="C9" i="15"/>
  <c r="C5" i="15"/>
  <c r="V1" i="15"/>
  <c r="L3" i="15"/>
  <c r="H4" i="14"/>
  <c r="H5" i="14"/>
  <c r="H3" i="14"/>
  <c r="E5" i="14"/>
  <c r="E4" i="14"/>
  <c r="E3" i="14"/>
  <c r="T41" i="16"/>
  <c r="N50" i="16"/>
  <c r="S41" i="16"/>
  <c r="O51" i="16"/>
  <c r="N25" i="16"/>
  <c r="N26" i="16"/>
  <c r="S50" i="16"/>
  <c r="N37" i="16"/>
  <c r="T43" i="16"/>
  <c r="J4" i="16"/>
  <c r="N41" i="16"/>
  <c r="S51" i="16"/>
  <c r="S53" i="16"/>
  <c r="T52" i="16"/>
  <c r="N42" i="16"/>
  <c r="S24" i="16"/>
  <c r="N52" i="16"/>
  <c r="J4" i="17"/>
  <c r="S45" i="16"/>
  <c r="J11" i="16"/>
  <c r="S22" i="16"/>
  <c r="S43" i="16"/>
  <c r="J5" i="17"/>
  <c r="S42" i="16"/>
  <c r="S46" i="16"/>
  <c r="T38" i="16"/>
  <c r="N47" i="16"/>
  <c r="S40" i="16"/>
  <c r="T50" i="16"/>
  <c r="O40" i="16"/>
  <c r="T48" i="16"/>
  <c r="O41" i="16"/>
  <c r="O22" i="16"/>
  <c r="G5" i="15"/>
  <c r="J4" i="15"/>
  <c r="T46" i="16"/>
  <c r="G6" i="15"/>
  <c r="S47" i="16"/>
  <c r="N35" i="16"/>
  <c r="S48" i="16"/>
  <c r="T45" i="16"/>
  <c r="T25" i="16"/>
  <c r="S52" i="16"/>
  <c r="O48" i="16"/>
  <c r="N38" i="16"/>
  <c r="O24" i="16"/>
  <c r="J3" i="16"/>
  <c r="N22" i="16"/>
  <c r="T42" i="16"/>
  <c r="J6" i="17"/>
  <c r="S37" i="16"/>
  <c r="T53" i="16"/>
  <c r="O37" i="16"/>
  <c r="O38" i="16"/>
  <c r="O47" i="16"/>
  <c r="N53" i="16"/>
  <c r="O53" i="16"/>
  <c r="N43" i="16"/>
  <c r="N24" i="16"/>
  <c r="T37" i="16"/>
  <c r="T47" i="16"/>
  <c r="S35" i="16"/>
  <c r="O42" i="16"/>
  <c r="N46" i="16"/>
  <c r="O25" i="16"/>
  <c r="J7" i="16"/>
  <c r="O46" i="16"/>
  <c r="O50" i="16"/>
  <c r="T35" i="16"/>
  <c r="O26" i="16"/>
  <c r="S38" i="16"/>
  <c r="N51" i="16"/>
  <c r="O52" i="16"/>
  <c r="J6" i="16"/>
  <c r="T40" i="16"/>
  <c r="N45" i="16"/>
  <c r="J9" i="16"/>
  <c r="J5" i="16"/>
  <c r="T22" i="16"/>
  <c r="S26" i="16"/>
  <c r="O35" i="16"/>
  <c r="N48" i="16"/>
  <c r="J10" i="16"/>
  <c r="N40" i="16"/>
  <c r="T24" i="16"/>
  <c r="O43" i="16"/>
  <c r="S25" i="16"/>
  <c r="J3" i="17"/>
  <c r="O45" i="16"/>
  <c r="T51" i="16"/>
  <c r="T26" i="16"/>
  <c r="M14" i="15" l="1"/>
  <c r="M11" i="15"/>
  <c r="M12" i="15"/>
  <c r="M15" i="15"/>
  <c r="M5" i="17"/>
  <c r="M3" i="17"/>
  <c r="M6" i="17"/>
  <c r="M3" i="16"/>
  <c r="M4" i="16"/>
  <c r="M5" i="16"/>
  <c r="M6" i="16"/>
  <c r="I4" i="14"/>
  <c r="M21" i="16"/>
  <c r="M18" i="16"/>
  <c r="M14" i="16"/>
  <c r="M13" i="16"/>
  <c r="M16" i="16"/>
  <c r="M17" i="16"/>
  <c r="M19" i="16"/>
  <c r="M20" i="16"/>
  <c r="M15" i="16"/>
  <c r="I3" i="14"/>
  <c r="M4" i="15"/>
  <c r="M10" i="15"/>
  <c r="M38" i="15"/>
  <c r="M39" i="15"/>
  <c r="M40" i="15"/>
  <c r="M41" i="15"/>
  <c r="M68" i="15"/>
  <c r="M67" i="15"/>
  <c r="M66" i="15"/>
  <c r="M58" i="15"/>
  <c r="M57" i="15"/>
  <c r="M56" i="15"/>
  <c r="M63" i="15"/>
  <c r="M62" i="15"/>
  <c r="M61" i="15"/>
  <c r="M53" i="15"/>
  <c r="H8" i="15"/>
  <c r="H7" i="15"/>
  <c r="H5" i="15"/>
  <c r="H3" i="15"/>
  <c r="H6" i="15"/>
  <c r="O17" i="16"/>
  <c r="S62" i="15"/>
  <c r="T5" i="16"/>
  <c r="O57" i="15"/>
  <c r="N5" i="17"/>
  <c r="S4" i="16"/>
  <c r="T14" i="16"/>
  <c r="O63" i="15"/>
  <c r="J8" i="15"/>
  <c r="O6" i="16"/>
  <c r="J9" i="15"/>
  <c r="T14" i="15"/>
  <c r="N4" i="16"/>
  <c r="T67" i="15"/>
  <c r="N56" i="15"/>
  <c r="N3" i="17"/>
  <c r="O5" i="17"/>
  <c r="T5" i="17"/>
  <c r="N21" i="16"/>
  <c r="N17" i="16"/>
  <c r="T6" i="17"/>
  <c r="T58" i="15"/>
  <c r="T40" i="15"/>
  <c r="N11" i="15"/>
  <c r="S57" i="15"/>
  <c r="O39" i="15"/>
  <c r="T56" i="15"/>
  <c r="O15" i="15"/>
  <c r="O56" i="15"/>
  <c r="O14" i="15"/>
  <c r="O18" i="16"/>
  <c r="T21" i="16"/>
  <c r="S10" i="15"/>
  <c r="T13" i="16"/>
  <c r="N4" i="15"/>
  <c r="N6" i="17"/>
  <c r="O6" i="17"/>
  <c r="S38" i="15"/>
  <c r="O19" i="16"/>
  <c r="N62" i="15"/>
  <c r="N66" i="15"/>
  <c r="N40" i="15"/>
  <c r="O4" i="15"/>
  <c r="J5" i="15"/>
  <c r="S6" i="16"/>
  <c r="S6" i="17"/>
  <c r="O61" i="15"/>
  <c r="N15" i="16"/>
  <c r="T3" i="17"/>
  <c r="N67" i="15"/>
  <c r="N53" i="15"/>
  <c r="N68" i="15"/>
  <c r="S18" i="16"/>
  <c r="S58" i="15"/>
  <c r="S5" i="16"/>
  <c r="N61" i="15"/>
  <c r="N16" i="16"/>
  <c r="S14" i="16"/>
  <c r="T4" i="15"/>
  <c r="S15" i="15"/>
  <c r="J7" i="15"/>
  <c r="S16" i="16"/>
  <c r="N13" i="16"/>
  <c r="T19" i="16"/>
  <c r="O66" i="15"/>
  <c r="N41" i="15"/>
  <c r="O12" i="15"/>
  <c r="S56" i="15"/>
  <c r="S15" i="16"/>
  <c r="S67" i="15"/>
  <c r="S41" i="15"/>
  <c r="O10" i="15"/>
  <c r="O38" i="15"/>
  <c r="N10" i="15"/>
  <c r="T38" i="15"/>
  <c r="S17" i="16"/>
  <c r="N15" i="15"/>
  <c r="S39" i="15"/>
  <c r="S40" i="15"/>
  <c r="S53" i="15"/>
  <c r="O21" i="16"/>
  <c r="S4" i="15"/>
  <c r="T12" i="15"/>
  <c r="N63" i="15"/>
  <c r="O67" i="15"/>
  <c r="N14" i="15"/>
  <c r="S13" i="16"/>
  <c r="N14" i="16"/>
  <c r="T6" i="16"/>
  <c r="O5" i="16"/>
  <c r="O15" i="16"/>
  <c r="T15" i="15"/>
  <c r="N57" i="15"/>
  <c r="O11" i="15"/>
  <c r="N39" i="15"/>
  <c r="T53" i="15"/>
  <c r="S20" i="16"/>
  <c r="T4" i="16"/>
  <c r="J12" i="16"/>
  <c r="O4" i="16"/>
  <c r="O62" i="15"/>
  <c r="S19" i="16"/>
  <c r="O3" i="16"/>
  <c r="T57" i="15"/>
  <c r="S21" i="16"/>
  <c r="O13" i="16"/>
  <c r="O68" i="15"/>
  <c r="T68" i="15"/>
  <c r="S3" i="16"/>
  <c r="S5" i="17"/>
  <c r="O3" i="17"/>
  <c r="N20" i="16"/>
  <c r="T62" i="15"/>
  <c r="N6" i="16"/>
  <c r="S68" i="15"/>
  <c r="T16" i="16"/>
  <c r="S61" i="15"/>
  <c r="S14" i="15"/>
  <c r="S63" i="15"/>
  <c r="T11" i="15"/>
  <c r="O53" i="15"/>
  <c r="O40" i="15"/>
  <c r="N18" i="16"/>
  <c r="N58" i="15"/>
  <c r="O14" i="16"/>
  <c r="S11" i="15"/>
  <c r="N12" i="15"/>
  <c r="T20" i="16"/>
  <c r="N5" i="16"/>
  <c r="O16" i="16"/>
  <c r="T15" i="16"/>
  <c r="T41" i="15"/>
  <c r="N19" i="16"/>
  <c r="S12" i="15"/>
  <c r="N38" i="15"/>
  <c r="T61" i="15"/>
  <c r="T39" i="15"/>
  <c r="T63" i="15"/>
  <c r="N3" i="16"/>
  <c r="O58" i="15"/>
  <c r="T10" i="15"/>
  <c r="O20" i="16"/>
  <c r="J7" i="17"/>
  <c r="S66" i="15"/>
  <c r="T3" i="16"/>
  <c r="S3" i="17"/>
  <c r="O41" i="15"/>
  <c r="T66" i="15"/>
  <c r="J6" i="15"/>
  <c r="T18" i="16"/>
  <c r="T17" i="16"/>
  <c r="J3" i="15"/>
  <c r="M10" i="16" l="1"/>
  <c r="M7" i="16"/>
  <c r="M7" i="17"/>
  <c r="M4" i="17"/>
  <c r="M8" i="16"/>
  <c r="M9" i="16"/>
  <c r="M12" i="16"/>
  <c r="M11" i="16"/>
  <c r="M9" i="15"/>
  <c r="M6" i="15"/>
  <c r="M3" i="15"/>
  <c r="M5" i="15"/>
  <c r="M7" i="15"/>
  <c r="M8" i="15"/>
  <c r="D7" i="1"/>
  <c r="O7" i="17"/>
  <c r="T4" i="17"/>
  <c r="N6" i="15"/>
  <c r="T8" i="16"/>
  <c r="S7" i="15"/>
  <c r="O10" i="16"/>
  <c r="S7" i="16"/>
  <c r="S10" i="16"/>
  <c r="N12" i="16"/>
  <c r="O9" i="16"/>
  <c r="S8" i="15"/>
  <c r="S6" i="15"/>
  <c r="T11" i="16"/>
  <c r="T7" i="16"/>
  <c r="O7" i="16"/>
  <c r="N7" i="16"/>
  <c r="N8" i="16"/>
  <c r="O12" i="16"/>
  <c r="S3" i="15"/>
  <c r="S9" i="15"/>
  <c r="O6" i="15"/>
  <c r="N10" i="16"/>
  <c r="T9" i="16"/>
  <c r="N3" i="15"/>
  <c r="O4" i="17"/>
  <c r="T12" i="16"/>
  <c r="T5" i="15"/>
  <c r="T3" i="15"/>
  <c r="O9" i="15"/>
  <c r="N8" i="15"/>
  <c r="N9" i="16"/>
  <c r="S8" i="16"/>
  <c r="S7" i="17"/>
  <c r="N11" i="16"/>
  <c r="S12" i="16"/>
  <c r="O11" i="16"/>
  <c r="T7" i="15"/>
  <c r="T7" i="17"/>
  <c r="S11" i="16"/>
  <c r="T6" i="15"/>
  <c r="N5" i="15"/>
  <c r="T10" i="16"/>
  <c r="S4" i="17"/>
  <c r="O8" i="15"/>
  <c r="O7" i="15"/>
  <c r="O3" i="15"/>
  <c r="N7" i="17"/>
  <c r="N4" i="17"/>
  <c r="O5" i="15"/>
  <c r="O8" i="16"/>
  <c r="T8" i="15"/>
  <c r="S5" i="15"/>
  <c r="N7" i="15"/>
  <c r="T9" i="15"/>
  <c r="S9" i="16"/>
  <c r="N9" i="15"/>
  <c r="M15" i="17" l="1"/>
  <c r="M42" i="17"/>
  <c r="M13" i="17"/>
  <c r="M20" i="17"/>
  <c r="M16" i="17"/>
  <c r="M44" i="17"/>
  <c r="M19" i="17"/>
  <c r="M18" i="17"/>
  <c r="M22" i="17"/>
  <c r="M35" i="17"/>
  <c r="M30" i="17"/>
  <c r="M25" i="17"/>
  <c r="M12" i="17"/>
  <c r="M40" i="17"/>
  <c r="M14" i="17"/>
  <c r="M43" i="17"/>
  <c r="M17" i="17"/>
  <c r="M50" i="15"/>
  <c r="M60" i="15"/>
  <c r="M55" i="15"/>
  <c r="M70" i="15"/>
  <c r="M72" i="15"/>
  <c r="M65" i="15"/>
  <c r="M52" i="15"/>
  <c r="M55" i="16"/>
  <c r="M39" i="16"/>
  <c r="M31" i="16"/>
  <c r="M54" i="16"/>
  <c r="M30" i="16"/>
  <c r="M29" i="16"/>
  <c r="M36" i="16"/>
  <c r="M44" i="16"/>
  <c r="M27" i="16"/>
  <c r="M57" i="16"/>
  <c r="M33" i="16"/>
  <c r="M56" i="16"/>
  <c r="M32" i="16"/>
  <c r="M28" i="16"/>
  <c r="M58" i="16"/>
  <c r="M34" i="16"/>
  <c r="M49" i="16"/>
  <c r="M51" i="15"/>
  <c r="M44" i="15"/>
  <c r="M69" i="15"/>
  <c r="M43" i="15"/>
  <c r="M54" i="15"/>
  <c r="M42" i="15"/>
  <c r="M71" i="15"/>
  <c r="M48" i="15"/>
  <c r="M73" i="15"/>
  <c r="M74" i="15"/>
  <c r="M59" i="15"/>
  <c r="M49" i="15"/>
  <c r="M64" i="15"/>
  <c r="M47" i="15"/>
  <c r="M46" i="15"/>
  <c r="M45" i="15"/>
  <c r="O30" i="17"/>
  <c r="S47" i="15"/>
  <c r="N18" i="17"/>
  <c r="S12" i="17"/>
  <c r="T34" i="16"/>
  <c r="N36" i="16"/>
  <c r="S16" i="17"/>
  <c r="O27" i="16"/>
  <c r="N20" i="17"/>
  <c r="S20" i="17"/>
  <c r="N50" i="15"/>
  <c r="N71" i="15"/>
  <c r="T35" i="17"/>
  <c r="S59" i="15"/>
  <c r="S49" i="15"/>
  <c r="O50" i="15"/>
  <c r="N32" i="16"/>
  <c r="T13" i="17"/>
  <c r="S36" i="16"/>
  <c r="S25" i="17"/>
  <c r="N54" i="15"/>
  <c r="S22" i="17"/>
  <c r="O51" i="15"/>
  <c r="O20" i="17"/>
  <c r="T74" i="15"/>
  <c r="T42" i="17"/>
  <c r="S34" i="16"/>
  <c r="O18" i="17"/>
  <c r="I3" i="1"/>
  <c r="N25" i="17"/>
  <c r="N31" i="16"/>
  <c r="T55" i="15"/>
  <c r="O25" i="17"/>
  <c r="O48" i="15"/>
  <c r="T18" i="17"/>
  <c r="O17" i="17"/>
  <c r="K5" i="14"/>
  <c r="N16" i="17"/>
  <c r="T73" i="15"/>
  <c r="O4" i="14"/>
  <c r="N51" i="15"/>
  <c r="T42" i="15"/>
  <c r="O34" i="16"/>
  <c r="S31" i="16"/>
  <c r="O57" i="16"/>
  <c r="O64" i="15"/>
  <c r="N48" i="15"/>
  <c r="O22" i="17"/>
  <c r="T56" i="16"/>
  <c r="S13" i="17"/>
  <c r="O71" i="15"/>
  <c r="O42" i="15"/>
  <c r="O14" i="17"/>
  <c r="N42" i="17"/>
  <c r="T22" i="17"/>
  <c r="S45" i="15"/>
  <c r="N12" i="17"/>
  <c r="S33" i="16"/>
  <c r="O29" i="16"/>
  <c r="N57" i="16"/>
  <c r="O12" i="17"/>
  <c r="N44" i="16"/>
  <c r="T57" i="16"/>
  <c r="O43" i="15"/>
  <c r="O55" i="15"/>
  <c r="S58" i="16"/>
  <c r="S50" i="15"/>
  <c r="O44" i="16"/>
  <c r="S44" i="16"/>
  <c r="N60" i="15"/>
  <c r="S42" i="15"/>
  <c r="T15" i="17"/>
  <c r="O44" i="15"/>
  <c r="S71" i="15"/>
  <c r="K4" i="14"/>
  <c r="T54" i="15"/>
  <c r="T36" i="16"/>
  <c r="O49" i="15"/>
  <c r="T65" i="15"/>
  <c r="N34" i="16"/>
  <c r="O45" i="15"/>
  <c r="S64" i="15"/>
  <c r="S54" i="16"/>
  <c r="N35" i="17"/>
  <c r="S46" i="15"/>
  <c r="N74" i="15"/>
  <c r="O69" i="15"/>
  <c r="T31" i="16"/>
  <c r="N42" i="15"/>
  <c r="O55" i="16"/>
  <c r="T48" i="15"/>
  <c r="T71" i="15"/>
  <c r="S51" i="15"/>
  <c r="O32" i="16"/>
  <c r="S55" i="15"/>
  <c r="P4" i="14"/>
  <c r="T19" i="17"/>
  <c r="N73" i="15"/>
  <c r="O13" i="17"/>
  <c r="P5" i="14"/>
  <c r="N29" i="16"/>
  <c r="N30" i="16"/>
  <c r="S60" i="15"/>
  <c r="S56" i="16"/>
  <c r="O33" i="16"/>
  <c r="J5" i="14"/>
  <c r="O70" i="15"/>
  <c r="S70" i="15"/>
  <c r="O72" i="15"/>
  <c r="N17" i="17"/>
  <c r="N39" i="16"/>
  <c r="O16" i="17"/>
  <c r="T39" i="16"/>
  <c r="N43" i="17"/>
  <c r="N13" i="17"/>
  <c r="O31" i="16"/>
  <c r="P3" i="14"/>
  <c r="N14" i="17"/>
  <c r="T17" i="17"/>
  <c r="T16" i="17"/>
  <c r="S73" i="15"/>
  <c r="N47" i="15"/>
  <c r="O59" i="15"/>
  <c r="O44" i="17"/>
  <c r="S35" i="17"/>
  <c r="T33" i="16"/>
  <c r="S14" i="17"/>
  <c r="O54" i="16"/>
  <c r="O60" i="15"/>
  <c r="T20" i="17"/>
  <c r="T64" i="15"/>
  <c r="N45" i="15"/>
  <c r="T12" i="17"/>
  <c r="N70" i="15"/>
  <c r="T40" i="17"/>
  <c r="T32" i="16"/>
  <c r="S57" i="16"/>
  <c r="N72" i="15"/>
  <c r="O30" i="16"/>
  <c r="N55" i="16"/>
  <c r="N19" i="17"/>
  <c r="O3" i="14"/>
  <c r="S17" i="17"/>
  <c r="N27" i="16"/>
  <c r="T51" i="15"/>
  <c r="O56" i="16"/>
  <c r="T46" i="15"/>
  <c r="O28" i="16"/>
  <c r="S52" i="15"/>
  <c r="O40" i="17"/>
  <c r="S28" i="16"/>
  <c r="S74" i="15"/>
  <c r="N30" i="17"/>
  <c r="T49" i="16"/>
  <c r="N64" i="15"/>
  <c r="N58" i="16"/>
  <c r="O15" i="17"/>
  <c r="T43" i="15"/>
  <c r="S44" i="15"/>
  <c r="T60" i="15"/>
  <c r="T44" i="16"/>
  <c r="N55" i="15"/>
  <c r="W3" i="17" a="1"/>
  <c r="T29" i="16"/>
  <c r="N54" i="16"/>
  <c r="S48" i="15"/>
  <c r="S18" i="17"/>
  <c r="O46" i="15"/>
  <c r="N56" i="16"/>
  <c r="T27" i="16"/>
  <c r="N22" i="17"/>
  <c r="O5" i="14"/>
  <c r="T69" i="15"/>
  <c r="T25" i="17"/>
  <c r="N33" i="16"/>
  <c r="O35" i="17"/>
  <c r="O42" i="17"/>
  <c r="T28" i="16"/>
  <c r="S30" i="16"/>
  <c r="T14" i="17"/>
  <c r="S44" i="17"/>
  <c r="T44" i="17"/>
  <c r="T59" i="15"/>
  <c r="S27" i="16"/>
  <c r="N49" i="16"/>
  <c r="O74" i="15"/>
  <c r="N69" i="15"/>
  <c r="S32" i="16"/>
  <c r="S43" i="15"/>
  <c r="O43" i="17"/>
  <c r="S39" i="16"/>
  <c r="T47" i="15"/>
  <c r="T30" i="17"/>
  <c r="T43" i="17"/>
  <c r="T70" i="15"/>
  <c r="N15" i="17"/>
  <c r="T72" i="15"/>
  <c r="O52" i="15"/>
  <c r="S69" i="15"/>
  <c r="T45" i="15"/>
  <c r="O65" i="15"/>
  <c r="J4" i="14"/>
  <c r="N59" i="15"/>
  <c r="S29" i="16"/>
  <c r="S19" i="17"/>
  <c r="S15" i="17"/>
  <c r="J3" i="14"/>
  <c r="O54" i="15"/>
  <c r="S49" i="16"/>
  <c r="K3" i="14"/>
  <c r="O58" i="16"/>
  <c r="S30" i="17"/>
  <c r="S55" i="16"/>
  <c r="S43" i="17"/>
  <c r="N52" i="15"/>
  <c r="N43" i="15"/>
  <c r="T54" i="16"/>
  <c r="T30" i="16"/>
  <c r="O36" i="16"/>
  <c r="O49" i="16"/>
  <c r="S40" i="17"/>
  <c r="T49" i="15"/>
  <c r="T55" i="16"/>
  <c r="O19" i="17"/>
  <c r="N46" i="15"/>
  <c r="N40" i="17"/>
  <c r="T58" i="16"/>
  <c r="S54" i="15"/>
  <c r="T52" i="15"/>
  <c r="T44" i="15"/>
  <c r="S72" i="15"/>
  <c r="N44" i="17"/>
  <c r="O47" i="15"/>
  <c r="O73" i="15"/>
  <c r="S42" i="17"/>
  <c r="N65" i="15"/>
  <c r="N28" i="16"/>
  <c r="T50" i="15"/>
  <c r="N44" i="15"/>
  <c r="O39" i="16"/>
  <c r="N49" i="15"/>
  <c r="S65" i="15"/>
  <c r="W50" i="17" l="1"/>
  <c r="W27" i="17"/>
  <c r="W4" i="17"/>
  <c r="W68" i="17"/>
  <c r="W45" i="17"/>
  <c r="W30" i="17"/>
  <c r="W15" i="17"/>
  <c r="W79" i="17"/>
  <c r="W64" i="17"/>
  <c r="W49" i="17"/>
  <c r="W58" i="17"/>
  <c r="W35" i="17"/>
  <c r="W12" i="17"/>
  <c r="W76" i="17"/>
  <c r="W53" i="17"/>
  <c r="W38" i="17"/>
  <c r="W23" i="17"/>
  <c r="W8" i="17"/>
  <c r="W72" i="17"/>
  <c r="W57" i="17"/>
  <c r="W66" i="17"/>
  <c r="W43" i="17"/>
  <c r="W20" i="17"/>
  <c r="W84" i="17"/>
  <c r="W61" i="17"/>
  <c r="W46" i="17"/>
  <c r="W31" i="17"/>
  <c r="W16" i="17"/>
  <c r="W80" i="17"/>
  <c r="W65" i="17"/>
  <c r="W10" i="17"/>
  <c r="W74" i="17"/>
  <c r="W51" i="17"/>
  <c r="W28" i="17"/>
  <c r="W5" i="17"/>
  <c r="W69" i="17"/>
  <c r="W54" i="17"/>
  <c r="W39" i="17"/>
  <c r="W24" i="17"/>
  <c r="W9" i="17"/>
  <c r="W73" i="17"/>
  <c r="W26" i="17"/>
  <c r="W67" i="17"/>
  <c r="W21" i="17"/>
  <c r="W70" i="17"/>
  <c r="W40" i="17"/>
  <c r="W34" i="17"/>
  <c r="W75" i="17"/>
  <c r="W29" i="17"/>
  <c r="W78" i="17"/>
  <c r="W48" i="17"/>
  <c r="W42" i="17"/>
  <c r="W83" i="17"/>
  <c r="W37" i="17"/>
  <c r="W7" i="17"/>
  <c r="W56" i="17"/>
  <c r="W82" i="17"/>
  <c r="W36" i="17"/>
  <c r="W77" i="17"/>
  <c r="W47" i="17"/>
  <c r="W17" i="17"/>
  <c r="W3" i="17"/>
  <c r="W44" i="17"/>
  <c r="W6" i="17"/>
  <c r="W55" i="17"/>
  <c r="W25" i="17"/>
  <c r="W11" i="17"/>
  <c r="W52" i="17"/>
  <c r="W14" i="17"/>
  <c r="W63" i="17"/>
  <c r="W33" i="17"/>
  <c r="W19" i="17"/>
  <c r="W60" i="17"/>
  <c r="W22" i="17"/>
  <c r="W71" i="17"/>
  <c r="W41" i="17"/>
  <c r="W18" i="17"/>
  <c r="W59" i="17"/>
  <c r="W13" i="17"/>
  <c r="W62" i="17"/>
  <c r="W32" i="17"/>
  <c r="W81" i="17"/>
  <c r="AL11" i="17"/>
  <c r="I6" i="14"/>
  <c r="S3" i="14" a="1"/>
  <c r="I4" i="1"/>
  <c r="AB11" i="14"/>
  <c r="J6" i="14"/>
  <c r="AF11" i="16"/>
  <c r="O6" i="14"/>
  <c r="AF11" i="15"/>
  <c r="AF12" i="15" s="1"/>
  <c r="P6" i="14"/>
  <c r="K6" i="14"/>
  <c r="AH11" i="16"/>
  <c r="AF12" i="16"/>
  <c r="AH12" i="16"/>
  <c r="AF13" i="16"/>
  <c r="AJ11" i="16" l="1"/>
  <c r="H20" i="15"/>
  <c r="I20" i="15"/>
  <c r="S10" i="14"/>
  <c r="S74" i="14"/>
  <c r="S27" i="14"/>
  <c r="S91" i="14"/>
  <c r="S44" i="14"/>
  <c r="S108" i="14"/>
  <c r="S81" i="14"/>
  <c r="S71" i="14"/>
  <c r="S61" i="14"/>
  <c r="S48" i="14"/>
  <c r="S38" i="14"/>
  <c r="S25" i="14"/>
  <c r="S29" i="14"/>
  <c r="S30" i="14"/>
  <c r="S18" i="14"/>
  <c r="S82" i="14"/>
  <c r="S35" i="14"/>
  <c r="S99" i="14"/>
  <c r="S52" i="14"/>
  <c r="S5" i="14"/>
  <c r="S95" i="14"/>
  <c r="S85" i="14"/>
  <c r="S72" i="14"/>
  <c r="S62" i="14"/>
  <c r="S49" i="14"/>
  <c r="S39" i="14"/>
  <c r="S40" i="14"/>
  <c r="S41" i="14"/>
  <c r="S26" i="14"/>
  <c r="S90" i="14"/>
  <c r="S43" i="14"/>
  <c r="S107" i="14"/>
  <c r="S60" i="14"/>
  <c r="S6" i="14"/>
  <c r="S109" i="14"/>
  <c r="S96" i="14"/>
  <c r="S86" i="14"/>
  <c r="S73" i="14"/>
  <c r="S63" i="14"/>
  <c r="S53" i="14"/>
  <c r="S54" i="14"/>
  <c r="S55" i="14"/>
  <c r="S34" i="14"/>
  <c r="S98" i="14"/>
  <c r="S51" i="14"/>
  <c r="S4" i="14"/>
  <c r="S68" i="14"/>
  <c r="S17" i="14"/>
  <c r="S7" i="14"/>
  <c r="S110" i="14"/>
  <c r="S97" i="14"/>
  <c r="S87" i="14"/>
  <c r="S77" i="14"/>
  <c r="S64" i="14"/>
  <c r="S65" i="14"/>
  <c r="S69" i="14"/>
  <c r="S42" i="14"/>
  <c r="S106" i="14"/>
  <c r="S59" i="14"/>
  <c r="S12" i="14"/>
  <c r="S76" i="14"/>
  <c r="S31" i="14"/>
  <c r="S21" i="14"/>
  <c r="S8" i="14"/>
  <c r="S111" i="14"/>
  <c r="S101" i="14"/>
  <c r="S88" i="14"/>
  <c r="S78" i="14"/>
  <c r="S79" i="14"/>
  <c r="S80" i="14"/>
  <c r="S50" i="14"/>
  <c r="S3" i="14"/>
  <c r="S67" i="14"/>
  <c r="S20" i="14"/>
  <c r="S84" i="14"/>
  <c r="S45" i="14"/>
  <c r="S32" i="14"/>
  <c r="S22" i="14"/>
  <c r="S9" i="14"/>
  <c r="S112" i="14"/>
  <c r="S102" i="14"/>
  <c r="S89" i="14"/>
  <c r="S93" i="14"/>
  <c r="S94" i="14"/>
  <c r="S58" i="14"/>
  <c r="S92" i="14"/>
  <c r="S23" i="14"/>
  <c r="S104" i="14"/>
  <c r="S66" i="14"/>
  <c r="S100" i="14"/>
  <c r="S37" i="14"/>
  <c r="S16" i="14"/>
  <c r="S11" i="14"/>
  <c r="S56" i="14"/>
  <c r="S13" i="14"/>
  <c r="S105" i="14"/>
  <c r="S19" i="14"/>
  <c r="S70" i="14"/>
  <c r="S24" i="14"/>
  <c r="S75" i="14"/>
  <c r="S46" i="14"/>
  <c r="S113" i="14"/>
  <c r="S83" i="14"/>
  <c r="S15" i="14"/>
  <c r="S28" i="14"/>
  <c r="S14" i="14"/>
  <c r="S36" i="14"/>
  <c r="S57" i="14"/>
  <c r="S47" i="14"/>
  <c r="S33" i="14"/>
  <c r="S103" i="14"/>
  <c r="AJ12" i="16"/>
  <c r="AL12" i="17"/>
  <c r="AB12" i="14"/>
  <c r="X42" i="14"/>
  <c r="U65" i="14"/>
  <c r="U72" i="14"/>
  <c r="U37" i="14"/>
  <c r="W74" i="14"/>
  <c r="U71" i="14"/>
  <c r="U102" i="14"/>
  <c r="X11" i="14"/>
  <c r="AB23" i="14"/>
  <c r="W85" i="14"/>
  <c r="W13" i="14"/>
  <c r="X46" i="14"/>
  <c r="X87" i="14"/>
  <c r="T21" i="14"/>
  <c r="T6" i="14"/>
  <c r="X8" i="14"/>
  <c r="T96" i="14"/>
  <c r="W44" i="14"/>
  <c r="V78" i="14"/>
  <c r="W20" i="14"/>
  <c r="W77" i="14"/>
  <c r="X110" i="14"/>
  <c r="X43" i="14"/>
  <c r="U101" i="14"/>
  <c r="U112" i="14"/>
  <c r="V42" i="14"/>
  <c r="X35" i="14"/>
  <c r="V54" i="14"/>
  <c r="U92" i="14"/>
  <c r="AH12" i="15"/>
  <c r="V60" i="14"/>
  <c r="T97" i="14"/>
  <c r="X63" i="14"/>
  <c r="V92" i="14"/>
  <c r="U51" i="14"/>
  <c r="T105" i="14"/>
  <c r="W6" i="14"/>
  <c r="W75" i="14"/>
  <c r="X83" i="14"/>
  <c r="T74" i="14"/>
  <c r="U28" i="14"/>
  <c r="V87" i="14"/>
  <c r="V61" i="14"/>
  <c r="U23" i="14"/>
  <c r="U84" i="14"/>
  <c r="X56" i="14"/>
  <c r="X15" i="14"/>
  <c r="U59" i="14"/>
  <c r="T34" i="14"/>
  <c r="W37" i="14"/>
  <c r="T108" i="14"/>
  <c r="V39" i="14"/>
  <c r="W110" i="14"/>
  <c r="X69" i="14"/>
  <c r="W59" i="14"/>
  <c r="X52" i="14"/>
  <c r="T38" i="14"/>
  <c r="V86" i="14"/>
  <c r="T11" i="14"/>
  <c r="W68" i="14"/>
  <c r="U41" i="14"/>
  <c r="V52" i="14"/>
  <c r="U29" i="14"/>
  <c r="W24" i="14"/>
  <c r="T71" i="14"/>
  <c r="W82" i="14"/>
  <c r="U6" i="14"/>
  <c r="W83" i="14"/>
  <c r="U95" i="14"/>
  <c r="U13" i="14"/>
  <c r="W103" i="14"/>
  <c r="X10" i="14"/>
  <c r="U27" i="14"/>
  <c r="W73" i="14"/>
  <c r="W17" i="14"/>
  <c r="V94" i="14"/>
  <c r="U85" i="14"/>
  <c r="AD11" i="14"/>
  <c r="V106" i="14"/>
  <c r="X62" i="14"/>
  <c r="W60" i="14"/>
  <c r="U88" i="14"/>
  <c r="X58" i="14"/>
  <c r="V93" i="14"/>
  <c r="V108" i="14"/>
  <c r="T91" i="14"/>
  <c r="X73" i="14"/>
  <c r="U17" i="14"/>
  <c r="T104" i="14"/>
  <c r="T60" i="14"/>
  <c r="W54" i="14"/>
  <c r="X24" i="14"/>
  <c r="T75" i="14"/>
  <c r="T28" i="14"/>
  <c r="V27" i="14"/>
  <c r="T113" i="14"/>
  <c r="W33" i="14"/>
  <c r="U58" i="14"/>
  <c r="T78" i="14"/>
  <c r="W109" i="14"/>
  <c r="T101" i="14"/>
  <c r="T54" i="14"/>
  <c r="X5" i="14"/>
  <c r="V50" i="14"/>
  <c r="T80" i="14"/>
  <c r="W45" i="14"/>
  <c r="V13" i="14"/>
  <c r="V58" i="14"/>
  <c r="V105" i="14"/>
  <c r="X54" i="14"/>
  <c r="V70" i="14"/>
  <c r="W90" i="14"/>
  <c r="U81" i="14"/>
  <c r="U67" i="14"/>
  <c r="T73" i="14"/>
  <c r="T100" i="14"/>
  <c r="V76" i="14"/>
  <c r="V81" i="14"/>
  <c r="U98" i="14"/>
  <c r="V66" i="14"/>
  <c r="W18" i="14"/>
  <c r="U55" i="14"/>
  <c r="V51" i="14"/>
  <c r="W25" i="14"/>
  <c r="T39" i="14"/>
  <c r="W107" i="14"/>
  <c r="V8" i="14"/>
  <c r="X108" i="14"/>
  <c r="T95" i="14"/>
  <c r="U21" i="14"/>
  <c r="T93" i="14"/>
  <c r="X107" i="14"/>
  <c r="T112" i="14"/>
  <c r="X65" i="14"/>
  <c r="T89" i="14"/>
  <c r="U39" i="14"/>
  <c r="T49" i="14"/>
  <c r="V110" i="14"/>
  <c r="X49" i="14"/>
  <c r="U77" i="14"/>
  <c r="V47" i="14"/>
  <c r="X113" i="14"/>
  <c r="T15" i="14"/>
  <c r="T31" i="14"/>
  <c r="T64" i="14"/>
  <c r="U76" i="14"/>
  <c r="T94" i="14"/>
  <c r="V16" i="14"/>
  <c r="W69" i="14"/>
  <c r="X68" i="14"/>
  <c r="W23" i="14"/>
  <c r="W58" i="14"/>
  <c r="T29" i="14"/>
  <c r="W100" i="14"/>
  <c r="W63" i="14"/>
  <c r="X99" i="14"/>
  <c r="U50" i="14"/>
  <c r="X103" i="14"/>
  <c r="V69" i="14"/>
  <c r="X7" i="14"/>
  <c r="W8" i="14"/>
  <c r="V43" i="14"/>
  <c r="U5" i="14"/>
  <c r="W94" i="14"/>
  <c r="T51" i="14"/>
  <c r="T14" i="14"/>
  <c r="V53" i="14"/>
  <c r="V25" i="14"/>
  <c r="T55" i="14"/>
  <c r="T76" i="14"/>
  <c r="V37" i="14"/>
  <c r="X21" i="14"/>
  <c r="V91" i="14"/>
  <c r="T27" i="14"/>
  <c r="U46" i="14"/>
  <c r="V21" i="14"/>
  <c r="W95" i="14"/>
  <c r="X100" i="14"/>
  <c r="V23" i="14"/>
  <c r="W32" i="14"/>
  <c r="V102" i="14"/>
  <c r="T46" i="14"/>
  <c r="U20" i="14"/>
  <c r="W104" i="14"/>
  <c r="X6" i="14"/>
  <c r="V77" i="14"/>
  <c r="W87" i="14"/>
  <c r="V5" i="14"/>
  <c r="T77" i="14"/>
  <c r="T66" i="14"/>
  <c r="T22" i="14"/>
  <c r="W12" i="14"/>
  <c r="X60" i="14"/>
  <c r="V99" i="14"/>
  <c r="W10" i="14"/>
  <c r="U69" i="14"/>
  <c r="U31" i="14"/>
  <c r="T70" i="14"/>
  <c r="T33" i="14"/>
  <c r="U57" i="14"/>
  <c r="T83" i="14"/>
  <c r="T18" i="14"/>
  <c r="T8" i="14"/>
  <c r="X40" i="14"/>
  <c r="U45" i="14"/>
  <c r="T23" i="14"/>
  <c r="V44" i="14"/>
  <c r="AF23" i="15"/>
  <c r="U78" i="14"/>
  <c r="V11" i="14"/>
  <c r="W36" i="14"/>
  <c r="W111" i="14"/>
  <c r="W52" i="14"/>
  <c r="X31" i="14"/>
  <c r="X91" i="14"/>
  <c r="V67" i="14"/>
  <c r="X32" i="14"/>
  <c r="U75" i="14"/>
  <c r="U18" i="14"/>
  <c r="W92" i="14"/>
  <c r="X76" i="14"/>
  <c r="W38" i="14"/>
  <c r="W42" i="14"/>
  <c r="T48" i="14"/>
  <c r="U91" i="14"/>
  <c r="U62" i="14"/>
  <c r="U96" i="14"/>
  <c r="T68" i="14"/>
  <c r="U90" i="14"/>
  <c r="W7" i="14"/>
  <c r="X90" i="14"/>
  <c r="V89" i="14"/>
  <c r="W48" i="14"/>
  <c r="W9" i="14"/>
  <c r="W101" i="14"/>
  <c r="V12" i="14"/>
  <c r="X102" i="14"/>
  <c r="W55" i="14"/>
  <c r="V14" i="14"/>
  <c r="W27" i="14"/>
  <c r="T90" i="14"/>
  <c r="W22" i="14"/>
  <c r="T26" i="14"/>
  <c r="X106" i="14"/>
  <c r="T7" i="14"/>
  <c r="V46" i="14"/>
  <c r="V80" i="14"/>
  <c r="W26" i="14"/>
  <c r="V96" i="14"/>
  <c r="W41" i="14"/>
  <c r="U70" i="14"/>
  <c r="V24" i="14"/>
  <c r="U22" i="14"/>
  <c r="U8" i="14"/>
  <c r="W76" i="14"/>
  <c r="T99" i="14"/>
  <c r="X71" i="14"/>
  <c r="T10" i="14"/>
  <c r="T16" i="14"/>
  <c r="T86" i="14"/>
  <c r="V31" i="14"/>
  <c r="X26" i="14"/>
  <c r="T30" i="14"/>
  <c r="X84" i="14"/>
  <c r="U34" i="14"/>
  <c r="V97" i="14"/>
  <c r="U106" i="14"/>
  <c r="U87" i="14"/>
  <c r="U33" i="14"/>
  <c r="W84" i="14"/>
  <c r="U105" i="14"/>
  <c r="W56" i="14"/>
  <c r="V71" i="14"/>
  <c r="T62" i="14"/>
  <c r="W79" i="14"/>
  <c r="V112" i="14"/>
  <c r="V68" i="14"/>
  <c r="W47" i="14"/>
  <c r="U99" i="14"/>
  <c r="U82" i="14"/>
  <c r="T88" i="14"/>
  <c r="V63" i="14"/>
  <c r="W43" i="14"/>
  <c r="W70" i="14"/>
  <c r="W39" i="14"/>
  <c r="W102" i="14"/>
  <c r="V4" i="14"/>
  <c r="V90" i="14"/>
  <c r="W35" i="14"/>
  <c r="V15" i="14"/>
  <c r="X80" i="14"/>
  <c r="X29" i="14"/>
  <c r="W30" i="14"/>
  <c r="X38" i="14"/>
  <c r="U80" i="14"/>
  <c r="V109" i="14"/>
  <c r="V26" i="14"/>
  <c r="V104" i="14"/>
  <c r="X81" i="14"/>
  <c r="X9" i="14"/>
  <c r="X51" i="14"/>
  <c r="W28" i="14"/>
  <c r="T24" i="14"/>
  <c r="V72" i="14"/>
  <c r="X19" i="14"/>
  <c r="W97" i="14"/>
  <c r="X70" i="14"/>
  <c r="X97" i="14"/>
  <c r="W105" i="14"/>
  <c r="V57" i="14"/>
  <c r="T42" i="14"/>
  <c r="X30" i="14"/>
  <c r="T20" i="14"/>
  <c r="W62" i="14"/>
  <c r="V113" i="14"/>
  <c r="V7" i="14"/>
  <c r="T52" i="14"/>
  <c r="V28" i="14"/>
  <c r="U113" i="14"/>
  <c r="W11" i="14"/>
  <c r="W21" i="14"/>
  <c r="T58" i="14"/>
  <c r="W31" i="14"/>
  <c r="U79" i="14"/>
  <c r="W93" i="14"/>
  <c r="X36" i="14"/>
  <c r="U83" i="14"/>
  <c r="U94" i="14"/>
  <c r="U43" i="14"/>
  <c r="V19" i="14"/>
  <c r="V32" i="14"/>
  <c r="T98" i="14"/>
  <c r="V88" i="14"/>
  <c r="U54" i="14"/>
  <c r="W71" i="14"/>
  <c r="W78" i="14"/>
  <c r="W4" i="14"/>
  <c r="U38" i="14"/>
  <c r="U52" i="14"/>
  <c r="X96" i="14"/>
  <c r="X75" i="14"/>
  <c r="X18" i="14"/>
  <c r="V107" i="14"/>
  <c r="W5" i="14"/>
  <c r="X67" i="14"/>
  <c r="X48" i="14"/>
  <c r="T45" i="14"/>
  <c r="U32" i="14"/>
  <c r="X72" i="14"/>
  <c r="X88" i="14"/>
  <c r="X14" i="14"/>
  <c r="X44" i="14"/>
  <c r="W19" i="14"/>
  <c r="V101" i="14"/>
  <c r="U73" i="14"/>
  <c r="X82" i="14"/>
  <c r="X20" i="14"/>
  <c r="T69" i="14"/>
  <c r="X55" i="14"/>
  <c r="T79" i="14"/>
  <c r="W49" i="14"/>
  <c r="U15" i="14"/>
  <c r="U68" i="14"/>
  <c r="X93" i="14"/>
  <c r="T19" i="14"/>
  <c r="X77" i="14"/>
  <c r="V83" i="14"/>
  <c r="U4" i="14"/>
  <c r="X61" i="14"/>
  <c r="V73" i="14"/>
  <c r="V56" i="14"/>
  <c r="X47" i="14"/>
  <c r="W15" i="14"/>
  <c r="U86" i="14"/>
  <c r="W34" i="14"/>
  <c r="V40" i="14"/>
  <c r="T37" i="14"/>
  <c r="T4" i="14"/>
  <c r="W50" i="14"/>
  <c r="W61" i="14"/>
  <c r="U12" i="14"/>
  <c r="U10" i="14"/>
  <c r="X74" i="14"/>
  <c r="T41" i="14"/>
  <c r="V10" i="14"/>
  <c r="U63" i="14"/>
  <c r="X27" i="14"/>
  <c r="X4" i="14"/>
  <c r="X13" i="14"/>
  <c r="AF13" i="15"/>
  <c r="AF14" i="15" s="1"/>
  <c r="X45" i="14"/>
  <c r="X101" i="14"/>
  <c r="T109" i="14"/>
  <c r="V33" i="14"/>
  <c r="U25" i="14"/>
  <c r="W53" i="14"/>
  <c r="U64" i="14"/>
  <c r="X59" i="14"/>
  <c r="V98" i="14"/>
  <c r="V85" i="14"/>
  <c r="V30" i="14"/>
  <c r="V41" i="14"/>
  <c r="T44" i="14"/>
  <c r="V55" i="14"/>
  <c r="V95" i="14"/>
  <c r="V6" i="14"/>
  <c r="X98" i="14"/>
  <c r="W91" i="14"/>
  <c r="U100" i="14"/>
  <c r="W16" i="14"/>
  <c r="AH13" i="16"/>
  <c r="T40" i="14"/>
  <c r="V84" i="14"/>
  <c r="V45" i="14"/>
  <c r="X34" i="14"/>
  <c r="X109" i="14"/>
  <c r="X92" i="14"/>
  <c r="U109" i="14"/>
  <c r="W64" i="14"/>
  <c r="T102" i="14"/>
  <c r="V9" i="14"/>
  <c r="U60" i="14"/>
  <c r="W57" i="14"/>
  <c r="U56" i="14"/>
  <c r="T82" i="14"/>
  <c r="W98" i="14"/>
  <c r="T32" i="14"/>
  <c r="AF11" i="17"/>
  <c r="AF12" i="17" s="1"/>
  <c r="V18" i="14"/>
  <c r="X50" i="14"/>
  <c r="T25" i="14"/>
  <c r="T65" i="14"/>
  <c r="T110" i="14"/>
  <c r="X23" i="14"/>
  <c r="X95" i="14"/>
  <c r="W113" i="14"/>
  <c r="X37" i="14"/>
  <c r="X25" i="14"/>
  <c r="X16" i="14"/>
  <c r="V62" i="14"/>
  <c r="V64" i="14"/>
  <c r="U11" i="14"/>
  <c r="U108" i="14"/>
  <c r="J20" i="15"/>
  <c r="W29" i="14"/>
  <c r="U93" i="14"/>
  <c r="V29" i="14"/>
  <c r="X105" i="14"/>
  <c r="W51" i="14"/>
  <c r="X39" i="14"/>
  <c r="U107" i="14"/>
  <c r="W86" i="14"/>
  <c r="X57" i="14"/>
  <c r="AF23" i="16"/>
  <c r="T53" i="14"/>
  <c r="X111" i="14"/>
  <c r="W46" i="14"/>
  <c r="V20" i="14"/>
  <c r="T43" i="14"/>
  <c r="V38" i="14"/>
  <c r="T85" i="14"/>
  <c r="U110" i="14"/>
  <c r="V49" i="14"/>
  <c r="U53" i="14"/>
  <c r="W96" i="14"/>
  <c r="AF14" i="16"/>
  <c r="X12" i="14"/>
  <c r="U49" i="14"/>
  <c r="V34" i="14"/>
  <c r="V65" i="14"/>
  <c r="T87" i="14"/>
  <c r="U104" i="14"/>
  <c r="U30" i="14"/>
  <c r="X78" i="14"/>
  <c r="T36" i="14"/>
  <c r="U103" i="14"/>
  <c r="U48" i="14"/>
  <c r="C21" i="15"/>
  <c r="W67" i="14"/>
  <c r="W106" i="14"/>
  <c r="T107" i="14"/>
  <c r="U42" i="14"/>
  <c r="X85" i="14"/>
  <c r="X53" i="14"/>
  <c r="U19" i="14"/>
  <c r="V79" i="14"/>
  <c r="W72" i="14"/>
  <c r="V74" i="14"/>
  <c r="W66" i="14"/>
  <c r="U74" i="14"/>
  <c r="V111" i="14"/>
  <c r="W112" i="14"/>
  <c r="U35" i="14"/>
  <c r="V75" i="14"/>
  <c r="T56" i="14"/>
  <c r="W99" i="14"/>
  <c r="V59" i="14"/>
  <c r="X41" i="14"/>
  <c r="T50" i="14"/>
  <c r="W89" i="14"/>
  <c r="W80" i="14"/>
  <c r="U36" i="14"/>
  <c r="X104" i="14"/>
  <c r="V100" i="14"/>
  <c r="T67" i="14"/>
  <c r="T12" i="14"/>
  <c r="U47" i="14"/>
  <c r="X22" i="14"/>
  <c r="T5" i="14"/>
  <c r="X94" i="14"/>
  <c r="T111" i="14"/>
  <c r="X33" i="14"/>
  <c r="T92" i="14"/>
  <c r="U7" i="14"/>
  <c r="W65" i="14"/>
  <c r="U66" i="14"/>
  <c r="T106" i="14"/>
  <c r="X66" i="14"/>
  <c r="X28" i="14"/>
  <c r="U89" i="14"/>
  <c r="U14" i="14"/>
  <c r="T61" i="14"/>
  <c r="U40" i="14"/>
  <c r="W81" i="14"/>
  <c r="T103" i="14"/>
  <c r="V103" i="14"/>
  <c r="T57" i="14"/>
  <c r="X86" i="14"/>
  <c r="T17" i="14"/>
  <c r="U111" i="14"/>
  <c r="T84" i="14"/>
  <c r="T59" i="14"/>
  <c r="U24" i="14"/>
  <c r="T72" i="14"/>
  <c r="T13" i="14"/>
  <c r="X89" i="14"/>
  <c r="W40" i="14"/>
  <c r="X17" i="14"/>
  <c r="U97" i="14"/>
  <c r="U26" i="14"/>
  <c r="U61" i="14"/>
  <c r="V35" i="14"/>
  <c r="W108" i="14"/>
  <c r="T81" i="14"/>
  <c r="V82" i="14"/>
  <c r="AH11" i="15"/>
  <c r="T47" i="14"/>
  <c r="V22" i="14"/>
  <c r="U9" i="14"/>
  <c r="T63" i="14"/>
  <c r="T35" i="14"/>
  <c r="X64" i="14"/>
  <c r="X112" i="14"/>
  <c r="T9" i="14"/>
  <c r="X79" i="14"/>
  <c r="V48" i="14"/>
  <c r="V36" i="14"/>
  <c r="W14" i="14"/>
  <c r="U44" i="14"/>
  <c r="U16" i="14"/>
  <c r="W88" i="14"/>
  <c r="V17" i="14"/>
  <c r="AB13" i="14"/>
  <c r="AD12" i="14"/>
  <c r="AD13" i="14"/>
  <c r="AB14" i="14"/>
  <c r="AD14" i="14"/>
  <c r="AB15" i="14"/>
  <c r="AB16" i="14"/>
  <c r="AD15" i="14"/>
  <c r="AB17" i="14"/>
  <c r="AD16" i="14"/>
  <c r="AB18" i="14"/>
  <c r="AD17" i="14"/>
  <c r="AD18" i="14"/>
  <c r="AB19" i="14"/>
  <c r="AD19" i="14"/>
  <c r="AB20" i="14"/>
  <c r="AB21" i="14"/>
  <c r="AD20" i="14"/>
  <c r="AB22" i="14"/>
  <c r="AD22" i="14" s="1"/>
  <c r="AD21" i="14"/>
  <c r="AF21" i="14" l="1"/>
  <c r="AF20" i="14"/>
  <c r="AF19" i="14"/>
  <c r="AF18" i="14"/>
  <c r="AF17" i="14"/>
  <c r="AF16" i="14"/>
  <c r="AF15" i="14"/>
  <c r="AF14" i="14"/>
  <c r="AF13" i="14"/>
  <c r="AF12" i="14"/>
  <c r="AJ11" i="15"/>
  <c r="AF11" i="14"/>
  <c r="AF22" i="14"/>
  <c r="I21" i="15"/>
  <c r="H21" i="15"/>
  <c r="R33" i="14"/>
  <c r="R113" i="14"/>
  <c r="R56" i="14"/>
  <c r="R92" i="14"/>
  <c r="R22" i="14"/>
  <c r="R80" i="14"/>
  <c r="R31" i="14"/>
  <c r="R64" i="14"/>
  <c r="R4" i="14"/>
  <c r="R73" i="14"/>
  <c r="R90" i="14"/>
  <c r="R85" i="14"/>
  <c r="R30" i="14"/>
  <c r="R108" i="14"/>
  <c r="R47" i="14"/>
  <c r="R46" i="14"/>
  <c r="R11" i="14"/>
  <c r="R58" i="14"/>
  <c r="R32" i="14"/>
  <c r="R79" i="14"/>
  <c r="R76" i="14"/>
  <c r="R77" i="14"/>
  <c r="R51" i="14"/>
  <c r="R86" i="14"/>
  <c r="R26" i="14"/>
  <c r="R95" i="14"/>
  <c r="R29" i="14"/>
  <c r="R44" i="14"/>
  <c r="R57" i="14"/>
  <c r="R75" i="14"/>
  <c r="R16" i="14"/>
  <c r="R94" i="14"/>
  <c r="R45" i="14"/>
  <c r="R78" i="14"/>
  <c r="R12" i="14"/>
  <c r="R87" i="14"/>
  <c r="R98" i="14"/>
  <c r="R96" i="14"/>
  <c r="R41" i="14"/>
  <c r="R5" i="14"/>
  <c r="R25" i="14"/>
  <c r="R91" i="14"/>
  <c r="R36" i="14"/>
  <c r="R24" i="14"/>
  <c r="R37" i="14"/>
  <c r="R93" i="14"/>
  <c r="R84" i="14"/>
  <c r="R88" i="14"/>
  <c r="R59" i="14"/>
  <c r="R97" i="14"/>
  <c r="R34" i="14"/>
  <c r="R109" i="14"/>
  <c r="R40" i="14"/>
  <c r="R52" i="14"/>
  <c r="R38" i="14"/>
  <c r="R27" i="14"/>
  <c r="R14" i="14"/>
  <c r="R70" i="14"/>
  <c r="R100" i="14"/>
  <c r="R89" i="14"/>
  <c r="R20" i="14"/>
  <c r="R101" i="14"/>
  <c r="R106" i="14"/>
  <c r="R110" i="14"/>
  <c r="R55" i="14"/>
  <c r="R6" i="14"/>
  <c r="R39" i="14"/>
  <c r="R99" i="14"/>
  <c r="R48" i="14"/>
  <c r="R74" i="14"/>
  <c r="R28" i="14"/>
  <c r="R19" i="14"/>
  <c r="R66" i="14"/>
  <c r="R102" i="14"/>
  <c r="R67" i="14"/>
  <c r="R111" i="14"/>
  <c r="R42" i="14"/>
  <c r="R7" i="14"/>
  <c r="R54" i="14"/>
  <c r="R60" i="14"/>
  <c r="R49" i="14"/>
  <c r="R35" i="14"/>
  <c r="R61" i="14"/>
  <c r="R10" i="14"/>
  <c r="R15" i="14"/>
  <c r="R105" i="14"/>
  <c r="R104" i="14"/>
  <c r="R112" i="14"/>
  <c r="R8" i="14"/>
  <c r="R69" i="14"/>
  <c r="R17" i="14"/>
  <c r="R53" i="14"/>
  <c r="R107" i="14"/>
  <c r="R62" i="14"/>
  <c r="R82" i="14"/>
  <c r="R71" i="14"/>
  <c r="R103" i="14"/>
  <c r="R83" i="14"/>
  <c r="R13" i="14"/>
  <c r="R23" i="14"/>
  <c r="R9" i="14"/>
  <c r="R50" i="14"/>
  <c r="R21" i="14"/>
  <c r="R65" i="14"/>
  <c r="R68" i="14"/>
  <c r="R63" i="14"/>
  <c r="R43" i="14"/>
  <c r="R72" i="14"/>
  <c r="R18" i="14"/>
  <c r="R81" i="14"/>
  <c r="M16" i="15"/>
  <c r="AJ12" i="15"/>
  <c r="AL23" i="17"/>
  <c r="AJ13" i="16"/>
  <c r="AL13" i="17"/>
  <c r="AH14" i="15"/>
  <c r="S16" i="15"/>
  <c r="AF15" i="16"/>
  <c r="N16" i="15"/>
  <c r="AH11" i="17"/>
  <c r="AH13" i="15"/>
  <c r="T16" i="15"/>
  <c r="C22" i="15"/>
  <c r="AD23" i="14"/>
  <c r="AH23" i="16"/>
  <c r="O16" i="15"/>
  <c r="AH12" i="17"/>
  <c r="AH23" i="15"/>
  <c r="AF13" i="17"/>
  <c r="AF15" i="15"/>
  <c r="AF23" i="17"/>
  <c r="J21" i="15"/>
  <c r="AH14" i="16"/>
  <c r="AF14" i="17"/>
  <c r="AH13" i="17"/>
  <c r="AH14" i="17"/>
  <c r="AF15" i="17"/>
  <c r="AJ13" i="17" l="1"/>
  <c r="AJ13" i="15"/>
  <c r="AJ11" i="17"/>
  <c r="AJ12" i="17"/>
  <c r="AJ23" i="15"/>
  <c r="AJ23" i="16"/>
  <c r="AF23" i="14"/>
  <c r="M17" i="15"/>
  <c r="H22" i="15"/>
  <c r="I22" i="15"/>
  <c r="AL14" i="17"/>
  <c r="AJ14" i="17"/>
  <c r="AJ14" i="15"/>
  <c r="AJ14" i="16"/>
  <c r="AL15" i="17"/>
  <c r="AH15" i="17"/>
  <c r="AF16" i="15"/>
  <c r="AF16" i="17"/>
  <c r="O17" i="15"/>
  <c r="AH16" i="17"/>
  <c r="C23" i="15"/>
  <c r="J22" i="15"/>
  <c r="N17" i="15"/>
  <c r="AH15" i="15"/>
  <c r="AH23" i="17"/>
  <c r="AH15" i="16"/>
  <c r="AF16" i="16"/>
  <c r="S17" i="15"/>
  <c r="T17" i="15"/>
  <c r="AJ15" i="17" l="1"/>
  <c r="AJ23" i="17"/>
  <c r="M18" i="15"/>
  <c r="I23" i="15"/>
  <c r="H23" i="15"/>
  <c r="AJ15" i="16"/>
  <c r="AL16" i="17"/>
  <c r="AJ16" i="17"/>
  <c r="AJ15" i="15"/>
  <c r="S18" i="15"/>
  <c r="AF17" i="17"/>
  <c r="C24" i="15"/>
  <c r="AF17" i="16"/>
  <c r="T18" i="15"/>
  <c r="J23" i="15"/>
  <c r="AF18" i="17"/>
  <c r="AH16" i="16"/>
  <c r="AF17" i="15"/>
  <c r="AH17" i="17"/>
  <c r="N18" i="15"/>
  <c r="O18" i="15"/>
  <c r="AH16" i="15"/>
  <c r="M19" i="15" l="1"/>
  <c r="I24" i="15"/>
  <c r="H24" i="15"/>
  <c r="AJ17" i="17"/>
  <c r="AL17" i="17"/>
  <c r="AJ16" i="16"/>
  <c r="AJ16" i="15"/>
  <c r="J24" i="15"/>
  <c r="AF19" i="17"/>
  <c r="N19" i="15"/>
  <c r="C25" i="15"/>
  <c r="AH17" i="16"/>
  <c r="AH17" i="15"/>
  <c r="AH18" i="17"/>
  <c r="S19" i="15"/>
  <c r="T19" i="15"/>
  <c r="AF18" i="15"/>
  <c r="AF18" i="16"/>
  <c r="O19" i="15"/>
  <c r="M20" i="15" l="1"/>
  <c r="H25" i="15"/>
  <c r="I25" i="15"/>
  <c r="AJ17" i="16"/>
  <c r="AJ17" i="15"/>
  <c r="AL18" i="17"/>
  <c r="AJ18" i="17"/>
  <c r="AF19" i="15"/>
  <c r="AF19" i="16"/>
  <c r="S20" i="15"/>
  <c r="J25" i="15"/>
  <c r="AH19" i="17"/>
  <c r="AH18" i="15"/>
  <c r="AF20" i="17"/>
  <c r="O20" i="15"/>
  <c r="N20" i="15"/>
  <c r="C26" i="15"/>
  <c r="AH18" i="16"/>
  <c r="T20" i="15"/>
  <c r="M21" i="15" l="1"/>
  <c r="I26" i="15"/>
  <c r="H26" i="15"/>
  <c r="AL19" i="17"/>
  <c r="AJ19" i="17"/>
  <c r="AJ18" i="15"/>
  <c r="AJ18" i="16"/>
  <c r="AF21" i="17"/>
  <c r="AH19" i="15"/>
  <c r="O21" i="15"/>
  <c r="N21" i="15"/>
  <c r="J26" i="15"/>
  <c r="C27" i="15"/>
  <c r="AH20" i="17"/>
  <c r="S21" i="15"/>
  <c r="T21" i="15"/>
  <c r="AH19" i="16"/>
  <c r="AF20" i="16"/>
  <c r="AF20" i="15"/>
  <c r="M22" i="15" l="1"/>
  <c r="H27" i="15"/>
  <c r="I27" i="15"/>
  <c r="AJ19" i="16"/>
  <c r="AJ19" i="15"/>
  <c r="AL20" i="17"/>
  <c r="AJ20" i="17"/>
  <c r="AF21" i="15"/>
  <c r="J27" i="15"/>
  <c r="N22" i="15"/>
  <c r="AH20" i="15"/>
  <c r="AH20" i="16"/>
  <c r="AF21" i="16"/>
  <c r="C28" i="15"/>
  <c r="O22" i="15"/>
  <c r="T22" i="15"/>
  <c r="AH21" i="17"/>
  <c r="AF22" i="17"/>
  <c r="S22" i="15"/>
  <c r="M23" i="15" l="1"/>
  <c r="I28" i="15"/>
  <c r="H28" i="15"/>
  <c r="AJ20" i="15"/>
  <c r="AJ21" i="17"/>
  <c r="AL21" i="17"/>
  <c r="AJ20" i="16"/>
  <c r="N23" i="15"/>
  <c r="O23" i="15"/>
  <c r="S23" i="15"/>
  <c r="AH21" i="15"/>
  <c r="J28" i="15"/>
  <c r="AH21" i="16"/>
  <c r="C29" i="15"/>
  <c r="AH22" i="17"/>
  <c r="AF22" i="15"/>
  <c r="AF22" i="16"/>
  <c r="T23" i="15"/>
  <c r="H29" i="15" l="1"/>
  <c r="I29" i="15"/>
  <c r="M24" i="15"/>
  <c r="AL22" i="17"/>
  <c r="AJ22" i="17"/>
  <c r="AJ21" i="16"/>
  <c r="AJ21" i="15"/>
  <c r="T24" i="15"/>
  <c r="C30" i="15"/>
  <c r="S24" i="15"/>
  <c r="N24" i="15"/>
  <c r="O24" i="15"/>
  <c r="AH22" i="15"/>
  <c r="J29" i="15"/>
  <c r="AH22" i="16"/>
  <c r="M25" i="15" l="1"/>
  <c r="H30" i="15"/>
  <c r="I30" i="15"/>
  <c r="AJ22" i="16"/>
  <c r="AJ22" i="15"/>
  <c r="S25" i="15"/>
  <c r="T25" i="15"/>
  <c r="O25" i="15"/>
  <c r="N25" i="15"/>
  <c r="C31" i="15"/>
  <c r="J30" i="15"/>
  <c r="M26" i="15" l="1"/>
  <c r="I31" i="15"/>
  <c r="H31" i="15"/>
  <c r="S26" i="15"/>
  <c r="N26" i="15"/>
  <c r="O26" i="15"/>
  <c r="T26" i="15"/>
  <c r="C32" i="15"/>
  <c r="J31" i="15"/>
  <c r="M27" i="15" l="1"/>
  <c r="H32" i="15"/>
  <c r="I32" i="15"/>
  <c r="O27" i="15"/>
  <c r="S27" i="15"/>
  <c r="J32" i="15"/>
  <c r="N27" i="15"/>
  <c r="T27" i="15"/>
  <c r="C33" i="15"/>
  <c r="M28" i="15" l="1"/>
  <c r="I33" i="15"/>
  <c r="H33" i="15"/>
  <c r="N28" i="15"/>
  <c r="O28" i="15"/>
  <c r="T28" i="15"/>
  <c r="S28" i="15"/>
  <c r="J33" i="15"/>
  <c r="C34" i="15"/>
  <c r="I34" i="15" l="1"/>
  <c r="H34" i="15"/>
  <c r="M29" i="15"/>
  <c r="C35" i="15"/>
  <c r="J34" i="15"/>
  <c r="T29" i="15"/>
  <c r="S29" i="15"/>
  <c r="O29" i="15"/>
  <c r="N29" i="15"/>
  <c r="M30" i="15" l="1"/>
  <c r="I35" i="15"/>
  <c r="H35" i="15"/>
  <c r="O30" i="15"/>
  <c r="T30" i="15"/>
  <c r="N30" i="15"/>
  <c r="S30" i="15"/>
  <c r="J35" i="15"/>
  <c r="C36" i="15"/>
  <c r="I36" i="15" l="1"/>
  <c r="H36" i="15"/>
  <c r="M31" i="15"/>
  <c r="O31" i="15"/>
  <c r="C37" i="15"/>
  <c r="W3" i="14"/>
  <c r="S31" i="15"/>
  <c r="J36" i="15"/>
  <c r="T3" i="14"/>
  <c r="X3" i="14"/>
  <c r="T31" i="15"/>
  <c r="N31" i="15"/>
  <c r="V3" i="14"/>
  <c r="U3" i="14"/>
  <c r="M32" i="15" l="1"/>
  <c r="H37" i="15"/>
  <c r="I37" i="15"/>
  <c r="R3" i="14"/>
  <c r="Z75" i="17"/>
  <c r="X23" i="17"/>
  <c r="AB31" i="17"/>
  <c r="X77" i="17"/>
  <c r="Z80" i="17"/>
  <c r="AB36" i="17"/>
  <c r="AB35" i="17"/>
  <c r="X41" i="17"/>
  <c r="Y18" i="17"/>
  <c r="Z19" i="17"/>
  <c r="AA20" i="17"/>
  <c r="Y26" i="17"/>
  <c r="Z17" i="17"/>
  <c r="Y83" i="17"/>
  <c r="AA56" i="17"/>
  <c r="X3" i="17"/>
  <c r="AA68" i="17"/>
  <c r="Z76" i="17"/>
  <c r="Z37" i="17"/>
  <c r="X82" i="17"/>
  <c r="X12" i="17"/>
  <c r="X8" i="17"/>
  <c r="Y11" i="17"/>
  <c r="X62" i="17"/>
  <c r="Z66" i="17"/>
  <c r="Z7" i="17"/>
  <c r="X34" i="17"/>
  <c r="AA25" i="17"/>
  <c r="Z40" i="17"/>
  <c r="AB44" i="17"/>
  <c r="Z63" i="17"/>
  <c r="Y71" i="17"/>
  <c r="Z60" i="17"/>
  <c r="Z31" i="17"/>
  <c r="Z42" i="17"/>
  <c r="AB43" i="17"/>
  <c r="AB76" i="17"/>
  <c r="Z51" i="17"/>
  <c r="X18" i="17"/>
  <c r="X24" i="17"/>
  <c r="AB70" i="17"/>
  <c r="Y49" i="17"/>
  <c r="AB7" i="17"/>
  <c r="AB65" i="17"/>
  <c r="X22" i="17"/>
  <c r="Y40" i="17"/>
  <c r="X76" i="17"/>
  <c r="X29" i="17"/>
  <c r="AA15" i="17"/>
  <c r="AB83" i="17"/>
  <c r="AA80" i="17"/>
  <c r="X78" i="17"/>
  <c r="AA47" i="17"/>
  <c r="Y3" i="17"/>
  <c r="Y22" i="17"/>
  <c r="Z57" i="17"/>
  <c r="Z77" i="17"/>
  <c r="Y65" i="17"/>
  <c r="Z52" i="17"/>
  <c r="AA46" i="17"/>
  <c r="AA18" i="17"/>
  <c r="AA32" i="17"/>
  <c r="Z22" i="17"/>
  <c r="Y54" i="17"/>
  <c r="AA14" i="17"/>
  <c r="Y79" i="17"/>
  <c r="X25" i="17"/>
  <c r="Y12" i="17"/>
  <c r="Z54" i="17"/>
  <c r="AA70" i="17"/>
  <c r="AA64" i="17"/>
  <c r="AA49" i="17"/>
  <c r="X35" i="17"/>
  <c r="Z15" i="17"/>
  <c r="Z45" i="17"/>
  <c r="Z48" i="17"/>
  <c r="Y39" i="17"/>
  <c r="AA54" i="17"/>
  <c r="X40" i="17"/>
  <c r="Y29" i="17"/>
  <c r="AB27" i="17"/>
  <c r="AB66" i="17"/>
  <c r="Z50" i="17"/>
  <c r="AA55" i="17"/>
  <c r="Z67" i="17"/>
  <c r="AB62" i="17"/>
  <c r="AA52" i="17"/>
  <c r="Y36" i="17"/>
  <c r="Z62" i="17"/>
  <c r="Y10" i="17"/>
  <c r="Z81" i="17"/>
  <c r="AA39" i="17"/>
  <c r="X6" i="17"/>
  <c r="X71" i="17"/>
  <c r="AB37" i="17"/>
  <c r="Y58" i="17"/>
  <c r="Y46" i="17"/>
  <c r="AA3" i="17"/>
  <c r="Y56" i="17"/>
  <c r="AA72" i="17"/>
  <c r="AA27" i="17"/>
  <c r="X74" i="17"/>
  <c r="Y41" i="17"/>
  <c r="Y31" i="17"/>
  <c r="AA29" i="17"/>
  <c r="AA17" i="17"/>
  <c r="AB82" i="17"/>
  <c r="X47" i="17"/>
  <c r="Y34" i="17"/>
  <c r="Y25" i="17"/>
  <c r="Z6" i="17"/>
  <c r="Z58" i="17"/>
  <c r="Y77" i="17"/>
  <c r="Z64" i="17"/>
  <c r="AA35" i="17"/>
  <c r="Z47" i="17"/>
  <c r="AB53" i="17"/>
  <c r="AA5" i="17"/>
  <c r="AB57" i="17"/>
  <c r="AB24" i="17"/>
  <c r="AB54" i="17"/>
  <c r="Z10" i="17"/>
  <c r="AB68" i="17"/>
  <c r="AA13" i="17"/>
  <c r="AB42" i="17"/>
  <c r="X7" i="17"/>
  <c r="AB21" i="17"/>
  <c r="X64" i="17"/>
  <c r="AB56" i="17"/>
  <c r="Z55" i="17"/>
  <c r="X84" i="17"/>
  <c r="X33" i="17"/>
  <c r="X17" i="17"/>
  <c r="Y80" i="17"/>
  <c r="X66" i="17"/>
  <c r="X39" i="17"/>
  <c r="AA51" i="17"/>
  <c r="Z30" i="17"/>
  <c r="X83" i="17"/>
  <c r="Y19" i="17"/>
  <c r="Z82" i="17"/>
  <c r="Y5" i="17"/>
  <c r="Y69" i="17"/>
  <c r="Y21" i="17"/>
  <c r="AA38" i="17"/>
  <c r="X37" i="17"/>
  <c r="AA41" i="17"/>
  <c r="Y81" i="17"/>
  <c r="Y45" i="17"/>
  <c r="Z84" i="17"/>
  <c r="Y51" i="17"/>
  <c r="AA36" i="17"/>
  <c r="Y33" i="17"/>
  <c r="Z61" i="17"/>
  <c r="AB60" i="17"/>
  <c r="Y24" i="17"/>
  <c r="AB22" i="17"/>
  <c r="X20" i="17"/>
  <c r="Z46" i="17"/>
  <c r="X48" i="17"/>
  <c r="X58" i="17"/>
  <c r="X65" i="17"/>
  <c r="AA84" i="17"/>
  <c r="AA67" i="17"/>
  <c r="AB20" i="17"/>
  <c r="Y14" i="17"/>
  <c r="Z18" i="17"/>
  <c r="N32" i="15"/>
  <c r="AB75" i="17"/>
  <c r="X32" i="17"/>
  <c r="X70" i="17"/>
  <c r="Y16" i="17"/>
  <c r="Z71" i="17"/>
  <c r="AA79" i="17"/>
  <c r="X19" i="17"/>
  <c r="S32" i="15"/>
  <c r="AB63" i="17"/>
  <c r="X69" i="17"/>
  <c r="AB28" i="17"/>
  <c r="Y23" i="17"/>
  <c r="AA82" i="17"/>
  <c r="Y75" i="17"/>
  <c r="Z69" i="17"/>
  <c r="Y78" i="17"/>
  <c r="Z13" i="17"/>
  <c r="D13" i="1"/>
  <c r="Y2" i="14" s="1" a="1"/>
  <c r="C22" i="1"/>
  <c r="C38" i="15"/>
  <c r="AB59" i="17"/>
  <c r="Z3" i="17"/>
  <c r="Y66" i="17"/>
  <c r="Y60" i="17"/>
  <c r="X51" i="17"/>
  <c r="Z5" i="17"/>
  <c r="AA37" i="17"/>
  <c r="X57" i="17"/>
  <c r="Y42" i="17"/>
  <c r="Z26" i="17"/>
  <c r="AA77" i="17"/>
  <c r="AB18" i="17"/>
  <c r="X10" i="17"/>
  <c r="AA58" i="17"/>
  <c r="AB8" i="17"/>
  <c r="X52" i="17"/>
  <c r="AB46" i="17"/>
  <c r="X67" i="17"/>
  <c r="Z65" i="17"/>
  <c r="Y67" i="17"/>
  <c r="Y9" i="17"/>
  <c r="AB9" i="17"/>
  <c r="AB49" i="17"/>
  <c r="X38" i="17"/>
  <c r="AB19" i="17"/>
  <c r="Y68" i="17"/>
  <c r="X63" i="17"/>
  <c r="AB15" i="17"/>
  <c r="Y6" i="17"/>
  <c r="Y76" i="17"/>
  <c r="AB30" i="17"/>
  <c r="X44" i="17"/>
  <c r="AA40" i="17"/>
  <c r="AB80" i="17"/>
  <c r="O32" i="15"/>
  <c r="X75" i="17"/>
  <c r="AB23" i="17"/>
  <c r="Z78" i="17"/>
  <c r="Z12" i="17"/>
  <c r="AA81" i="17"/>
  <c r="Y57" i="17"/>
  <c r="Z36" i="17"/>
  <c r="AA10" i="17"/>
  <c r="AA23" i="17"/>
  <c r="X11" i="17"/>
  <c r="Z79" i="17"/>
  <c r="AB58" i="17"/>
  <c r="X79" i="17"/>
  <c r="Y53" i="17"/>
  <c r="Z73" i="17"/>
  <c r="AA16" i="17"/>
  <c r="Z33" i="17"/>
  <c r="Z23" i="17"/>
  <c r="AB33" i="17"/>
  <c r="AA57" i="17"/>
  <c r="AA59" i="17"/>
  <c r="X50" i="17"/>
  <c r="AB51" i="17"/>
  <c r="AA74" i="17"/>
  <c r="Y44" i="17"/>
  <c r="Z72" i="17"/>
  <c r="X5" i="17"/>
  <c r="Y4" i="17"/>
  <c r="Y63" i="17"/>
  <c r="Z28" i="17"/>
  <c r="Y74" i="17"/>
  <c r="X46" i="17"/>
  <c r="X43" i="17"/>
  <c r="X42" i="17"/>
  <c r="X49" i="17"/>
  <c r="Z8" i="17"/>
  <c r="Y64" i="17"/>
  <c r="AB73" i="17"/>
  <c r="AB13" i="17"/>
  <c r="Y72" i="17"/>
  <c r="Z44" i="17"/>
  <c r="X27" i="17"/>
  <c r="Z29" i="17"/>
  <c r="AB77" i="17"/>
  <c r="X80" i="17"/>
  <c r="Z38" i="17"/>
  <c r="J37" i="15"/>
  <c r="Y7" i="17"/>
  <c r="AA62" i="17"/>
  <c r="AA78" i="17"/>
  <c r="Z70" i="17"/>
  <c r="AB29" i="17"/>
  <c r="X9" i="17"/>
  <c r="Z9" i="17"/>
  <c r="AB48" i="17"/>
  <c r="AB71" i="17"/>
  <c r="Y59" i="17"/>
  <c r="Z68" i="17"/>
  <c r="AA26" i="17"/>
  <c r="X31" i="17"/>
  <c r="AB64" i="17"/>
  <c r="AA22" i="17"/>
  <c r="AA53" i="17"/>
  <c r="X54" i="17"/>
  <c r="AB11" i="17"/>
  <c r="AB79" i="17"/>
  <c r="Y62" i="17"/>
  <c r="AB72" i="17"/>
  <c r="X45" i="17"/>
  <c r="Y27" i="17"/>
  <c r="AB34" i="17"/>
  <c r="AA21" i="17"/>
  <c r="Z74" i="17"/>
  <c r="AA48" i="17"/>
  <c r="AB16" i="17"/>
  <c r="Z34" i="17"/>
  <c r="AA30" i="17"/>
  <c r="Z53" i="17"/>
  <c r="Y35" i="17"/>
  <c r="Y8" i="17"/>
  <c r="Y38" i="17"/>
  <c r="X26" i="17"/>
  <c r="AA24" i="17"/>
  <c r="AB55" i="17"/>
  <c r="Z11" i="17"/>
  <c r="Y73" i="17"/>
  <c r="Y43" i="17"/>
  <c r="X81" i="17"/>
  <c r="AA83" i="17"/>
  <c r="X13" i="17"/>
  <c r="Z39" i="17"/>
  <c r="AB69" i="17"/>
  <c r="AA4" i="17"/>
  <c r="X59" i="17"/>
  <c r="Z35" i="17"/>
  <c r="AA7" i="17"/>
  <c r="AB38" i="17"/>
  <c r="AA11" i="17"/>
  <c r="Y30" i="17"/>
  <c r="X61" i="17"/>
  <c r="X28" i="17"/>
  <c r="Y50" i="17"/>
  <c r="X16" i="17"/>
  <c r="W3" i="16" a="1"/>
  <c r="AA69" i="17"/>
  <c r="Z25" i="17"/>
  <c r="AB50" i="17"/>
  <c r="Z41" i="17"/>
  <c r="AB26" i="17"/>
  <c r="AB39" i="17"/>
  <c r="Y55" i="17"/>
  <c r="T32" i="15"/>
  <c r="AA61" i="17"/>
  <c r="AA60" i="17"/>
  <c r="AA71" i="17"/>
  <c r="X72" i="17"/>
  <c r="AA73" i="17"/>
  <c r="Z56" i="17"/>
  <c r="AA44" i="17"/>
  <c r="Z27" i="17"/>
  <c r="AA33" i="17"/>
  <c r="Z43" i="17"/>
  <c r="Y52" i="17"/>
  <c r="X55" i="17"/>
  <c r="AA28" i="17"/>
  <c r="AB10" i="17"/>
  <c r="AB25" i="17"/>
  <c r="AA66" i="17"/>
  <c r="X15" i="17"/>
  <c r="AB17" i="17"/>
  <c r="AB4" i="17"/>
  <c r="AA6" i="17"/>
  <c r="AA50" i="17"/>
  <c r="AB14" i="17"/>
  <c r="Y32" i="17"/>
  <c r="AB12" i="17"/>
  <c r="D14" i="1"/>
  <c r="Y28" i="17"/>
  <c r="AA19" i="17"/>
  <c r="Y15" i="17"/>
  <c r="AA12" i="17"/>
  <c r="Y70" i="17"/>
  <c r="X56" i="17"/>
  <c r="AA34" i="17"/>
  <c r="Z16" i="17"/>
  <c r="AA31" i="17"/>
  <c r="Y37" i="17"/>
  <c r="AB61" i="17"/>
  <c r="X53" i="17"/>
  <c r="AA45" i="17"/>
  <c r="X36" i="17"/>
  <c r="Z59" i="17"/>
  <c r="Z24" i="17"/>
  <c r="AA9" i="17"/>
  <c r="Y82" i="17"/>
  <c r="X4" i="17"/>
  <c r="AA63" i="17"/>
  <c r="AB41" i="17"/>
  <c r="Z4" i="17"/>
  <c r="Y48" i="17"/>
  <c r="AB6" i="17"/>
  <c r="AA42" i="17"/>
  <c r="AA65" i="17"/>
  <c r="Z20" i="17"/>
  <c r="X14" i="17"/>
  <c r="Y20" i="17"/>
  <c r="AB3" i="17"/>
  <c r="X73" i="17"/>
  <c r="Z14" i="17"/>
  <c r="X68" i="17"/>
  <c r="Z49" i="17"/>
  <c r="AA75" i="17"/>
  <c r="Y17" i="17"/>
  <c r="Y84" i="17"/>
  <c r="AB67" i="17"/>
  <c r="Z21" i="17"/>
  <c r="Z83" i="17"/>
  <c r="AA8" i="17"/>
  <c r="X30" i="17"/>
  <c r="AB52" i="17"/>
  <c r="AB5" i="17"/>
  <c r="AA76" i="17"/>
  <c r="X21" i="17"/>
  <c r="AA43" i="17"/>
  <c r="AB84" i="17"/>
  <c r="AB78" i="17"/>
  <c r="AB81" i="17"/>
  <c r="Y13" i="17"/>
  <c r="AB40" i="17"/>
  <c r="Y61" i="17"/>
  <c r="AB47" i="17"/>
  <c r="AB45" i="17"/>
  <c r="Y47" i="17"/>
  <c r="Z32" i="17"/>
  <c r="AB74" i="17"/>
  <c r="AB32" i="17"/>
  <c r="X60" i="17"/>
  <c r="V14" i="17" l="1"/>
  <c r="V40" i="17"/>
  <c r="V24" i="17"/>
  <c r="V21" i="17"/>
  <c r="V45" i="17"/>
  <c r="V82" i="17"/>
  <c r="V55" i="17"/>
  <c r="V61" i="17"/>
  <c r="V32" i="17"/>
  <c r="V8" i="17"/>
  <c r="V38" i="17"/>
  <c r="V43" i="17"/>
  <c r="V28" i="17"/>
  <c r="V68" i="17"/>
  <c r="V11" i="17"/>
  <c r="V70" i="17"/>
  <c r="M33" i="15"/>
  <c r="V81" i="17"/>
  <c r="V52" i="17"/>
  <c r="V20" i="17"/>
  <c r="I38" i="15"/>
  <c r="H38" i="15"/>
  <c r="V57" i="17"/>
  <c r="V53" i="17"/>
  <c r="V64" i="17"/>
  <c r="V71" i="17"/>
  <c r="V41" i="17"/>
  <c r="V58" i="17"/>
  <c r="V84" i="17"/>
  <c r="V22" i="17"/>
  <c r="V47" i="17"/>
  <c r="V62" i="17"/>
  <c r="V75" i="17"/>
  <c r="V9" i="17"/>
  <c r="V63" i="17"/>
  <c r="V23" i="17"/>
  <c r="V4" i="17"/>
  <c r="V78" i="17"/>
  <c r="V73" i="17"/>
  <c r="V65" i="17"/>
  <c r="V34" i="17"/>
  <c r="V36" i="17"/>
  <c r="V5" i="17"/>
  <c r="V17" i="17"/>
  <c r="V60" i="17"/>
  <c r="V12" i="17"/>
  <c r="V19" i="17"/>
  <c r="V25" i="17"/>
  <c r="V10" i="17"/>
  <c r="V79" i="17"/>
  <c r="V59" i="17"/>
  <c r="V15" i="17"/>
  <c r="V31" i="17"/>
  <c r="V29" i="17"/>
  <c r="V76" i="17"/>
  <c r="V54" i="17"/>
  <c r="V7" i="17"/>
  <c r="V46" i="17"/>
  <c r="V49" i="17"/>
  <c r="V37" i="17"/>
  <c r="V77" i="17"/>
  <c r="V83" i="17"/>
  <c r="V44" i="17"/>
  <c r="V33" i="17"/>
  <c r="V26" i="17"/>
  <c r="V80" i="17"/>
  <c r="V13" i="17"/>
  <c r="V74" i="17"/>
  <c r="V69" i="17"/>
  <c r="V50" i="17"/>
  <c r="V3" i="17"/>
  <c r="V39" i="17"/>
  <c r="V56" i="17"/>
  <c r="V16" i="17"/>
  <c r="V27" i="17"/>
  <c r="V42" i="17"/>
  <c r="V67" i="17"/>
  <c r="V6" i="17"/>
  <c r="V35" i="17"/>
  <c r="V48" i="17"/>
  <c r="V18" i="17"/>
  <c r="V51" i="17"/>
  <c r="V66" i="17"/>
  <c r="V72" i="17"/>
  <c r="V30" i="17"/>
  <c r="W59" i="16"/>
  <c r="W9" i="16"/>
  <c r="W38" i="16"/>
  <c r="W75" i="16"/>
  <c r="W25" i="16"/>
  <c r="W95" i="16"/>
  <c r="W89" i="16"/>
  <c r="W82" i="16"/>
  <c r="W12" i="16"/>
  <c r="W37" i="16"/>
  <c r="W45" i="16"/>
  <c r="W70" i="16"/>
  <c r="W92" i="16"/>
  <c r="W34" i="16"/>
  <c r="W71" i="16"/>
  <c r="W13" i="16"/>
  <c r="W50" i="16"/>
  <c r="W66" i="16"/>
  <c r="W91" i="16"/>
  <c r="W22" i="16"/>
  <c r="W47" i="16"/>
  <c r="W55" i="16"/>
  <c r="W80" i="16"/>
  <c r="W61" i="16"/>
  <c r="W3" i="16"/>
  <c r="W40" i="16"/>
  <c r="W77" i="16"/>
  <c r="W58" i="16"/>
  <c r="W83" i="16"/>
  <c r="W84" i="16"/>
  <c r="W14" i="16"/>
  <c r="W39" i="16"/>
  <c r="W64" i="16"/>
  <c r="W72" i="16"/>
  <c r="W6" i="16"/>
  <c r="W57" i="16"/>
  <c r="W36" i="16"/>
  <c r="W15" i="16"/>
  <c r="W68" i="16"/>
  <c r="W23" i="16"/>
  <c r="W24" i="16"/>
  <c r="W43" i="16"/>
  <c r="W26" i="16"/>
  <c r="W63" i="16"/>
  <c r="W5" i="16"/>
  <c r="W42" i="16"/>
  <c r="W86" i="16"/>
  <c r="W41" i="16"/>
  <c r="W28" i="16"/>
  <c r="W65" i="16"/>
  <c r="W7" i="16"/>
  <c r="W44" i="16"/>
  <c r="W81" i="16"/>
  <c r="W88" i="16"/>
  <c r="W74" i="16"/>
  <c r="W4" i="16"/>
  <c r="W29" i="16"/>
  <c r="W54" i="16"/>
  <c r="W62" i="16"/>
  <c r="W87" i="16"/>
  <c r="W21" i="16"/>
  <c r="W30" i="16"/>
  <c r="W67" i="16"/>
  <c r="W17" i="16"/>
  <c r="W46" i="16"/>
  <c r="W51" i="16"/>
  <c r="W76" i="16"/>
  <c r="W31" i="16"/>
  <c r="W56" i="16"/>
  <c r="W18" i="16"/>
  <c r="W94" i="16"/>
  <c r="W93" i="16"/>
  <c r="W49" i="16"/>
  <c r="W85" i="16"/>
  <c r="W27" i="16"/>
  <c r="W73" i="16"/>
  <c r="W10" i="16"/>
  <c r="W16" i="16"/>
  <c r="W60" i="16"/>
  <c r="W79" i="16"/>
  <c r="W35" i="16"/>
  <c r="W90" i="16"/>
  <c r="W19" i="16"/>
  <c r="W32" i="16"/>
  <c r="W20" i="16"/>
  <c r="W69" i="16"/>
  <c r="W52" i="16"/>
  <c r="W11" i="16"/>
  <c r="W53" i="16"/>
  <c r="W48" i="16"/>
  <c r="W78" i="16"/>
  <c r="W8" i="16"/>
  <c r="W33" i="16"/>
  <c r="Y82" i="14"/>
  <c r="Y8" i="14"/>
  <c r="Y109" i="14"/>
  <c r="Y64" i="14"/>
  <c r="Y43" i="14"/>
  <c r="Y48" i="14"/>
  <c r="Y32" i="14"/>
  <c r="Y89" i="14"/>
  <c r="Y38" i="14"/>
  <c r="Y70" i="14"/>
  <c r="Y103" i="14"/>
  <c r="Y76" i="14"/>
  <c r="Y57" i="14"/>
  <c r="Y54" i="14"/>
  <c r="Y99" i="14"/>
  <c r="Y47" i="14"/>
  <c r="Y105" i="14"/>
  <c r="Y6" i="14"/>
  <c r="Y72" i="14"/>
  <c r="Y33" i="14"/>
  <c r="Y3" i="14"/>
  <c r="Y41" i="14"/>
  <c r="Y66" i="14"/>
  <c r="Y13" i="14"/>
  <c r="Y113" i="14"/>
  <c r="Y51" i="14"/>
  <c r="Y27" i="14"/>
  <c r="Y46" i="14"/>
  <c r="Y95" i="14"/>
  <c r="Y5" i="14"/>
  <c r="Y36" i="14"/>
  <c r="Y17" i="14"/>
  <c r="Y77" i="14"/>
  <c r="Y75" i="14"/>
  <c r="Y10" i="14"/>
  <c r="Y4" i="14"/>
  <c r="Y31" i="14"/>
  <c r="Y91" i="14"/>
  <c r="Y42" i="14"/>
  <c r="Y110" i="14"/>
  <c r="Y20" i="14"/>
  <c r="Y2" i="14"/>
  <c r="Y9" i="14"/>
  <c r="Y100" i="14"/>
  <c r="Y81" i="14"/>
  <c r="Y30" i="14"/>
  <c r="Y45" i="14"/>
  <c r="Y78" i="14"/>
  <c r="Y68" i="14"/>
  <c r="Y23" i="14"/>
  <c r="Y44" i="14"/>
  <c r="Y106" i="14"/>
  <c r="Y104" i="14"/>
  <c r="Y84" i="14"/>
  <c r="Y73" i="14"/>
  <c r="Y94" i="14"/>
  <c r="Y39" i="14"/>
  <c r="Y96" i="14"/>
  <c r="Y21" i="14"/>
  <c r="Y58" i="14"/>
  <c r="Y108" i="14"/>
  <c r="Y59" i="14"/>
  <c r="Y112" i="14"/>
  <c r="Y37" i="14"/>
  <c r="Y35" i="14"/>
  <c r="Y16" i="14"/>
  <c r="Y62" i="14"/>
  <c r="Y74" i="14"/>
  <c r="Y107" i="14"/>
  <c r="Y88" i="14"/>
  <c r="Y19" i="14"/>
  <c r="Y34" i="14"/>
  <c r="Y102" i="14"/>
  <c r="Y87" i="14"/>
  <c r="Y24" i="14"/>
  <c r="Y29" i="14"/>
  <c r="Y50" i="14"/>
  <c r="Y7" i="14"/>
  <c r="Y56" i="14"/>
  <c r="Y14" i="14"/>
  <c r="Y60" i="14"/>
  <c r="Y98" i="14"/>
  <c r="Y65" i="14"/>
  <c r="Y93" i="14"/>
  <c r="Y15" i="14"/>
  <c r="Y52" i="14"/>
  <c r="Y111" i="14"/>
  <c r="Y79" i="14"/>
  <c r="Y80" i="14"/>
  <c r="Y97" i="14"/>
  <c r="Y67" i="14"/>
  <c r="Y49" i="14"/>
  <c r="Y69" i="14"/>
  <c r="Y28" i="14"/>
  <c r="Y11" i="14"/>
  <c r="Y22" i="14"/>
  <c r="Y53" i="14"/>
  <c r="Y26" i="14"/>
  <c r="Y40" i="14"/>
  <c r="Y101" i="14"/>
  <c r="Y55" i="14"/>
  <c r="Y25" i="14"/>
  <c r="Y18" i="14"/>
  <c r="Y85" i="14"/>
  <c r="Y86" i="14"/>
  <c r="Y83" i="14"/>
  <c r="Y92" i="14"/>
  <c r="Y61" i="14"/>
  <c r="Y71" i="14"/>
  <c r="Y12" i="14"/>
  <c r="Y90" i="14"/>
  <c r="Y63" i="14"/>
  <c r="C23" i="1" l="1"/>
  <c r="C38" i="1"/>
  <c r="H38" i="1"/>
  <c r="H23" i="1"/>
  <c r="Y82" i="16"/>
  <c r="AA27" i="16"/>
  <c r="X31" i="16"/>
  <c r="AA4" i="16"/>
  <c r="Y28" i="16"/>
  <c r="Z14" i="16"/>
  <c r="AA90" i="16"/>
  <c r="Y3" i="16"/>
  <c r="X6" i="16"/>
  <c r="X15" i="16"/>
  <c r="Y87" i="16"/>
  <c r="AA31" i="16"/>
  <c r="AB95" i="16"/>
  <c r="X37" i="16"/>
  <c r="X92" i="16"/>
  <c r="Z48" i="16"/>
  <c r="X71" i="16"/>
  <c r="X40" i="16"/>
  <c r="AB30" i="16"/>
  <c r="AB23" i="16"/>
  <c r="Y94" i="16"/>
  <c r="Y80" i="16"/>
  <c r="X73" i="16"/>
  <c r="Y9" i="16"/>
  <c r="AA61" i="16"/>
  <c r="Y34" i="16"/>
  <c r="AB5" i="16"/>
  <c r="X30" i="16"/>
  <c r="Z89" i="16"/>
  <c r="D22" i="1"/>
  <c r="AB82" i="16"/>
  <c r="X88" i="16"/>
  <c r="X41" i="16"/>
  <c r="AA87" i="16"/>
  <c r="Z36" i="16"/>
  <c r="X9" i="16"/>
  <c r="Z21" i="16"/>
  <c r="AA5" i="16"/>
  <c r="AA28" i="16"/>
  <c r="AB83" i="16"/>
  <c r="Y53" i="16"/>
  <c r="Y75" i="16"/>
  <c r="AB44" i="16"/>
  <c r="Z6" i="16"/>
  <c r="AA6" i="16"/>
  <c r="AB19" i="16"/>
  <c r="AA72" i="16"/>
  <c r="Y50" i="16"/>
  <c r="AB50" i="16"/>
  <c r="X16" i="16"/>
  <c r="AA39" i="16"/>
  <c r="Z83" i="16"/>
  <c r="X35" i="16"/>
  <c r="Y45" i="16"/>
  <c r="AA30" i="16"/>
  <c r="AA49" i="16"/>
  <c r="Z93" i="16"/>
  <c r="AB89" i="16"/>
  <c r="AB73" i="16"/>
  <c r="Z74" i="16"/>
  <c r="AA23" i="16"/>
  <c r="AB81" i="16"/>
  <c r="X72" i="16"/>
  <c r="Y13" i="16"/>
  <c r="AA59" i="16"/>
  <c r="AB68" i="16"/>
  <c r="Y89" i="16"/>
  <c r="Z42" i="16"/>
  <c r="Y26" i="16"/>
  <c r="Y15" i="16"/>
  <c r="Z12" i="16"/>
  <c r="T33" i="15"/>
  <c r="X59" i="16"/>
  <c r="AB41" i="16"/>
  <c r="AB18" i="16"/>
  <c r="Z31" i="16"/>
  <c r="Y42" i="16"/>
  <c r="Y31" i="16"/>
  <c r="AB25" i="16"/>
  <c r="AB70" i="16"/>
  <c r="AB20" i="16"/>
  <c r="X8" i="16"/>
  <c r="X46" i="16"/>
  <c r="AB91" i="16"/>
  <c r="X69" i="16"/>
  <c r="Z45" i="16"/>
  <c r="Y54" i="16"/>
  <c r="Z27" i="16"/>
  <c r="AB16" i="16"/>
  <c r="Z25" i="16"/>
  <c r="Y86" i="16"/>
  <c r="AA22" i="16"/>
  <c r="Y14" i="16"/>
  <c r="AB31" i="16"/>
  <c r="Y38" i="16"/>
  <c r="AA80" i="16"/>
  <c r="Z3" i="16"/>
  <c r="AB34" i="16"/>
  <c r="Y92" i="16"/>
  <c r="Y55" i="16"/>
  <c r="Z84" i="16"/>
  <c r="AB72" i="16"/>
  <c r="AB67" i="16"/>
  <c r="AA73" i="16"/>
  <c r="Y36" i="16"/>
  <c r="X52" i="16"/>
  <c r="AA38" i="16"/>
  <c r="X14" i="16"/>
  <c r="Z30" i="16"/>
  <c r="AA11" i="16"/>
  <c r="Z80" i="16"/>
  <c r="X36" i="16"/>
  <c r="Z77" i="16"/>
  <c r="AB12" i="16"/>
  <c r="X66" i="16"/>
  <c r="Z7" i="16"/>
  <c r="X57" i="16"/>
  <c r="Y76" i="16"/>
  <c r="C21" i="1"/>
  <c r="X75" i="16"/>
  <c r="AB6" i="16"/>
  <c r="Z4" i="16"/>
  <c r="X85" i="16"/>
  <c r="AB27" i="16"/>
  <c r="AB93" i="16"/>
  <c r="Z37" i="16"/>
  <c r="AB28" i="16"/>
  <c r="Y4" i="16"/>
  <c r="Z68" i="16"/>
  <c r="AA50" i="16"/>
  <c r="X58" i="16"/>
  <c r="Z17" i="16"/>
  <c r="X29" i="16"/>
  <c r="AA84" i="16"/>
  <c r="AA93" i="16"/>
  <c r="Z71" i="16"/>
  <c r="AB69" i="16"/>
  <c r="Y19" i="16"/>
  <c r="Y44" i="16"/>
  <c r="AB58" i="16"/>
  <c r="Y29" i="16"/>
  <c r="X4" i="16"/>
  <c r="Y20" i="16"/>
  <c r="Y93" i="16"/>
  <c r="AA81" i="16"/>
  <c r="D24" i="1"/>
  <c r="X47" i="16"/>
  <c r="Y62" i="16"/>
  <c r="Z20" i="16"/>
  <c r="AA43" i="16"/>
  <c r="X20" i="16"/>
  <c r="Z19" i="16"/>
  <c r="Z86" i="16"/>
  <c r="X21" i="16"/>
  <c r="Y23" i="16"/>
  <c r="Y81" i="16"/>
  <c r="Z82" i="16"/>
  <c r="AA3" i="16"/>
  <c r="AB42" i="16"/>
  <c r="AA26" i="16"/>
  <c r="AB65" i="16"/>
  <c r="Y48" i="16"/>
  <c r="AA91" i="16"/>
  <c r="X67" i="16"/>
  <c r="Y70" i="16"/>
  <c r="Y12" i="16"/>
  <c r="AA42" i="16"/>
  <c r="X60" i="16"/>
  <c r="AB13" i="16"/>
  <c r="AA69" i="16"/>
  <c r="X93" i="16"/>
  <c r="AA46" i="16"/>
  <c r="Z11" i="16"/>
  <c r="Z53" i="16"/>
  <c r="AA32" i="16"/>
  <c r="AA64" i="16"/>
  <c r="Y72" i="16"/>
  <c r="X25" i="16"/>
  <c r="X51" i="16"/>
  <c r="Y11" i="16"/>
  <c r="AB35" i="16"/>
  <c r="Z78" i="16"/>
  <c r="C39" i="15"/>
  <c r="X63" i="16"/>
  <c r="Z88" i="16"/>
  <c r="X91" i="16"/>
  <c r="Y90" i="16"/>
  <c r="AA21" i="16"/>
  <c r="Y58" i="16"/>
  <c r="X83" i="16"/>
  <c r="Z50" i="16"/>
  <c r="AA7" i="16"/>
  <c r="AB86" i="16"/>
  <c r="AA88" i="16"/>
  <c r="Z18" i="16"/>
  <c r="AA10" i="16"/>
  <c r="X95" i="16"/>
  <c r="Y18" i="16"/>
  <c r="AB90" i="16"/>
  <c r="AB92" i="16"/>
  <c r="AB74" i="16"/>
  <c r="Y56" i="16"/>
  <c r="AA63" i="16"/>
  <c r="Z5" i="16"/>
  <c r="AA78" i="16"/>
  <c r="Y6" i="16"/>
  <c r="S33" i="15"/>
  <c r="AB63" i="16"/>
  <c r="Y95" i="16"/>
  <c r="Y64" i="16"/>
  <c r="Z51" i="16"/>
  <c r="AA51" i="16"/>
  <c r="D28" i="1"/>
  <c r="D29" i="1" s="1"/>
  <c r="AB56" i="16"/>
  <c r="X34" i="16"/>
  <c r="Z46" i="16"/>
  <c r="Z33" i="16"/>
  <c r="AA70" i="16"/>
  <c r="X43" i="16"/>
  <c r="Z43" i="16"/>
  <c r="AB14" i="16"/>
  <c r="X53" i="16"/>
  <c r="Z24" i="16"/>
  <c r="AB78" i="16"/>
  <c r="X80" i="16"/>
  <c r="Z8" i="16"/>
  <c r="AB61" i="16"/>
  <c r="AB66" i="16"/>
  <c r="Y17" i="16"/>
  <c r="Y73" i="16"/>
  <c r="Z62" i="16"/>
  <c r="AA68" i="16"/>
  <c r="Z81" i="16"/>
  <c r="Z94" i="16"/>
  <c r="AA60" i="16"/>
  <c r="AB76" i="16"/>
  <c r="Y7" i="16"/>
  <c r="Y40" i="16"/>
  <c r="AA36" i="16"/>
  <c r="X78" i="16"/>
  <c r="X18" i="16"/>
  <c r="Y49" i="16"/>
  <c r="AB39" i="16"/>
  <c r="Z64" i="16"/>
  <c r="Y65" i="16"/>
  <c r="Y10" i="16"/>
  <c r="Y88" i="16"/>
  <c r="Z79" i="16"/>
  <c r="X7" i="16"/>
  <c r="X44" i="16"/>
  <c r="X11" i="16"/>
  <c r="Z39" i="16"/>
  <c r="Z59" i="16"/>
  <c r="AB55" i="16"/>
  <c r="X32" i="16"/>
  <c r="AA19" i="16"/>
  <c r="Z92" i="16"/>
  <c r="AC2" i="16" a="1"/>
  <c r="N33" i="15"/>
  <c r="Y52" i="16"/>
  <c r="AA58" i="16"/>
  <c r="AA40" i="16"/>
  <c r="X89" i="16"/>
  <c r="AA25" i="16"/>
  <c r="X54" i="16"/>
  <c r="Z10" i="16"/>
  <c r="X87" i="16"/>
  <c r="AB24" i="16"/>
  <c r="X3" i="16"/>
  <c r="X27" i="16"/>
  <c r="X39" i="16"/>
  <c r="AB48" i="16"/>
  <c r="AB43" i="16"/>
  <c r="AB7" i="16"/>
  <c r="X86" i="16"/>
  <c r="X84" i="16"/>
  <c r="AB52" i="16"/>
  <c r="AA41" i="16"/>
  <c r="Z72" i="16"/>
  <c r="Z61" i="16"/>
  <c r="X22" i="16"/>
  <c r="AB38" i="16"/>
  <c r="Y16" i="16"/>
  <c r="Z35" i="16"/>
  <c r="Z41" i="16"/>
  <c r="Z63" i="16"/>
  <c r="AB4" i="16"/>
  <c r="Z95" i="16"/>
  <c r="X45" i="16"/>
  <c r="X56" i="16"/>
  <c r="AB45" i="16"/>
  <c r="D21" i="1"/>
  <c r="AB37" i="16"/>
  <c r="AA35" i="16"/>
  <c r="X12" i="16"/>
  <c r="AA33" i="16"/>
  <c r="AB80" i="16"/>
  <c r="X19" i="16"/>
  <c r="Z23" i="16"/>
  <c r="X55" i="16"/>
  <c r="X65" i="16"/>
  <c r="Z54" i="16"/>
  <c r="Z85" i="16"/>
  <c r="Z34" i="16"/>
  <c r="Z55" i="16"/>
  <c r="AB9" i="16"/>
  <c r="Y37" i="16"/>
  <c r="X79" i="16"/>
  <c r="Z66" i="16"/>
  <c r="AA74" i="16"/>
  <c r="AA37" i="16"/>
  <c r="X5" i="16"/>
  <c r="Z57" i="16"/>
  <c r="AB40" i="16"/>
  <c r="AA9" i="16"/>
  <c r="Y33" i="16"/>
  <c r="AB53" i="16"/>
  <c r="AA75" i="16"/>
  <c r="AB22" i="16"/>
  <c r="Z70" i="16"/>
  <c r="AA12" i="16"/>
  <c r="Z69" i="16"/>
  <c r="AB3" i="16"/>
  <c r="Z47" i="16"/>
  <c r="Y24" i="16"/>
  <c r="Y27" i="16"/>
  <c r="AA53" i="16"/>
  <c r="AB51" i="16"/>
  <c r="X76" i="16"/>
  <c r="AB47" i="16"/>
  <c r="AA67" i="16"/>
  <c r="Y91" i="16"/>
  <c r="Z75" i="16"/>
  <c r="AB17" i="16"/>
  <c r="X64" i="16"/>
  <c r="AB15" i="16"/>
  <c r="AA57" i="16"/>
  <c r="AB84" i="16"/>
  <c r="X82" i="16"/>
  <c r="Y46" i="16"/>
  <c r="Z65" i="16"/>
  <c r="Y47" i="16"/>
  <c r="Y21" i="16"/>
  <c r="C36" i="1"/>
  <c r="AB79" i="16"/>
  <c r="X17" i="16"/>
  <c r="AA16" i="16"/>
  <c r="Y68" i="16"/>
  <c r="Z90" i="16"/>
  <c r="AA47" i="16"/>
  <c r="X38" i="16"/>
  <c r="AA20" i="16"/>
  <c r="AB94" i="16"/>
  <c r="X77" i="16"/>
  <c r="AB49" i="16"/>
  <c r="AA48" i="16"/>
  <c r="Y79" i="16"/>
  <c r="AB85" i="16"/>
  <c r="AA55" i="16"/>
  <c r="AB57" i="16"/>
  <c r="X61" i="16"/>
  <c r="Z40" i="16"/>
  <c r="Y60" i="16"/>
  <c r="AA54" i="16"/>
  <c r="AA66" i="16"/>
  <c r="Y43" i="16"/>
  <c r="AA44" i="16"/>
  <c r="Y85" i="16"/>
  <c r="AB8" i="16"/>
  <c r="Z91" i="16"/>
  <c r="Y66" i="16"/>
  <c r="Y84" i="16"/>
  <c r="AA76" i="16"/>
  <c r="AA89" i="16"/>
  <c r="Y30" i="16"/>
  <c r="AA82" i="16"/>
  <c r="Z76" i="16"/>
  <c r="AB21" i="16"/>
  <c r="Y35" i="16"/>
  <c r="Z22" i="16"/>
  <c r="AB59" i="16"/>
  <c r="AA71" i="16"/>
  <c r="AB75" i="16"/>
  <c r="Z44" i="16"/>
  <c r="X33" i="16"/>
  <c r="Y57" i="16"/>
  <c r="AA17" i="16"/>
  <c r="AB33" i="16"/>
  <c r="Z29" i="16"/>
  <c r="Y63" i="16"/>
  <c r="AB36" i="16"/>
  <c r="Y83" i="16"/>
  <c r="X94" i="16"/>
  <c r="Z49" i="16"/>
  <c r="AA24" i="16"/>
  <c r="Z73" i="16"/>
  <c r="AB71" i="16"/>
  <c r="AA95" i="16"/>
  <c r="X70" i="16"/>
  <c r="AB60" i="16"/>
  <c r="AA94" i="16"/>
  <c r="Y5" i="16"/>
  <c r="AA85" i="16"/>
  <c r="AB88" i="16"/>
  <c r="AA65" i="16"/>
  <c r="Z26" i="16"/>
  <c r="AB64" i="16"/>
  <c r="AB62" i="16"/>
  <c r="Y77" i="16"/>
  <c r="AB87" i="16"/>
  <c r="AA52" i="16"/>
  <c r="Z15" i="16"/>
  <c r="Y41" i="16"/>
  <c r="Y59" i="16"/>
  <c r="AA14" i="16"/>
  <c r="AA83" i="16"/>
  <c r="AA86" i="16"/>
  <c r="AA15" i="16"/>
  <c r="AA56" i="16"/>
  <c r="X13" i="16"/>
  <c r="X28" i="16"/>
  <c r="Y74" i="16"/>
  <c r="Z16" i="16"/>
  <c r="X23" i="16"/>
  <c r="AA18" i="16"/>
  <c r="Z32" i="16"/>
  <c r="Z58" i="16"/>
  <c r="Y78" i="16"/>
  <c r="Y51" i="16"/>
  <c r="AB77" i="16"/>
  <c r="AB32" i="16"/>
  <c r="X26" i="16"/>
  <c r="X48" i="16"/>
  <c r="AB26" i="16"/>
  <c r="AA45" i="16"/>
  <c r="AB10" i="16"/>
  <c r="Z60" i="16"/>
  <c r="X90" i="16"/>
  <c r="Z28" i="16"/>
  <c r="AA8" i="16"/>
  <c r="Z52" i="16"/>
  <c r="X81" i="16"/>
  <c r="X24" i="16"/>
  <c r="AA34" i="16"/>
  <c r="I28" i="1"/>
  <c r="AA79" i="16"/>
  <c r="Y39" i="16"/>
  <c r="Z38" i="16"/>
  <c r="X62" i="16"/>
  <c r="C37" i="1"/>
  <c r="D37" i="1" s="1"/>
  <c r="Z9" i="16"/>
  <c r="AB46" i="16"/>
  <c r="Z67" i="16"/>
  <c r="AA13" i="16"/>
  <c r="AA77" i="16"/>
  <c r="X42" i="16"/>
  <c r="AA62" i="16"/>
  <c r="X49" i="16"/>
  <c r="Y22" i="16"/>
  <c r="Z56" i="16"/>
  <c r="J38" i="15"/>
  <c r="Z13" i="16"/>
  <c r="X10" i="16"/>
  <c r="Y61" i="16"/>
  <c r="AA92" i="16"/>
  <c r="Y67" i="16"/>
  <c r="Y69" i="16"/>
  <c r="AB54" i="16"/>
  <c r="Y32" i="16"/>
  <c r="Y71" i="16"/>
  <c r="Y25" i="16"/>
  <c r="X68" i="16"/>
  <c r="AB11" i="16"/>
  <c r="X74" i="16"/>
  <c r="AA29" i="16"/>
  <c r="O33" i="15"/>
  <c r="Y8" i="16"/>
  <c r="AB29" i="16"/>
  <c r="X50" i="16"/>
  <c r="Z87" i="16"/>
  <c r="D36" i="1"/>
  <c r="D23" i="1"/>
  <c r="D38" i="1"/>
  <c r="I38" i="1"/>
  <c r="H36" i="1"/>
  <c r="I29" i="1"/>
  <c r="H37" i="1"/>
  <c r="I37" i="1" s="1"/>
  <c r="AC2" i="17" a="1"/>
  <c r="AC10" i="17" l="1"/>
  <c r="AC17" i="17"/>
  <c r="AC83" i="17"/>
  <c r="AC59" i="17"/>
  <c r="AC39" i="17"/>
  <c r="AC72" i="17"/>
  <c r="AC31" i="17"/>
  <c r="AC6" i="17"/>
  <c r="AC65" i="17"/>
  <c r="AC80" i="17"/>
  <c r="AC79" i="17"/>
  <c r="AC9" i="17"/>
  <c r="AC64" i="17"/>
  <c r="AC42" i="17"/>
  <c r="AC52" i="17"/>
  <c r="AC51" i="17"/>
  <c r="AC53" i="17"/>
  <c r="AC34" i="17"/>
  <c r="AC12" i="17"/>
  <c r="AC15" i="17"/>
  <c r="AC76" i="17"/>
  <c r="AC69" i="17"/>
  <c r="AC66" i="17"/>
  <c r="AC24" i="17"/>
  <c r="AC23" i="17"/>
  <c r="AC4" i="17"/>
  <c r="AC40" i="17"/>
  <c r="AC57" i="17"/>
  <c r="AC46" i="17"/>
  <c r="AC44" i="17"/>
  <c r="AC19" i="17"/>
  <c r="AC75" i="17"/>
  <c r="AC54" i="17"/>
  <c r="AC11" i="17"/>
  <c r="AC84" i="17"/>
  <c r="AC81" i="17"/>
  <c r="AC37" i="17"/>
  <c r="AC22" i="17"/>
  <c r="AC28" i="17"/>
  <c r="AC62" i="17"/>
  <c r="AC32" i="17"/>
  <c r="AC16" i="17"/>
  <c r="AC55" i="17"/>
  <c r="AC71" i="17"/>
  <c r="AC74" i="17"/>
  <c r="AC8" i="17"/>
  <c r="AC73" i="17"/>
  <c r="AC67" i="17"/>
  <c r="AC3" i="17"/>
  <c r="AC56" i="17"/>
  <c r="AC29" i="17"/>
  <c r="AC82" i="17"/>
  <c r="AC60" i="17"/>
  <c r="AC50" i="17"/>
  <c r="AC21" i="17"/>
  <c r="AC41" i="17"/>
  <c r="AC61" i="17"/>
  <c r="AC48" i="17"/>
  <c r="AC13" i="17"/>
  <c r="AC30" i="17"/>
  <c r="AC63" i="17"/>
  <c r="AC26" i="17"/>
  <c r="AC77" i="17"/>
  <c r="AC45" i="17"/>
  <c r="AC78" i="17"/>
  <c r="AC38" i="17"/>
  <c r="AC47" i="17"/>
  <c r="AC18" i="17"/>
  <c r="AC49" i="17"/>
  <c r="AC43" i="17"/>
  <c r="AC68" i="17"/>
  <c r="AC7" i="17"/>
  <c r="AC2" i="17"/>
  <c r="AC25" i="17"/>
  <c r="AC36" i="17"/>
  <c r="AC20" i="17"/>
  <c r="AC27" i="17"/>
  <c r="AC70" i="17"/>
  <c r="AC14" i="17"/>
  <c r="AC33" i="17"/>
  <c r="AC58" i="17"/>
  <c r="AC35" i="17"/>
  <c r="AC5" i="17"/>
  <c r="V83" i="16"/>
  <c r="V57" i="16"/>
  <c r="M34" i="15"/>
  <c r="V49" i="16"/>
  <c r="V23" i="16"/>
  <c r="V33" i="16"/>
  <c r="V54" i="16"/>
  <c r="V24" i="16"/>
  <c r="V35" i="16"/>
  <c r="V21" i="16"/>
  <c r="V16" i="16"/>
  <c r="V74" i="16"/>
  <c r="V81" i="16"/>
  <c r="V66" i="16"/>
  <c r="V89" i="16"/>
  <c r="V93" i="16"/>
  <c r="V22" i="16"/>
  <c r="V72" i="16"/>
  <c r="V42" i="16"/>
  <c r="V65" i="16"/>
  <c r="V28" i="16"/>
  <c r="V91" i="16"/>
  <c r="V29" i="16"/>
  <c r="V50" i="16"/>
  <c r="V13" i="16"/>
  <c r="V55" i="16"/>
  <c r="V20" i="16"/>
  <c r="V82" i="16"/>
  <c r="V36" i="16"/>
  <c r="V90" i="16"/>
  <c r="V58" i="16"/>
  <c r="V70" i="16"/>
  <c r="V63" i="16"/>
  <c r="V19" i="16"/>
  <c r="AC79" i="16"/>
  <c r="AC63" i="16"/>
  <c r="AC65" i="16"/>
  <c r="AC87" i="16"/>
  <c r="AC45" i="16"/>
  <c r="AC4" i="16"/>
  <c r="AC58" i="16"/>
  <c r="AC9" i="16"/>
  <c r="AC89" i="16"/>
  <c r="AC57" i="16"/>
  <c r="AC21" i="16"/>
  <c r="AC68" i="16"/>
  <c r="AC49" i="16"/>
  <c r="AC62" i="16"/>
  <c r="AC53" i="16"/>
  <c r="AC43" i="16"/>
  <c r="AC10" i="16"/>
  <c r="AC30" i="16"/>
  <c r="AC55" i="16"/>
  <c r="AC23" i="16"/>
  <c r="AC22" i="16"/>
  <c r="AC17" i="16"/>
  <c r="AC69" i="16"/>
  <c r="AC77" i="16"/>
  <c r="AC40" i="16"/>
  <c r="AC73" i="16"/>
  <c r="AC74" i="16"/>
  <c r="AC48" i="16"/>
  <c r="AC95" i="16"/>
  <c r="AC16" i="16"/>
  <c r="AC35" i="16"/>
  <c r="AC38" i="16"/>
  <c r="AC66" i="16"/>
  <c r="AC7" i="16"/>
  <c r="AC54" i="16"/>
  <c r="AC51" i="16"/>
  <c r="AC72" i="16"/>
  <c r="AC78" i="16"/>
  <c r="AC93" i="16"/>
  <c r="AC71" i="16"/>
  <c r="AC56" i="16"/>
  <c r="AC20" i="16"/>
  <c r="AC75" i="16"/>
  <c r="AC83" i="16"/>
  <c r="AC11" i="16"/>
  <c r="AC31" i="16"/>
  <c r="AC84" i="16"/>
  <c r="AC59" i="16"/>
  <c r="AC2" i="16"/>
  <c r="AC41" i="16"/>
  <c r="AC42" i="16"/>
  <c r="AC27" i="16"/>
  <c r="AC6" i="16"/>
  <c r="AC24" i="16"/>
  <c r="AC50" i="16"/>
  <c r="AC34" i="16"/>
  <c r="AC14" i="16"/>
  <c r="AC44" i="16"/>
  <c r="AC29" i="16"/>
  <c r="AC92" i="16"/>
  <c r="AC82" i="16"/>
  <c r="AC5" i="16"/>
  <c r="AC25" i="16"/>
  <c r="AC61" i="16"/>
  <c r="AC33" i="16"/>
  <c r="AC3" i="16"/>
  <c r="AC80" i="16"/>
  <c r="AC70" i="16"/>
  <c r="AC47" i="16"/>
  <c r="AC64" i="16"/>
  <c r="AC91" i="16"/>
  <c r="AC32" i="16"/>
  <c r="AC67" i="16"/>
  <c r="AC37" i="16"/>
  <c r="AC15" i="16"/>
  <c r="AC86" i="16"/>
  <c r="AC52" i="16"/>
  <c r="AC81" i="16"/>
  <c r="AC36" i="16"/>
  <c r="AC46" i="16"/>
  <c r="AC13" i="16"/>
  <c r="AC94" i="16"/>
  <c r="AC19" i="16"/>
  <c r="AC39" i="16"/>
  <c r="AC85" i="16"/>
  <c r="AC26" i="16"/>
  <c r="AC28" i="16"/>
  <c r="AC8" i="16"/>
  <c r="AC88" i="16"/>
  <c r="AC12" i="16"/>
  <c r="AC90" i="16"/>
  <c r="AC18" i="16"/>
  <c r="AC60" i="16"/>
  <c r="AC76" i="16"/>
  <c r="V9" i="16"/>
  <c r="V77" i="16"/>
  <c r="V80" i="16"/>
  <c r="V60" i="16"/>
  <c r="H39" i="15"/>
  <c r="I39" i="15"/>
  <c r="V84" i="16"/>
  <c r="V69" i="16"/>
  <c r="V41" i="16"/>
  <c r="V53" i="16"/>
  <c r="V88" i="16"/>
  <c r="V68" i="16"/>
  <c r="V86" i="16"/>
  <c r="V32" i="16"/>
  <c r="V47" i="16"/>
  <c r="V46" i="16"/>
  <c r="V43" i="16"/>
  <c r="V64" i="16"/>
  <c r="V14" i="16"/>
  <c r="V30" i="16"/>
  <c r="V12" i="16"/>
  <c r="V8" i="16"/>
  <c r="V38" i="16"/>
  <c r="V34" i="16"/>
  <c r="V48" i="16"/>
  <c r="V11" i="16"/>
  <c r="V73" i="16"/>
  <c r="V94" i="16"/>
  <c r="V52" i="16"/>
  <c r="V67" i="16"/>
  <c r="V44" i="16"/>
  <c r="V26" i="16"/>
  <c r="V7" i="16"/>
  <c r="V51" i="16"/>
  <c r="V10" i="16"/>
  <c r="V62" i="16"/>
  <c r="V40" i="16"/>
  <c r="V61" i="16"/>
  <c r="V71" i="16"/>
  <c r="V85" i="16"/>
  <c r="V39" i="16"/>
  <c r="V25" i="16"/>
  <c r="V92" i="16"/>
  <c r="V5" i="16"/>
  <c r="V37" i="16"/>
  <c r="V4" i="16"/>
  <c r="V27" i="16"/>
  <c r="V3" i="16"/>
  <c r="V15" i="16"/>
  <c r="V56" i="16"/>
  <c r="V6" i="16"/>
  <c r="V76" i="16"/>
  <c r="V95" i="16"/>
  <c r="V17" i="16"/>
  <c r="V45" i="16"/>
  <c r="V59" i="16"/>
  <c r="V75" i="16"/>
  <c r="V18" i="16"/>
  <c r="V79" i="16"/>
  <c r="V31" i="16"/>
  <c r="V87" i="16"/>
  <c r="V78" i="16"/>
  <c r="C40" i="15"/>
  <c r="C41" i="15" s="1"/>
  <c r="I36" i="1"/>
  <c r="J39" i="15"/>
  <c r="O34" i="15"/>
  <c r="S34" i="15"/>
  <c r="N34" i="15"/>
  <c r="T34" i="15"/>
  <c r="I41" i="15" l="1"/>
  <c r="H41" i="15"/>
  <c r="M35" i="15"/>
  <c r="H40" i="15"/>
  <c r="I40" i="15"/>
  <c r="T35" i="15"/>
  <c r="S35" i="15"/>
  <c r="J40" i="15"/>
  <c r="J41" i="15"/>
  <c r="N35" i="15"/>
  <c r="O35" i="15"/>
  <c r="M36" i="15" l="1"/>
  <c r="M37" i="15"/>
  <c r="N37" i="15"/>
  <c r="O37" i="15"/>
  <c r="W3" i="15" a="1"/>
  <c r="S37" i="15"/>
  <c r="O36" i="15"/>
  <c r="N36" i="15"/>
  <c r="T36" i="15"/>
  <c r="S36" i="15"/>
  <c r="T37" i="15"/>
  <c r="W88" i="15" l="1"/>
  <c r="W54" i="15"/>
  <c r="W98" i="15"/>
  <c r="W24" i="15"/>
  <c r="W19" i="15"/>
  <c r="W70" i="15"/>
  <c r="W106" i="15"/>
  <c r="W57" i="15"/>
  <c r="W53" i="15"/>
  <c r="W15" i="15"/>
  <c r="W29" i="15"/>
  <c r="W43" i="15"/>
  <c r="W33" i="15"/>
  <c r="W56" i="15"/>
  <c r="W39" i="15"/>
  <c r="W22" i="15"/>
  <c r="W42" i="15"/>
  <c r="W34" i="15"/>
  <c r="W55" i="15"/>
  <c r="W7" i="15"/>
  <c r="W109" i="15"/>
  <c r="W5" i="15"/>
  <c r="W50" i="15"/>
  <c r="W105" i="15"/>
  <c r="W14" i="15"/>
  <c r="W91" i="15"/>
  <c r="W27" i="15"/>
  <c r="W89" i="15"/>
  <c r="W66" i="15"/>
  <c r="W71" i="15"/>
  <c r="W73" i="15"/>
  <c r="W17" i="15"/>
  <c r="W45" i="15"/>
  <c r="W84" i="15"/>
  <c r="W30" i="15"/>
  <c r="W21" i="15"/>
  <c r="W67" i="15"/>
  <c r="W96" i="15"/>
  <c r="W111" i="15"/>
  <c r="W20" i="15"/>
  <c r="W36" i="15"/>
  <c r="W58" i="15"/>
  <c r="W28" i="15"/>
  <c r="W10" i="15"/>
  <c r="W9" i="15"/>
  <c r="W44" i="15"/>
  <c r="W103" i="15"/>
  <c r="W18" i="15"/>
  <c r="W26" i="15"/>
  <c r="W37" i="15"/>
  <c r="W104" i="15"/>
  <c r="W8" i="15"/>
  <c r="W81" i="15"/>
  <c r="W110" i="15"/>
  <c r="W31" i="15"/>
  <c r="W80" i="15"/>
  <c r="W72" i="15"/>
  <c r="W62" i="15"/>
  <c r="W83" i="15"/>
  <c r="W94" i="15"/>
  <c r="W38" i="15"/>
  <c r="W69" i="15"/>
  <c r="W6" i="15"/>
  <c r="W77" i="15"/>
  <c r="W23" i="15"/>
  <c r="W107" i="15"/>
  <c r="W11" i="15"/>
  <c r="W76" i="15"/>
  <c r="W87" i="15"/>
  <c r="W86" i="15"/>
  <c r="W79" i="15"/>
  <c r="W93" i="15"/>
  <c r="W68" i="15"/>
  <c r="W85" i="15"/>
  <c r="W12" i="15"/>
  <c r="W101" i="15"/>
  <c r="W47" i="15"/>
  <c r="W46" i="15"/>
  <c r="W16" i="15"/>
  <c r="W100" i="15"/>
  <c r="W108" i="15"/>
  <c r="W97" i="15"/>
  <c r="W25" i="15"/>
  <c r="W41" i="15"/>
  <c r="W102" i="15"/>
  <c r="W90" i="15"/>
  <c r="W3" i="15"/>
  <c r="W4" i="15"/>
  <c r="W35" i="15"/>
  <c r="W95" i="15"/>
  <c r="W40" i="15"/>
  <c r="W32" i="15"/>
  <c r="W61" i="15"/>
  <c r="W99" i="15"/>
  <c r="W65" i="15"/>
  <c r="W48" i="15"/>
  <c r="W64" i="15"/>
  <c r="W51" i="15"/>
  <c r="W82" i="15"/>
  <c r="W63" i="15"/>
  <c r="W75" i="15"/>
  <c r="W74" i="15"/>
  <c r="W59" i="15"/>
  <c r="W13" i="15"/>
  <c r="W78" i="15"/>
  <c r="W49" i="15"/>
  <c r="W92" i="15"/>
  <c r="W52" i="15"/>
  <c r="W60" i="15"/>
  <c r="Y88" i="15"/>
  <c r="X42" i="15"/>
  <c r="AB14" i="15"/>
  <c r="AA36" i="15"/>
  <c r="X72" i="15"/>
  <c r="AB23" i="15"/>
  <c r="Y108" i="15"/>
  <c r="AA35" i="15"/>
  <c r="Y78" i="15"/>
  <c r="AB58" i="15"/>
  <c r="AB62" i="15"/>
  <c r="X85" i="15"/>
  <c r="X95" i="15"/>
  <c r="Y49" i="15"/>
  <c r="Z55" i="15"/>
  <c r="AA27" i="15"/>
  <c r="Z28" i="15"/>
  <c r="Z83" i="15"/>
  <c r="Y12" i="15"/>
  <c r="Z40" i="15"/>
  <c r="Y92" i="15"/>
  <c r="AB7" i="15"/>
  <c r="AB21" i="15"/>
  <c r="AB76" i="15"/>
  <c r="X52" i="15"/>
  <c r="Z33" i="15"/>
  <c r="Y9" i="15"/>
  <c r="AB38" i="15"/>
  <c r="Z61" i="15"/>
  <c r="AA70" i="15"/>
  <c r="AA96" i="15"/>
  <c r="Z86" i="15"/>
  <c r="AA90" i="15"/>
  <c r="Y106" i="15"/>
  <c r="Y73" i="15"/>
  <c r="X111" i="15"/>
  <c r="AB6" i="15"/>
  <c r="X79" i="15"/>
  <c r="Y3" i="15"/>
  <c r="Z57" i="15"/>
  <c r="X17" i="15"/>
  <c r="X100" i="15"/>
  <c r="Y13" i="15"/>
  <c r="AB15" i="15"/>
  <c r="X84" i="15"/>
  <c r="X37" i="15"/>
  <c r="AA29" i="15"/>
  <c r="AA104" i="15"/>
  <c r="Y43" i="15"/>
  <c r="Y10" i="15"/>
  <c r="X94" i="15"/>
  <c r="X41" i="15"/>
  <c r="Z63" i="15"/>
  <c r="X109" i="15"/>
  <c r="X81" i="15"/>
  <c r="X87" i="15"/>
  <c r="AA75" i="15"/>
  <c r="X56" i="15"/>
  <c r="Y71" i="15"/>
  <c r="AA69" i="15"/>
  <c r="AA46" i="15"/>
  <c r="AB39" i="15"/>
  <c r="AA31" i="15"/>
  <c r="Z22" i="15"/>
  <c r="AA20" i="15"/>
  <c r="Z18" i="15"/>
  <c r="Z93" i="15"/>
  <c r="AA4" i="15"/>
  <c r="Y47" i="15"/>
  <c r="AB74" i="15"/>
  <c r="Z73" i="15"/>
  <c r="AB111" i="15"/>
  <c r="X16" i="15"/>
  <c r="Z3" i="15"/>
  <c r="AA17" i="15"/>
  <c r="Y54" i="15"/>
  <c r="AA15" i="15"/>
  <c r="Y37" i="15"/>
  <c r="Y29" i="15"/>
  <c r="X43" i="15"/>
  <c r="AB10" i="15"/>
  <c r="Z41" i="15"/>
  <c r="Z19" i="15"/>
  <c r="Z81" i="15"/>
  <c r="Y87" i="15"/>
  <c r="AA5" i="15"/>
  <c r="AB71" i="15"/>
  <c r="AB46" i="15"/>
  <c r="Z65" i="15"/>
  <c r="AB22" i="15"/>
  <c r="X18" i="15"/>
  <c r="AB48" i="15"/>
  <c r="X36" i="15"/>
  <c r="Z108" i="15"/>
  <c r="Y64" i="15"/>
  <c r="X107" i="15"/>
  <c r="AB49" i="15"/>
  <c r="X30" i="15"/>
  <c r="Y11" i="15"/>
  <c r="Y40" i="15"/>
  <c r="Y7" i="15"/>
  <c r="Z76" i="15"/>
  <c r="AB66" i="15"/>
  <c r="AA47" i="15"/>
  <c r="X70" i="15"/>
  <c r="Z74" i="15"/>
  <c r="AA73" i="15"/>
  <c r="X6" i="15"/>
  <c r="AA3" i="15"/>
  <c r="AA80" i="15"/>
  <c r="AB54" i="15"/>
  <c r="Y84" i="15"/>
  <c r="X29" i="15"/>
  <c r="X10" i="15"/>
  <c r="Y41" i="15"/>
  <c r="AB81" i="15"/>
  <c r="Y5" i="15"/>
  <c r="Y99" i="15"/>
  <c r="X22" i="15"/>
  <c r="AA48" i="15"/>
  <c r="Y53" i="15"/>
  <c r="Y26" i="15"/>
  <c r="AB108" i="15"/>
  <c r="Z64" i="15"/>
  <c r="Y107" i="15"/>
  <c r="Y98" i="15"/>
  <c r="X28" i="15"/>
  <c r="X40" i="15"/>
  <c r="X7" i="15"/>
  <c r="Y52" i="15"/>
  <c r="Y60" i="15"/>
  <c r="Y110" i="15"/>
  <c r="AB50" i="15"/>
  <c r="Z16" i="15"/>
  <c r="Y80" i="15"/>
  <c r="AA34" i="15"/>
  <c r="Z82" i="15"/>
  <c r="AA101" i="15"/>
  <c r="AA81" i="15"/>
  <c r="X44" i="15"/>
  <c r="AA39" i="15"/>
  <c r="AB20" i="15"/>
  <c r="Z48" i="15"/>
  <c r="Z14" i="15"/>
  <c r="AA72" i="15"/>
  <c r="X64" i="15"/>
  <c r="AA107" i="15"/>
  <c r="AB98" i="15"/>
  <c r="X83" i="15"/>
  <c r="AB40" i="15"/>
  <c r="Z8" i="15"/>
  <c r="AA66" i="15"/>
  <c r="Z60" i="15"/>
  <c r="Z90" i="15"/>
  <c r="X73" i="15"/>
  <c r="AB16" i="15"/>
  <c r="X80" i="15"/>
  <c r="Y34" i="15"/>
  <c r="X104" i="15"/>
  <c r="AA10" i="15"/>
  <c r="Y19" i="15"/>
  <c r="AA102" i="15"/>
  <c r="Y44" i="15"/>
  <c r="AB99" i="15"/>
  <c r="X105" i="15"/>
  <c r="Z4" i="15"/>
  <c r="X14" i="15"/>
  <c r="AA23" i="15"/>
  <c r="AB64" i="15"/>
  <c r="X62" i="15"/>
  <c r="AB51" i="15"/>
  <c r="AA30" i="15"/>
  <c r="X25" i="15"/>
  <c r="Y21" i="15"/>
  <c r="AA33" i="15"/>
  <c r="AB60" i="15"/>
  <c r="X90" i="15"/>
  <c r="X103" i="15"/>
  <c r="AB59" i="15"/>
  <c r="Z13" i="15"/>
  <c r="AB37" i="15"/>
  <c r="AA82" i="15"/>
  <c r="Y101" i="15"/>
  <c r="Z87" i="15"/>
  <c r="Z5" i="15"/>
  <c r="Z99" i="15"/>
  <c r="AB18" i="15"/>
  <c r="X48" i="15"/>
  <c r="Y91" i="15"/>
  <c r="AB30" i="15"/>
  <c r="AA92" i="15"/>
  <c r="Z32" i="15"/>
  <c r="X61" i="15"/>
  <c r="AB90" i="15"/>
  <c r="Z103" i="15"/>
  <c r="AB80" i="15"/>
  <c r="Z37" i="15"/>
  <c r="AA94" i="15"/>
  <c r="AB109" i="15"/>
  <c r="Z102" i="15"/>
  <c r="X99" i="15"/>
  <c r="Y105" i="15"/>
  <c r="X88" i="15"/>
  <c r="X35" i="15"/>
  <c r="AB95" i="15"/>
  <c r="AB27" i="15"/>
  <c r="X92" i="15"/>
  <c r="X76" i="15"/>
  <c r="AB61" i="15"/>
  <c r="X86" i="15"/>
  <c r="Y50" i="15"/>
  <c r="X59" i="15"/>
  <c r="AB13" i="15"/>
  <c r="AB29" i="15"/>
  <c r="Y94" i="15"/>
  <c r="AB87" i="15"/>
  <c r="X71" i="15"/>
  <c r="AB105" i="15"/>
  <c r="AB4" i="15"/>
  <c r="Z88" i="15"/>
  <c r="AA42" i="15"/>
  <c r="Y45" i="15"/>
  <c r="Z36" i="15"/>
  <c r="AB72" i="15"/>
  <c r="X23" i="15"/>
  <c r="X108" i="15"/>
  <c r="AA64" i="15"/>
  <c r="AA78" i="15"/>
  <c r="X58" i="15"/>
  <c r="Y62" i="15"/>
  <c r="AA85" i="15"/>
  <c r="Y51" i="15"/>
  <c r="AA49" i="15"/>
  <c r="X55" i="15"/>
  <c r="Y27" i="15"/>
  <c r="AA28" i="15"/>
  <c r="AB11" i="15"/>
  <c r="AB12" i="15"/>
  <c r="AA40" i="15"/>
  <c r="AB92" i="15"/>
  <c r="Z7" i="15"/>
  <c r="AA8" i="15"/>
  <c r="AA76" i="15"/>
  <c r="AB52" i="15"/>
  <c r="AB33" i="15"/>
  <c r="AA9" i="15"/>
  <c r="AA61" i="15"/>
  <c r="Z70" i="15"/>
  <c r="X96" i="15"/>
  <c r="Y86" i="15"/>
  <c r="X106" i="15"/>
  <c r="AA6" i="15"/>
  <c r="AA57" i="15"/>
  <c r="Z100" i="15"/>
  <c r="AA84" i="15"/>
  <c r="Y82" i="15"/>
  <c r="AB94" i="15"/>
  <c r="Z109" i="15"/>
  <c r="AB75" i="15"/>
  <c r="Z69" i="15"/>
  <c r="Z39" i="15"/>
  <c r="Y20" i="15"/>
  <c r="X93" i="15"/>
  <c r="AB53" i="15"/>
  <c r="Z42" i="15"/>
  <c r="X45" i="15"/>
  <c r="Z72" i="15"/>
  <c r="X68" i="15"/>
  <c r="X78" i="15"/>
  <c r="Z58" i="15"/>
  <c r="Y85" i="15"/>
  <c r="AB55" i="15"/>
  <c r="AB28" i="15"/>
  <c r="Z12" i="15"/>
  <c r="AA24" i="15"/>
  <c r="AB8" i="15"/>
  <c r="Z52" i="15"/>
  <c r="X9" i="15"/>
  <c r="Y61" i="15"/>
  <c r="X110" i="15"/>
  <c r="AB106" i="15"/>
  <c r="AA103" i="15"/>
  <c r="AA16" i="15"/>
  <c r="Y57" i="15"/>
  <c r="Y100" i="15"/>
  <c r="Z97" i="15"/>
  <c r="X82" i="15"/>
  <c r="Z101" i="15"/>
  <c r="AA109" i="15"/>
  <c r="AB102" i="15"/>
  <c r="Z71" i="15"/>
  <c r="X39" i="15"/>
  <c r="X20" i="15"/>
  <c r="AA93" i="15"/>
  <c r="Y42" i="15"/>
  <c r="Z68" i="15"/>
  <c r="X91" i="15"/>
  <c r="AA51" i="15"/>
  <c r="Z30" i="15"/>
  <c r="Y25" i="15"/>
  <c r="Y8" i="15"/>
  <c r="Z66" i="15"/>
  <c r="AB47" i="15"/>
  <c r="AB86" i="15"/>
  <c r="AB73" i="15"/>
  <c r="Y6" i="15"/>
  <c r="AB57" i="15"/>
  <c r="AA54" i="15"/>
  <c r="AA97" i="15"/>
  <c r="AA89" i="15"/>
  <c r="X19" i="15"/>
  <c r="Y102" i="15"/>
  <c r="X69" i="15"/>
  <c r="X65" i="15"/>
  <c r="Z77" i="15"/>
  <c r="AA45" i="15"/>
  <c r="AB35" i="15"/>
  <c r="AA58" i="15"/>
  <c r="X51" i="15"/>
  <c r="Y30" i="15"/>
  <c r="Z25" i="15"/>
  <c r="Z21" i="15"/>
  <c r="AA52" i="15"/>
  <c r="Z47" i="15"/>
  <c r="AA110" i="15"/>
  <c r="Z50" i="15"/>
  <c r="Y79" i="15"/>
  <c r="X57" i="15"/>
  <c r="X54" i="15"/>
  <c r="X97" i="15"/>
  <c r="Z89" i="15"/>
  <c r="AB63" i="15"/>
  <c r="Y81" i="15"/>
  <c r="AB5" i="15"/>
  <c r="Z31" i="15"/>
  <c r="Z20" i="15"/>
  <c r="Y48" i="15"/>
  <c r="AA53" i="15"/>
  <c r="AB45" i="15"/>
  <c r="Y68" i="15"/>
  <c r="AB91" i="15"/>
  <c r="Y95" i="15"/>
  <c r="X98" i="15"/>
  <c r="AB83" i="15"/>
  <c r="Z92" i="15"/>
  <c r="X8" i="15"/>
  <c r="X66" i="15"/>
  <c r="X47" i="15"/>
  <c r="AB110" i="15"/>
  <c r="AA50" i="15"/>
  <c r="AB79" i="15"/>
  <c r="Z80" i="15"/>
  <c r="X34" i="15"/>
  <c r="Z104" i="15"/>
  <c r="Z94" i="15"/>
  <c r="Y67" i="15"/>
  <c r="AB56" i="15"/>
  <c r="Z46" i="15"/>
  <c r="AA105" i="15"/>
  <c r="Y4" i="15"/>
  <c r="Z62" i="15"/>
  <c r="X27" i="15"/>
  <c r="X24" i="15"/>
  <c r="Y66" i="15"/>
  <c r="Y96" i="15"/>
  <c r="Z111" i="15"/>
  <c r="Y59" i="15"/>
  <c r="Z15" i="15"/>
  <c r="AB97" i="15"/>
  <c r="AB101" i="15"/>
  <c r="AA67" i="15"/>
  <c r="AA56" i="15"/>
  <c r="Y31" i="15"/>
  <c r="AA18" i="15"/>
  <c r="AA14" i="15"/>
  <c r="AB78" i="15"/>
  <c r="Z85" i="15"/>
  <c r="AA98" i="15"/>
  <c r="AA7" i="15"/>
  <c r="X33" i="15"/>
  <c r="AB96" i="15"/>
  <c r="AA106" i="15"/>
  <c r="X3" i="15"/>
  <c r="AB100" i="15"/>
  <c r="Y104" i="15"/>
  <c r="AB41" i="15"/>
  <c r="Z75" i="15"/>
  <c r="X46" i="15"/>
  <c r="Y18" i="15"/>
  <c r="Z51" i="15"/>
  <c r="AA86" i="15"/>
  <c r="X15" i="15"/>
  <c r="AB43" i="15"/>
  <c r="AA19" i="15"/>
  <c r="Y75" i="15"/>
  <c r="AB69" i="15"/>
  <c r="Y65" i="15"/>
  <c r="Y77" i="15"/>
  <c r="Z45" i="15"/>
  <c r="Y72" i="15"/>
  <c r="Y58" i="15"/>
  <c r="AB85" i="15"/>
  <c r="Y55" i="15"/>
  <c r="AA11" i="15"/>
  <c r="AB24" i="15"/>
  <c r="X32" i="15"/>
  <c r="Z9" i="15"/>
  <c r="AB70" i="15"/>
  <c r="X74" i="15"/>
  <c r="Y103" i="15"/>
  <c r="Z59" i="15"/>
  <c r="AA100" i="15"/>
  <c r="AB84" i="15"/>
  <c r="Z29" i="15"/>
  <c r="Z10" i="15"/>
  <c r="AA41" i="15"/>
  <c r="Z67" i="15"/>
  <c r="X75" i="15"/>
  <c r="AA99" i="15"/>
  <c r="Z105" i="15"/>
  <c r="Y93" i="15"/>
  <c r="Z53" i="15"/>
  <c r="AA26" i="15"/>
  <c r="AB68" i="15"/>
  <c r="Z91" i="15"/>
  <c r="AA95" i="15"/>
  <c r="AA55" i="15"/>
  <c r="Z11" i="15"/>
  <c r="Z24" i="15"/>
  <c r="AA32" i="15"/>
  <c r="AA38" i="15"/>
  <c r="Y70" i="15"/>
  <c r="Y74" i="15"/>
  <c r="AB103" i="15"/>
  <c r="AA59" i="15"/>
  <c r="AA13" i="15"/>
  <c r="Z84" i="15"/>
  <c r="AB82" i="15"/>
  <c r="X101" i="15"/>
  <c r="AB67" i="15"/>
  <c r="Y56" i="15"/>
  <c r="Y69" i="15"/>
  <c r="AB65" i="15"/>
  <c r="AB77" i="15"/>
  <c r="AA88" i="15"/>
  <c r="Z26" i="15"/>
  <c r="Z35" i="15"/>
  <c r="AB107" i="15"/>
  <c r="Z27" i="15"/>
  <c r="X11" i="15"/>
  <c r="Y24" i="15"/>
  <c r="Y32" i="15"/>
  <c r="Z38" i="15"/>
  <c r="Z96" i="15"/>
  <c r="AA74" i="15"/>
  <c r="AA111" i="15"/>
  <c r="Y17" i="15"/>
  <c r="Z54" i="15"/>
  <c r="Y97" i="15"/>
  <c r="X89" i="15"/>
  <c r="AB19" i="15"/>
  <c r="X102" i="15"/>
  <c r="AA44" i="15"/>
  <c r="X31" i="15"/>
  <c r="X77" i="15"/>
  <c r="Z107" i="15"/>
  <c r="AA83" i="15"/>
  <c r="X21" i="15"/>
  <c r="Y38" i="15"/>
  <c r="AA60" i="15"/>
  <c r="X50" i="15"/>
  <c r="AA79" i="15"/>
  <c r="X13" i="15"/>
  <c r="AB34" i="15"/>
  <c r="AA43" i="15"/>
  <c r="X63" i="15"/>
  <c r="AA87" i="15"/>
  <c r="Y46" i="15"/>
  <c r="AA22" i="15"/>
  <c r="AA77" i="15"/>
  <c r="Y36" i="15"/>
  <c r="Y23" i="15"/>
  <c r="AA91" i="15"/>
  <c r="X49" i="15"/>
  <c r="Y28" i="15"/>
  <c r="AA12" i="15"/>
  <c r="AA21" i="15"/>
  <c r="AB9" i="15"/>
  <c r="X60" i="15"/>
  <c r="Y90" i="15"/>
  <c r="Z79" i="15"/>
  <c r="Z17" i="15"/>
  <c r="Z34" i="15"/>
  <c r="Z43" i="15"/>
  <c r="AB89" i="15"/>
  <c r="X67" i="15"/>
  <c r="Z56" i="15"/>
  <c r="AB31" i="15"/>
  <c r="AB93" i="15"/>
  <c r="X5" i="15"/>
  <c r="Y16" i="15"/>
  <c r="AA63" i="15"/>
  <c r="AA65" i="15"/>
  <c r="AB88" i="15"/>
  <c r="Y14" i="15"/>
  <c r="AB36" i="15"/>
  <c r="AB26" i="15"/>
  <c r="Z23" i="15"/>
  <c r="AA68" i="15"/>
  <c r="Z78" i="15"/>
  <c r="Z95" i="15"/>
  <c r="Z98" i="15"/>
  <c r="AB25" i="15"/>
  <c r="Y76" i="15"/>
  <c r="Z110" i="15"/>
  <c r="AB3" i="15"/>
  <c r="AB104" i="15"/>
  <c r="AA71" i="15"/>
  <c r="X26" i="15"/>
  <c r="AA62" i="15"/>
  <c r="AA25" i="15"/>
  <c r="X38" i="15"/>
  <c r="Z6" i="15"/>
  <c r="Y15" i="15"/>
  <c r="Y63" i="15"/>
  <c r="Y39" i="15"/>
  <c r="X53" i="15"/>
  <c r="Y35" i="15"/>
  <c r="Z49" i="15"/>
  <c r="X12" i="15"/>
  <c r="Y33" i="15"/>
  <c r="Z106" i="15"/>
  <c r="AB17" i="15"/>
  <c r="Y89" i="15"/>
  <c r="Z44" i="15"/>
  <c r="X4" i="15"/>
  <c r="AB42" i="15"/>
  <c r="AA108" i="15"/>
  <c r="Y83" i="15"/>
  <c r="AB32" i="15"/>
  <c r="Y111" i="15"/>
  <c r="AA37" i="15"/>
  <c r="Y109" i="15"/>
  <c r="Y22" i="15"/>
  <c r="AB44" i="15"/>
  <c r="V48" i="15" l="1"/>
  <c r="V4" i="15"/>
  <c r="V93" i="15"/>
  <c r="V77" i="15"/>
  <c r="V18" i="15"/>
  <c r="V20" i="15"/>
  <c r="V105" i="15"/>
  <c r="V22" i="15"/>
  <c r="V65" i="15"/>
  <c r="V31" i="15"/>
  <c r="V39" i="15"/>
  <c r="V99" i="15"/>
  <c r="V46" i="15"/>
  <c r="V69" i="15"/>
  <c r="V44" i="15"/>
  <c r="V71" i="15"/>
  <c r="V5" i="15"/>
  <c r="V56" i="15"/>
  <c r="V75" i="15"/>
  <c r="V102" i="15"/>
  <c r="V87" i="15"/>
  <c r="V81" i="15"/>
  <c r="V67" i="15"/>
  <c r="V109" i="15"/>
  <c r="V19" i="15"/>
  <c r="V63" i="15"/>
  <c r="V41" i="15"/>
  <c r="V101" i="15"/>
  <c r="V94" i="15"/>
  <c r="V10" i="15"/>
  <c r="V89" i="15"/>
  <c r="V43" i="15"/>
  <c r="V82" i="15"/>
  <c r="V104" i="15"/>
  <c r="V29" i="15"/>
  <c r="V97" i="15"/>
  <c r="V37" i="15"/>
  <c r="V84" i="15"/>
  <c r="V34" i="15"/>
  <c r="V15" i="15"/>
  <c r="V54" i="15"/>
  <c r="V13" i="15"/>
  <c r="V100" i="15"/>
  <c r="V80" i="15"/>
  <c r="V17" i="15"/>
  <c r="V57" i="15"/>
  <c r="V59" i="15"/>
  <c r="V3" i="15"/>
  <c r="V16" i="15"/>
  <c r="V79" i="15"/>
  <c r="V6" i="15"/>
  <c r="V103" i="15"/>
  <c r="V111" i="15"/>
  <c r="V73" i="15"/>
  <c r="V50" i="15"/>
  <c r="V106" i="15"/>
  <c r="V74" i="15"/>
  <c r="V90" i="15"/>
  <c r="V86" i="15"/>
  <c r="V110" i="15"/>
  <c r="V96" i="15"/>
  <c r="V70" i="15"/>
  <c r="V60" i="15"/>
  <c r="V61" i="15"/>
  <c r="V47" i="15"/>
  <c r="V38" i="15"/>
  <c r="V9" i="15"/>
  <c r="V66" i="15"/>
  <c r="V33" i="15"/>
  <c r="V52" i="15"/>
  <c r="V32" i="15"/>
  <c r="V76" i="15"/>
  <c r="V8" i="15"/>
  <c r="V21" i="15"/>
  <c r="V7" i="15"/>
  <c r="V24" i="15"/>
  <c r="V92" i="15"/>
  <c r="V40" i="15"/>
  <c r="V25" i="15"/>
  <c r="V12" i="15"/>
  <c r="V11" i="15"/>
  <c r="V83" i="15"/>
  <c r="V28" i="15"/>
  <c r="V30" i="15"/>
  <c r="V27" i="15"/>
  <c r="V55" i="15"/>
  <c r="V98" i="15"/>
  <c r="V49" i="15"/>
  <c r="V51" i="15"/>
  <c r="V95" i="15"/>
  <c r="V85" i="15"/>
  <c r="V107" i="15"/>
  <c r="V62" i="15"/>
  <c r="V58" i="15"/>
  <c r="V91" i="15"/>
  <c r="V78" i="15"/>
  <c r="V64" i="15"/>
  <c r="V35" i="15"/>
  <c r="V108" i="15"/>
  <c r="V68" i="15"/>
  <c r="V23" i="15"/>
  <c r="V72" i="15"/>
  <c r="V26" i="15"/>
  <c r="V36" i="15"/>
  <c r="V45" i="15"/>
  <c r="V14" i="15"/>
  <c r="V42" i="15"/>
  <c r="V53" i="15"/>
  <c r="V88" i="15"/>
  <c r="I13" i="1"/>
  <c r="AC2" i="15" a="1"/>
  <c r="H22" i="1"/>
  <c r="I22" i="1"/>
  <c r="H21" i="1"/>
  <c r="I21" i="1" s="1"/>
  <c r="I14" i="1"/>
  <c r="I23" i="1"/>
  <c r="AC60" i="15" l="1"/>
  <c r="AC79" i="15"/>
  <c r="AC72" i="15"/>
  <c r="AC6" i="15"/>
  <c r="AC81" i="15"/>
  <c r="AC12" i="15"/>
  <c r="AC68" i="15"/>
  <c r="AC45" i="15"/>
  <c r="AC100" i="15"/>
  <c r="AC63" i="15"/>
  <c r="AC47" i="15"/>
  <c r="AC55" i="15"/>
  <c r="AC37" i="15"/>
  <c r="AC19" i="15"/>
  <c r="AC22" i="15"/>
  <c r="AC43" i="15"/>
  <c r="AC25" i="15"/>
  <c r="AC77" i="15"/>
  <c r="AC57" i="15"/>
  <c r="AC27" i="15"/>
  <c r="AC3" i="15"/>
  <c r="AC104" i="15"/>
  <c r="AC39" i="15"/>
  <c r="AC62" i="15"/>
  <c r="AC71" i="15"/>
  <c r="AC34" i="15"/>
  <c r="AC109" i="15"/>
  <c r="AC89" i="15"/>
  <c r="AC10" i="15"/>
  <c r="AC58" i="15"/>
  <c r="AC110" i="15"/>
  <c r="AC11" i="15"/>
  <c r="AC48" i="15"/>
  <c r="AC13" i="15"/>
  <c r="AC90" i="15"/>
  <c r="AC24" i="15"/>
  <c r="AC70" i="15"/>
  <c r="AC67" i="15"/>
  <c r="AC4" i="15"/>
  <c r="AC15" i="15"/>
  <c r="AC86" i="15"/>
  <c r="AC38" i="15"/>
  <c r="AC17" i="15"/>
  <c r="AC84" i="15"/>
  <c r="AC35" i="15"/>
  <c r="AC40" i="15"/>
  <c r="AC107" i="15"/>
  <c r="AC97" i="15"/>
  <c r="AC53" i="15"/>
  <c r="AC111" i="15"/>
  <c r="AC26" i="15"/>
  <c r="AC16" i="15"/>
  <c r="AC56" i="15"/>
  <c r="AC99" i="15"/>
  <c r="AC29" i="15"/>
  <c r="AC23" i="15"/>
  <c r="AC18" i="15"/>
  <c r="AC66" i="15"/>
  <c r="AC80" i="15"/>
  <c r="AC103" i="15"/>
  <c r="AC46" i="15"/>
  <c r="AC31" i="15"/>
  <c r="AC83" i="15"/>
  <c r="AC36" i="15"/>
  <c r="AC73" i="15"/>
  <c r="AC42" i="15"/>
  <c r="AC20" i="15"/>
  <c r="AC7" i="15"/>
  <c r="AC30" i="15"/>
  <c r="AC61" i="15"/>
  <c r="AC21" i="15"/>
  <c r="AC74" i="15"/>
  <c r="AC105" i="15"/>
  <c r="AC102" i="15"/>
  <c r="AC65" i="15"/>
  <c r="AC91" i="15"/>
  <c r="AC59" i="15"/>
  <c r="AC5" i="15"/>
  <c r="AC76" i="15"/>
  <c r="AC69" i="15"/>
  <c r="AC94" i="15"/>
  <c r="AC108" i="15"/>
  <c r="AC78" i="15"/>
  <c r="AC75" i="15"/>
  <c r="AC41" i="15"/>
  <c r="AC44" i="15"/>
  <c r="AC33" i="15"/>
  <c r="AC32" i="15"/>
  <c r="AC64" i="15"/>
  <c r="AC51" i="15"/>
  <c r="AC14" i="15"/>
  <c r="AC49" i="15"/>
  <c r="AC101" i="15"/>
  <c r="AC96" i="15"/>
  <c r="AC8" i="15"/>
  <c r="AC106" i="15"/>
  <c r="AC88" i="15"/>
  <c r="AC50" i="15"/>
  <c r="AC82" i="15"/>
  <c r="AC93" i="15"/>
  <c r="AC2" i="15"/>
  <c r="AC85" i="15"/>
  <c r="AC28" i="15"/>
  <c r="AC54" i="15"/>
  <c r="AC52" i="15"/>
  <c r="AC95" i="15"/>
  <c r="AC87" i="15"/>
  <c r="AC98" i="15"/>
  <c r="AC9" i="15"/>
  <c r="AC92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<sst xmlns="http://schemas.openxmlformats.org/spreadsheetml/2006/main" count="2029" uniqueCount="170">
  <si>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</si>
  <si>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</si>
  <si>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</si>
  <si>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</si>
  <si>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</si>
  <si>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</si>
  <si>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</si>
  <si>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</si>
  <si>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</si>
  <si>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</si>
  <si>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</si>
  <si>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</si>
  <si>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</si>
  <si>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</si>
  <si>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</si>
  <si>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</si>
  <si>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</si>
  <si>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</si>
  <si>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</si>
  <si>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</si>
  <si>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</si>
  <si>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</si>
  <si>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</si>
  <si>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</si>
  <si>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</si>
  <si>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</si>
  <si>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</si>
  <si>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</si>
  <si>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</si>
  <si>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</si>
  <si>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</si>
  <si>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</si>
  <si>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</si>
  <si>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</si>
  <si>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</si>
  <si>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</si>
  <si>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</si>
  <si>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</si>
  <si>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</si>
  <si>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</si>
  <si>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</si>
  <si>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</si>
  <si>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</si>
  <si>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</si>
  <si>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</si>
  <si>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</si>
  <si>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</si>
  <si>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</si>
  <si>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</si>
  <si>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</si>
  <si>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</si>
  <si>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</si>
  <si>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</si>
  <si>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</si>
  <si>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</si>
  <si>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</si>
  <si>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</si>
  <si>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</si>
  <si>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</si>
  <si>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</si>
  <si>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</si>
  <si>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</si>
  <si>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</si>
  <si>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</si>
  <si>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</si>
  <si>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</si>
  <si>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</si>
  <si>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</si>
  <si>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</si>
  <si>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</si>
  <si>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</si>
  <si>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</si>
  <si>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</si>
  <si>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</si>
  <si>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</si>
  <si>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</si>
  <si>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</si>
  <si>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</si>
  <si>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</si>
  <si>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</si>
  <si>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</si>
  <si>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</si>
  <si>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</si>
  <si>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</si>
  <si>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</si>
  <si>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</si>
  <si>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</si>
  <si>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</si>
  <si>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</si>
  <si>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</si>
  <si>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</si>
  <si>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</si>
  <si>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</si>
  <si>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</si>
  <si>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</si>
  <si>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</si>
  <si>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</si>
  <si>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</si>
  <si>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</si>
  <si>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</si>
  <si>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</si>
  <si>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</si>
  <si>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</si>
  <si>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</si>
  <si>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</si>
  <si>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</si>
  <si>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</si>
  <si>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</si>
  <si>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</si>
  <si>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</si>
  <si>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</si>
  <si>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</si>
  <si>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</si>
  <si>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</si>
  <si>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</si>
  <si>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</si>
  <si>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</si>
  <si>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</si>
  <si>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</si>
  <si>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qlFraRateHelper(,H12,B12&amp;"M",G12,PillarDate,,Permanent,Trigger,ObjectOverwrite)</t>
  </si>
  <si>
    <t>12M</t>
  </si>
  <si>
    <t>BasSw</t>
  </si>
  <si>
    <t>Extrapolation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</si>
  <si>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</si>
  <si>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</si>
  <si>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</si>
  <si>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</si>
  <si>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</si>
  <si>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</si>
  <si>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</si>
  <si>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</si>
  <si>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</si>
  <si>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</si>
  <si>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tau</t>
  </si>
  <si>
    <t>Size</t>
  </si>
  <si>
    <t>AUD</t>
  </si>
  <si>
    <t>Australia</t>
  </si>
  <si>
    <t>Aonia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</si>
  <si>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</si>
  <si>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</si>
  <si>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</si>
  <si>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</si>
  <si>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</si>
  <si>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</si>
  <si>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</si>
  <si>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</si>
  <si>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</si>
  <si>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</si>
  <si>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</si>
  <si>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</si>
  <si>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</si>
  <si>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</si>
  <si>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</si>
  <si>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</si>
  <si>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</si>
  <si>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</si>
  <si>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MTOIS</t>
  </si>
  <si>
    <t>BBSW</t>
  </si>
  <si>
    <t>Half-Month Modified Following</t>
  </si>
  <si>
    <t>Actual/365 (Fixed)</t>
  </si>
  <si>
    <t>ASX</t>
  </si>
  <si>
    <t>Quarterly</t>
  </si>
  <si>
    <t>QM</t>
  </si>
  <si>
    <t>3AB</t>
  </si>
  <si>
    <t>Semiannual</t>
  </si>
  <si>
    <t>SM</t>
  </si>
  <si>
    <t>6AB</t>
  </si>
  <si>
    <t>qlFraRateHelper(,H15,B15&amp;"M",G15,PillarDate,,Permanent,Trigger,ObjectOverwrite)</t>
  </si>
  <si>
    <t>qlFraRateHelper(,E4,C4,D4,PillarDate,,Permanent,Trigger,ObjectOverwrite)</t>
  </si>
  <si>
    <t>qlDepositRateHelper(,E3,D3,Permanent,Trigger,ObjectOverwrite)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</si>
</sst>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92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66" fontId="5" fillId="6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5" fillId="8" borderId="0" xfId="0" applyNumberFormat="1" applyFont="1" applyFill="1"/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72" fontId="3" fillId="9" borderId="2" xfId="1" applyNumberFormat="1" applyFont="1" applyFill="1" applyBorder="1" applyAlignment="1">
      <alignment horizontal="center"/>
    </xf>
    <xf numFmtId="178" fontId="5" fillId="8" borderId="0" xfId="0" applyNumberFormat="1" applyFont="1" applyFill="1"/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sheetDataSet>
      <sheetData sheetId="0"/>
      <sheetData sheetId="1">
        <row r="4">
          <cell r="J4" t="str">
            <v>AUDON#0000</v>
          </cell>
        </row>
        <row r="5">
          <cell r="J5" t="str">
            <v>AUD1M#0000</v>
          </cell>
        </row>
        <row r="7">
          <cell r="J7" t="str">
            <v>AUD3M#0000</v>
          </cell>
        </row>
        <row r="10">
          <cell r="J10" t="str">
            <v>AUD6M#0000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43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21</v>
      </c>
      <c r="D3" s="85" t="s">
        <v>135</v>
      </c>
      <c r="E3" s="89"/>
      <c r="G3" s="91"/>
      <c r="H3" s="13" t="s">
        <v>29</v>
      </c>
      <c r="I3" s="14">
        <f>_xll.qlSettingsEvaluationDate(Trigger)</f>
        <v>42355</v>
      </c>
      <c r="J3" s="89"/>
    </row>
    <row r="4" spans="1:10" ht="11.25" customHeight="1" x14ac:dyDescent="0.2">
      <c r="B4" s="91"/>
      <c r="C4" s="15" t="s">
        <v>18</v>
      </c>
      <c r="D4" s="17" t="b">
        <v>1</v>
      </c>
      <c r="E4" s="89"/>
      <c r="G4" s="91"/>
      <c r="H4" s="15" t="s">
        <v>30</v>
      </c>
      <c r="I4" s="16">
        <f>_xll.qlCalendarAdvance(Calendar,Evaluationdate,"1D","F",,Trigger)</f>
        <v>42356</v>
      </c>
      <c r="J4" s="89"/>
    </row>
    <row r="5" spans="1:10" ht="11.25" customHeight="1" x14ac:dyDescent="0.2">
      <c r="A5" s="51"/>
      <c r="B5" s="92"/>
      <c r="C5" s="20" t="s">
        <v>17</v>
      </c>
      <c r="D5" s="21"/>
      <c r="E5" s="89"/>
      <c r="G5" s="91"/>
      <c r="H5" s="15" t="s">
        <v>13</v>
      </c>
      <c r="I5" s="16" t="s">
        <v>136</v>
      </c>
      <c r="J5" s="89"/>
    </row>
    <row r="6" spans="1:10" ht="11.25" customHeight="1" x14ac:dyDescent="0.2">
      <c r="A6" s="51"/>
      <c r="B6" s="92"/>
      <c r="C6" s="15" t="s">
        <v>19</v>
      </c>
      <c r="D6" s="17" t="b">
        <v>1</v>
      </c>
      <c r="E6" s="89"/>
      <c r="G6" s="91"/>
      <c r="H6" s="173"/>
      <c r="I6" s="173"/>
      <c r="J6" s="89"/>
    </row>
    <row r="7" spans="1:10" ht="11.25" customHeight="1" x14ac:dyDescent="0.2">
      <c r="A7" s="51"/>
      <c r="B7" s="92"/>
      <c r="C7" s="15" t="s">
        <v>20</v>
      </c>
      <c r="D7" s="18" t="str">
        <f>Currency&amp;"ON"</f>
        <v>AUDON</v>
      </c>
      <c r="E7" s="89"/>
      <c r="G7" s="91"/>
      <c r="H7" s="13" t="s">
        <v>34</v>
      </c>
      <c r="I7" s="169" t="s">
        <v>157</v>
      </c>
      <c r="J7" s="89"/>
    </row>
    <row r="8" spans="1:10" ht="11.25" customHeight="1" x14ac:dyDescent="0.2">
      <c r="A8" s="51"/>
      <c r="B8" s="93"/>
      <c r="C8" s="19" t="s">
        <v>78</v>
      </c>
      <c r="D8" s="190" t="s">
        <v>79</v>
      </c>
      <c r="E8" s="89"/>
      <c r="G8" s="91"/>
      <c r="H8" s="15" t="s">
        <v>71</v>
      </c>
      <c r="I8" s="170" t="s">
        <v>72</v>
      </c>
      <c r="J8" s="89"/>
    </row>
    <row r="9" spans="1:10" ht="11.25" customHeight="1" x14ac:dyDescent="0.2">
      <c r="B9" s="93"/>
      <c r="C9" s="172"/>
      <c r="D9" s="172"/>
      <c r="E9" s="89"/>
      <c r="G9" s="91"/>
      <c r="H9" s="19" t="s">
        <v>131</v>
      </c>
      <c r="I9" s="171" t="s">
        <v>130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9</v>
      </c>
      <c r="D13" s="42" t="str">
        <f>_xll.qlPiecewiseYieldCurve($D$15,$D$16,Calendar,_xll.ohPack(RateHelpersON),,,,D17,D18,D19,Permanent,,ObjectOverwrite)</f>
        <v>_AUDON#0001</v>
      </c>
      <c r="E13" s="43"/>
      <c r="G13" s="23"/>
      <c r="H13" s="22" t="s">
        <v>9</v>
      </c>
      <c r="I13" s="42" t="str">
        <f>_xll.qlPiecewiseYieldCurve(I15,I16,Calendar,_xll.ohPack(RateHelpers3M),,,,I17,I18,I19,Permanent,,ObjectOverwrite)</f>
        <v>_AUD3M#0002</v>
      </c>
      <c r="J13" s="43"/>
    </row>
    <row r="14" spans="1:10" x14ac:dyDescent="0.2">
      <c r="B14" s="23"/>
      <c r="C14" s="24" t="s">
        <v>10</v>
      </c>
      <c r="D14" s="44" t="str">
        <f>_xll.ohRangeRetrieveError(YieldCurve_ON)</f>
        <v/>
      </c>
      <c r="E14" s="43"/>
      <c r="G14" s="23"/>
      <c r="H14" s="24" t="s">
        <v>10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11</v>
      </c>
      <c r="D15" s="25" t="str">
        <f>"_"&amp;Currency&amp;"ON"</f>
        <v>_AUDON</v>
      </c>
      <c r="E15" s="43"/>
      <c r="G15" s="23"/>
      <c r="H15" s="22" t="s">
        <v>11</v>
      </c>
      <c r="I15" s="25" t="str">
        <f>"_"&amp;Currency&amp;"3M"</f>
        <v>_AUD3M</v>
      </c>
      <c r="J15" s="43"/>
    </row>
    <row r="16" spans="1:10" x14ac:dyDescent="0.2">
      <c r="B16" s="23"/>
      <c r="C16" s="26" t="s">
        <v>12</v>
      </c>
      <c r="D16" s="27">
        <v>0</v>
      </c>
      <c r="E16" s="43"/>
      <c r="G16" s="23"/>
      <c r="H16" s="26" t="s">
        <v>12</v>
      </c>
      <c r="I16" s="27">
        <v>0</v>
      </c>
      <c r="J16" s="43"/>
    </row>
    <row r="17" spans="1:10" x14ac:dyDescent="0.2">
      <c r="B17" s="23"/>
      <c r="C17" s="26" t="s">
        <v>14</v>
      </c>
      <c r="D17" s="28"/>
      <c r="E17" s="43"/>
      <c r="G17" s="23"/>
      <c r="H17" s="26" t="s">
        <v>14</v>
      </c>
      <c r="I17" s="28"/>
      <c r="J17" s="43"/>
    </row>
    <row r="18" spans="1:10" x14ac:dyDescent="0.2">
      <c r="B18" s="23"/>
      <c r="C18" s="26" t="s">
        <v>15</v>
      </c>
      <c r="D18" s="29" t="s">
        <v>31</v>
      </c>
      <c r="E18" s="43"/>
      <c r="G18" s="23"/>
      <c r="H18" s="26" t="s">
        <v>15</v>
      </c>
      <c r="I18" s="29" t="s">
        <v>31</v>
      </c>
      <c r="J18" s="43"/>
    </row>
    <row r="19" spans="1:10" x14ac:dyDescent="0.2">
      <c r="B19" s="23"/>
      <c r="C19" s="24" t="s">
        <v>16</v>
      </c>
      <c r="D19" s="30" t="s">
        <v>36</v>
      </c>
      <c r="E19" s="43"/>
      <c r="G19" s="23"/>
      <c r="H19" s="24" t="s">
        <v>16</v>
      </c>
      <c r="I19" s="30" t="s">
        <v>36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42355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42355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53314</v>
      </c>
      <c r="D22" s="35">
        <f>_xll.qlYieldTSDiscount(YieldCurve_ON,C22,,Trigger)</f>
        <v>0.37658660681855183</v>
      </c>
      <c r="E22" s="43"/>
      <c r="G22" s="23"/>
      <c r="H22" s="34">
        <f>_xll.qlTermStructureMaxDate(YieldCurve_3M,Trigger)</f>
        <v>53314</v>
      </c>
      <c r="I22" s="35">
        <f>_xll.qlYieldTSDiscount(YieldCurve_3M,H22,,Trigger)</f>
        <v>0.35094852049820063</v>
      </c>
      <c r="J22" s="43"/>
    </row>
    <row r="23" spans="1:10" x14ac:dyDescent="0.2">
      <c r="B23" s="23"/>
      <c r="C23" s="34" t="str">
        <f>[1]BBSW!$J$4</f>
        <v>AUDON#0000</v>
      </c>
      <c r="D23" s="35" t="b">
        <f>_xll.qlRelinkableHandleLinkTo(C23,D13,Trigger)</f>
        <v>1</v>
      </c>
      <c r="E23" s="43"/>
      <c r="G23" s="23"/>
      <c r="H23" s="34" t="str">
        <f>[1]BBSW!$J$7</f>
        <v>AUD3M#0000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122</v>
      </c>
      <c r="D24" s="37" t="b">
        <f>_xll.qlExtrapolatorEnableExtrapolation(YieldCurve_ON,TRUE,Trigger)</f>
        <v>1</v>
      </c>
      <c r="E24" s="43"/>
      <c r="G24" s="23"/>
      <c r="H24" s="36" t="s">
        <v>122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9</v>
      </c>
      <c r="D28" s="42" t="str">
        <f>_xll.qlPiecewiseYieldCurve(D30,D31,Calendar,_xll.ohPack(RateHelpers6M),,,,D32,D33,D34,Permanent,,ObjectOverwrite)</f>
        <v>_AUD6M#0001</v>
      </c>
      <c r="E28" s="43"/>
      <c r="F28" s="50"/>
      <c r="G28" s="23"/>
      <c r="H28" s="22" t="s">
        <v>9</v>
      </c>
      <c r="I28" s="42" t="str">
        <f>_xll.qlPiecewiseYieldCurve(I30,I31,Calendar,_xll.ohPack(RateHelpers1M),,,,I32,I33,I34,Permanent,,ObjectOverwrite)</f>
        <v>_AUD1M#0001</v>
      </c>
      <c r="J28" s="43"/>
    </row>
    <row r="29" spans="1:10" x14ac:dyDescent="0.2">
      <c r="B29" s="41"/>
      <c r="C29" s="24" t="s">
        <v>10</v>
      </c>
      <c r="D29" s="44" t="str">
        <f>_xll.ohRangeRetrieveError(YieldCurve_6M)</f>
        <v/>
      </c>
      <c r="E29" s="43"/>
      <c r="F29" s="50"/>
      <c r="G29" s="23"/>
      <c r="H29" s="24" t="s">
        <v>10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11</v>
      </c>
      <c r="D30" s="25" t="str">
        <f>"_"&amp;Currency&amp;"6M"</f>
        <v>_AUD6M</v>
      </c>
      <c r="E30" s="43"/>
      <c r="F30" s="50"/>
      <c r="G30" s="23"/>
      <c r="H30" s="22" t="s">
        <v>11</v>
      </c>
      <c r="I30" s="25" t="str">
        <f>"_"&amp;Currency&amp;"1M"</f>
        <v>_AUD1M</v>
      </c>
      <c r="J30" s="43"/>
    </row>
    <row r="31" spans="1:10" x14ac:dyDescent="0.2">
      <c r="B31" s="23"/>
      <c r="C31" s="26" t="s">
        <v>12</v>
      </c>
      <c r="D31" s="27">
        <v>0</v>
      </c>
      <c r="E31" s="43"/>
      <c r="F31" s="50"/>
      <c r="G31" s="23"/>
      <c r="H31" s="26" t="s">
        <v>12</v>
      </c>
      <c r="I31" s="27">
        <v>0</v>
      </c>
      <c r="J31" s="43"/>
    </row>
    <row r="32" spans="1:10" x14ac:dyDescent="0.2">
      <c r="B32" s="23"/>
      <c r="C32" s="26" t="s">
        <v>14</v>
      </c>
      <c r="D32" s="28"/>
      <c r="E32" s="43"/>
      <c r="F32" s="50"/>
      <c r="G32" s="23"/>
      <c r="H32" s="26" t="s">
        <v>14</v>
      </c>
      <c r="I32" s="28"/>
      <c r="J32" s="43"/>
    </row>
    <row r="33" spans="2:10" x14ac:dyDescent="0.2">
      <c r="B33" s="23"/>
      <c r="C33" s="26" t="s">
        <v>15</v>
      </c>
      <c r="D33" s="29" t="s">
        <v>31</v>
      </c>
      <c r="E33" s="43"/>
      <c r="F33" s="50"/>
      <c r="G33" s="23"/>
      <c r="H33" s="26" t="s">
        <v>15</v>
      </c>
      <c r="I33" s="29" t="s">
        <v>31</v>
      </c>
      <c r="J33" s="43"/>
    </row>
    <row r="34" spans="2:10" x14ac:dyDescent="0.2">
      <c r="B34" s="23"/>
      <c r="C34" s="24" t="s">
        <v>16</v>
      </c>
      <c r="D34" s="30" t="s">
        <v>36</v>
      </c>
      <c r="E34" s="43"/>
      <c r="F34" s="50"/>
      <c r="G34" s="23"/>
      <c r="H34" s="24" t="s">
        <v>16</v>
      </c>
      <c r="I34" s="30" t="s">
        <v>36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42355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42355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53314</v>
      </c>
      <c r="D37" s="35">
        <f>_xll.qlYieldTSDiscount(YieldCurve_6M,C37,,Trigger)</f>
        <v>0.34846080696832393</v>
      </c>
      <c r="E37" s="43"/>
      <c r="F37" s="50"/>
      <c r="G37" s="23"/>
      <c r="H37" s="34">
        <f>_xll.qlTermStructureMaxDate(YieldCurve_1M,Trigger)</f>
        <v>53314</v>
      </c>
      <c r="I37" s="35">
        <f>_xll.qlYieldTSDiscount(YieldCurve_1M,H37,,Trigger)</f>
        <v>0.3672170811838209</v>
      </c>
      <c r="J37" s="43"/>
    </row>
    <row r="38" spans="2:10" x14ac:dyDescent="0.2">
      <c r="B38" s="23"/>
      <c r="C38" s="34" t="str">
        <f>[1]BBSW!$J$10</f>
        <v>AUD6M#0000</v>
      </c>
      <c r="D38" s="35" t="b">
        <f>_xll.qlRelinkableHandleLinkTo(C38,D28,Trigger)</f>
        <v>1</v>
      </c>
      <c r="E38" s="43"/>
      <c r="F38" s="50"/>
      <c r="G38" s="23"/>
      <c r="H38" s="34" t="str">
        <f>[1]BBSW!$J$5</f>
        <v>AUD1M#0000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122</v>
      </c>
      <c r="D39" s="37" t="b">
        <v>0</v>
      </c>
      <c r="E39" s="43"/>
      <c r="F39" s="50"/>
      <c r="G39" s="23"/>
      <c r="H39" s="36" t="s">
        <v>122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F42" s="50"/>
    </row>
    <row r="43" spans="2:10" x14ac:dyDescent="0.2">
      <c r="F43" s="50"/>
    </row>
  </sheetData>
  <dataValidations count="5">
    <dataValidation type="list" allowBlank="1" showInputMessage="1" showErrorMessage="1" sqref="D33 D18 I18 I33">
      <formula1>"Discount,ZeroYield,ForwardRate"</formula1>
    </dataValidation>
    <dataValidation type="list" allowBlank="1" showInputMessage="1" showErrorMessage="1" sqref="D34 D19 I19 I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I5">
      <formula1>"NullCalendar,Australia,China,HongKong::HKEx,Sweden,CzechRepublic::PSE,Poland,Hungary,SouthKorea::KRX,Israel::Settlement"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117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11" style="53" hidden="1" customWidth="1" outlineLevel="1"/>
    <col min="4" max="4" width="12" style="55" hidden="1" customWidth="1" outlineLevel="1"/>
    <col min="5" max="5" width="21.42578125" style="49" hidden="1" customWidth="1" outlineLevel="1"/>
    <col min="6" max="6" width="15.140625" style="49" hidden="1" customWidth="1" outlineLevel="1"/>
    <col min="7" max="7" width="2.7109375" style="49" customWidth="1" collapsed="1"/>
    <col min="8" max="8" width="6" style="49" hidden="1" customWidth="1" outlineLevel="1"/>
    <col min="9" max="9" width="15.140625" style="107" hidden="1" customWidth="1" outlineLevel="1"/>
    <col min="10" max="10" width="21.42578125" style="107" hidden="1" customWidth="1" outlineLevel="1"/>
    <col min="11" max="11" width="12" style="107" hidden="1" customWidth="1" outlineLevel="1"/>
    <col min="12" max="12" width="7.85546875" style="107" hidden="1" customWidth="1" outlineLevel="1"/>
    <col min="13" max="13" width="9" style="107" hidden="1" customWidth="1" outlineLevel="1"/>
    <col min="14" max="14" width="5.85546875" style="107" hidden="1" customWidth="1" outlineLevel="1"/>
    <col min="15" max="16" width="10.7109375" style="107" hidden="1" customWidth="1" outlineLevel="1"/>
    <col min="17" max="17" width="2.7109375" style="51" hidden="1" customWidth="1" outlineLevel="1"/>
    <col min="18" max="18" width="6" style="49" customWidth="1" collapsed="1"/>
    <col min="19" max="19" width="10.140625" style="49" hidden="1" customWidth="1" outlineLevel="1"/>
    <col min="20" max="20" width="24.7109375" style="49" customWidth="1" collapsed="1"/>
    <col min="21" max="22" width="9.7109375" style="49" customWidth="1"/>
    <col min="23" max="24" width="17.28515625" style="49" bestFit="1" customWidth="1"/>
    <col min="25" max="25" width="12" style="49" bestFit="1" customWidth="1"/>
    <col min="26" max="27" width="2.7109375" style="49" customWidth="1"/>
    <col min="28" max="28" width="24.42578125" style="49" bestFit="1" customWidth="1"/>
    <col min="29" max="29" width="24.42578125" style="49" hidden="1" customWidth="1" outlineLevel="1"/>
    <col min="30" max="30" width="7" style="49" hidden="1" customWidth="1" outlineLevel="1"/>
    <col min="31" max="31" width="11" style="49" hidden="1" customWidth="1" outlineLevel="1"/>
    <col min="32" max="32" width="9" style="49" bestFit="1" customWidth="1" collapsed="1"/>
    <col min="33" max="33" width="10" style="49" customWidth="1"/>
    <col min="34" max="35" width="24.42578125" style="49" bestFit="1" customWidth="1"/>
    <col min="36" max="16384" width="9.140625" style="49"/>
  </cols>
  <sheetData>
    <row r="1" spans="1:34" ht="18" customHeight="1" x14ac:dyDescent="0.2">
      <c r="D1" s="53" t="s">
        <v>137</v>
      </c>
      <c r="H1" s="70" t="s">
        <v>24</v>
      </c>
      <c r="I1" s="110"/>
      <c r="J1" s="110"/>
      <c r="K1" s="110"/>
      <c r="L1" s="110"/>
      <c r="M1" s="110"/>
      <c r="N1" s="110"/>
      <c r="O1" s="110"/>
      <c r="P1" s="100"/>
      <c r="Q1" s="97"/>
      <c r="R1" s="78" t="str">
        <f>Currency&amp;"OIS"</f>
        <v>AUDOIS</v>
      </c>
      <c r="S1" s="69"/>
      <c r="T1" s="69"/>
      <c r="U1" s="72"/>
      <c r="V1" s="72"/>
      <c r="W1" s="69"/>
      <c r="X1" s="69"/>
      <c r="Y1" s="76" t="s">
        <v>31</v>
      </c>
    </row>
    <row r="2" spans="1:34" ht="21.75" customHeight="1" x14ac:dyDescent="0.2">
      <c r="A2" s="68" t="s">
        <v>8</v>
      </c>
      <c r="B2" s="68" t="s">
        <v>28</v>
      </c>
      <c r="C2" s="68" t="s">
        <v>77</v>
      </c>
      <c r="D2" s="68" t="s">
        <v>4</v>
      </c>
      <c r="E2" s="68" t="s">
        <v>1</v>
      </c>
      <c r="F2" s="68" t="s">
        <v>24</v>
      </c>
      <c r="H2" s="77" t="s">
        <v>8</v>
      </c>
      <c r="I2" s="77" t="s">
        <v>24</v>
      </c>
      <c r="J2" s="77" t="s">
        <v>81</v>
      </c>
      <c r="K2" s="77" t="s">
        <v>84</v>
      </c>
      <c r="L2" s="77" t="s">
        <v>82</v>
      </c>
      <c r="M2" s="77" t="s">
        <v>83</v>
      </c>
      <c r="N2" s="77" t="s">
        <v>85</v>
      </c>
      <c r="O2" s="77" t="s">
        <v>22</v>
      </c>
      <c r="P2" s="77" t="s">
        <v>78</v>
      </c>
      <c r="Q2" s="97"/>
      <c r="R2" s="77" t="s">
        <v>8</v>
      </c>
      <c r="S2" s="77" t="s">
        <v>24</v>
      </c>
      <c r="T2" s="77" t="s">
        <v>81</v>
      </c>
      <c r="U2" s="79" t="s">
        <v>23</v>
      </c>
      <c r="V2" s="79" t="s">
        <v>86</v>
      </c>
      <c r="W2" s="77" t="s">
        <v>22</v>
      </c>
      <c r="X2" s="77" t="s">
        <v>78</v>
      </c>
      <c r="Y2" s="80">
        <f t="array" ref="Y2:Y113">_xll.qlPiecewiseYieldCurveData(YieldCurve_ON,Trigger)</f>
        <v>1</v>
      </c>
      <c r="Z2" s="175"/>
      <c r="AB2" s="176" t="s">
        <v>87</v>
      </c>
      <c r="AC2" s="177"/>
      <c r="AD2" s="177"/>
      <c r="AE2" s="177"/>
      <c r="AF2" s="178"/>
    </row>
    <row r="3" spans="1:34" ht="11.25" customHeight="1" x14ac:dyDescent="0.2">
      <c r="A3" s="56" t="s">
        <v>26</v>
      </c>
      <c r="B3" s="57" t="s">
        <v>37</v>
      </c>
      <c r="C3" s="59" t="s">
        <v>6</v>
      </c>
      <c r="D3" s="58" t="str">
        <f>$D$1</f>
        <v>Aonia</v>
      </c>
      <c r="E3" s="60" t="str">
        <f>Currency&amp;$B3&amp;"D"&amp;QuoteSuffix</f>
        <v>AUDOND_Quote</v>
      </c>
      <c r="F3" s="61" t="s">
        <v>169</v>
      </c>
      <c r="G3" s="52"/>
      <c r="H3" s="10" t="str">
        <f>A3</f>
        <v>Dp</v>
      </c>
      <c r="I3" s="98" t="str">
        <f>IF(ISBLANK(F3),"--",F3)</f>
        <v>qlDepositRateHelper(,E3,D3,Permanent,Trigger,ObjectOverwrite)</v>
      </c>
      <c r="J3" s="144" t="str">
        <f>IFERROR(_xll.qlRateHelperQuoteName(I3,Trigger),"--")</f>
        <v>--</v>
      </c>
      <c r="K3" s="102" t="str">
        <f>IFERROR(_xll.qlRateHelperQuoteValue($I3,Trigger),"--")</f>
        <v>--</v>
      </c>
      <c r="L3" s="101" t="b">
        <v>0</v>
      </c>
      <c r="M3" s="98">
        <v>70</v>
      </c>
      <c r="N3" s="98">
        <v>1</v>
      </c>
      <c r="O3" s="103" t="str">
        <f>IFERROR(_xll.qlRateHelperEarliestDate(I3,Trigger),"--")</f>
        <v>--</v>
      </c>
      <c r="P3" s="103" t="str">
        <f>IFERROR(_xll.qlRateHelperPillarDate(I3,Trigger),"--")</f>
        <v>--</v>
      </c>
      <c r="R3" s="4" t="str">
        <f>IFERROR(INDEX($H$3:$H$113,MATCH(T3,$J$3:$J$113,0),1),"")</f>
        <v>OIS</v>
      </c>
      <c r="S3" s="4" t="str">
        <f t="array" ref="S3:S113">_xll.qlRateHelperSelection(_xll.ohFilter(RateHelpers,IncludeFlag),_xll.ohFilter(Priority,IncludeFlag),AF3,AF4,AF5,AF6,_xll.ohFilter(MinDistance,IncludeFlag),Trigger)</f>
        <v>obj_0024a</v>
      </c>
      <c r="T3" s="4" t="str">
        <f>IFERROR(_xll.qlRateHelperQuoteName(S3,Trigger),"")</f>
        <v>AUDOISSW_Quote</v>
      </c>
      <c r="U3" s="73">
        <f>IFERROR(_xll.qlRateHelperRate(S3,Trigger),"")</f>
        <v>0.02</v>
      </c>
      <c r="V3" s="108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42356</v>
      </c>
      <c r="X3" s="5">
        <f>IFERROR(_xll.qlRateHelperPillarDate(S3,Trigger),"")</f>
        <v>42367</v>
      </c>
      <c r="Y3" s="81">
        <v>0.9993428744566657</v>
      </c>
      <c r="Z3" s="175"/>
      <c r="AB3" s="111" t="s">
        <v>88</v>
      </c>
      <c r="AF3" s="112">
        <v>0</v>
      </c>
    </row>
    <row r="4" spans="1:34" ht="11.25" customHeight="1" x14ac:dyDescent="0.2">
      <c r="A4" s="56" t="s">
        <v>26</v>
      </c>
      <c r="B4" s="57" t="s">
        <v>73</v>
      </c>
      <c r="C4" s="59" t="s">
        <v>75</v>
      </c>
      <c r="D4" s="58" t="str">
        <f t="shared" ref="D4:D5" si="0">$D$1</f>
        <v>Aonia</v>
      </c>
      <c r="E4" s="60" t="str">
        <f>Currency&amp;$B4&amp;"D"&amp;QuoteSuffix</f>
        <v>AUDTND_Quote</v>
      </c>
      <c r="F4" s="61" t="s">
        <v>168</v>
      </c>
      <c r="G4" s="51"/>
      <c r="H4" s="10" t="str">
        <f>A4</f>
        <v>Dp</v>
      </c>
      <c r="I4" s="98" t="str">
        <f t="shared" ref="I4:I5" si="1">IF(ISBLANK(F4),"--",F4)</f>
        <v>qlFraRateHelper(,E4,C4,D4,PillarDate,,Permanent,Trigger,ObjectOverwrite)</v>
      </c>
      <c r="J4" s="144" t="str">
        <f>IFERROR(_xll.qlRateHelperQuoteName(I4,Trigger),"--")</f>
        <v>--</v>
      </c>
      <c r="K4" s="102" t="str">
        <f>IFERROR(_xll.qlRateHelperQuoteValue($I4,Trigger),"--")</f>
        <v>--</v>
      </c>
      <c r="L4" s="101" t="b">
        <v>0</v>
      </c>
      <c r="M4" s="98">
        <v>70</v>
      </c>
      <c r="N4" s="98">
        <v>1</v>
      </c>
      <c r="O4" s="103" t="str">
        <f>IFERROR(_xll.qlRateHelperEarliestDate(I4,Trigger),"--")</f>
        <v>--</v>
      </c>
      <c r="P4" s="103" t="str">
        <f>IFERROR(_xll.qlRateHelperPillarDate(I4,Trigger),"--")</f>
        <v>--</v>
      </c>
      <c r="R4" s="4" t="str">
        <f t="shared" ref="R4:R67" si="2">IFERROR(INDEX($H$3:$H$113,MATCH(T4,$J$3:$J$113,0),1),"")</f>
        <v>OIS</v>
      </c>
      <c r="S4" s="4" t="str">
        <v>obj_00224</v>
      </c>
      <c r="T4" s="4" t="str">
        <f>IFERROR(_xll.qlRateHelperQuoteName(S4,Trigger),"")</f>
        <v>AUDOIS1M_Quote</v>
      </c>
      <c r="U4" s="73">
        <f>IFERROR(_xll.qlRateHelperRate(S4,Trigger),"")</f>
        <v>0.02</v>
      </c>
      <c r="V4" s="108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42356</v>
      </c>
      <c r="X4" s="5">
        <f>IFERROR(_xll.qlRateHelperPillarDate(S4,Trigger),"")</f>
        <v>42387</v>
      </c>
      <c r="Y4" s="81">
        <v>0.99824956131834797</v>
      </c>
      <c r="Z4" s="175"/>
      <c r="AB4" s="111" t="s">
        <v>89</v>
      </c>
      <c r="AF4" s="112">
        <v>0</v>
      </c>
    </row>
    <row r="5" spans="1:34" ht="11.25" customHeight="1" x14ac:dyDescent="0.2">
      <c r="A5" s="1" t="s">
        <v>26</v>
      </c>
      <c r="B5" s="8" t="s">
        <v>74</v>
      </c>
      <c r="C5" s="9" t="s">
        <v>76</v>
      </c>
      <c r="D5" s="7" t="str">
        <f t="shared" si="0"/>
        <v>Aonia</v>
      </c>
      <c r="E5" s="2" t="str">
        <f>Currency&amp;$B5&amp;"D"&amp;QuoteSuffix</f>
        <v>AUDSND_Quote</v>
      </c>
      <c r="F5" s="3"/>
      <c r="G5" s="51"/>
      <c r="H5" s="11" t="str">
        <f>A5</f>
        <v>Dp</v>
      </c>
      <c r="I5" s="99" t="str">
        <f t="shared" si="1"/>
        <v>--</v>
      </c>
      <c r="J5" s="145" t="str">
        <f>IFERROR(_xll.qlRateHelperQuoteName(I5,Trigger),"--")</f>
        <v>--</v>
      </c>
      <c r="K5" s="105" t="str">
        <f>IFERROR(_xll.qlRateHelperQuoteValue($I5,Trigger),"--")</f>
        <v>--</v>
      </c>
      <c r="L5" s="104" t="b">
        <v>0</v>
      </c>
      <c r="M5" s="99">
        <v>70</v>
      </c>
      <c r="N5" s="99">
        <v>1</v>
      </c>
      <c r="O5" s="106" t="str">
        <f>IFERROR(_xll.qlRateHelperEarliestDate(I5,Trigger),"--")</f>
        <v>--</v>
      </c>
      <c r="P5" s="106" t="str">
        <f>IFERROR(_xll.qlRateHelperPillarDate(I5,Trigger),"--")</f>
        <v>--</v>
      </c>
      <c r="R5" s="4" t="str">
        <f t="shared" si="2"/>
        <v>OIS</v>
      </c>
      <c r="S5" s="4" t="str">
        <v>obj_00222</v>
      </c>
      <c r="T5" s="4" t="str">
        <f>IFERROR(_xll.qlRateHelperQuoteName(S5,Trigger),"")</f>
        <v>AUDOIS2M_Quote</v>
      </c>
      <c r="U5" s="73">
        <f>IFERROR(_xll.qlRateHelperRate(S5,Trigger),"")</f>
        <v>1.9949999999999999E-2</v>
      </c>
      <c r="V5" s="108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42356</v>
      </c>
      <c r="X5" s="5">
        <f>IFERROR(_xll.qlRateHelperPillarDate(S5,Trigger),"")</f>
        <v>42418</v>
      </c>
      <c r="Y5" s="81">
        <v>0.99656808095789029</v>
      </c>
      <c r="Z5" s="175"/>
      <c r="AA5" s="84"/>
      <c r="AB5" s="111" t="s">
        <v>90</v>
      </c>
      <c r="AF5" s="112">
        <v>0</v>
      </c>
    </row>
    <row r="6" spans="1:34" ht="11.25" customHeight="1" x14ac:dyDescent="0.2">
      <c r="D6" s="53" t="s">
        <v>70</v>
      </c>
      <c r="G6" s="51"/>
      <c r="H6" s="10" t="str">
        <f t="shared" ref="H6:H37" si="3">A8</f>
        <v>OIS</v>
      </c>
      <c r="I6" s="98" t="str">
        <f>IF(ISBLANK(F8),"--",F8)</f>
        <v>obj_0024a#0001</v>
      </c>
      <c r="J6" s="144" t="str">
        <f>IFERROR(_xll.qlRateHelperQuoteName(I6,Trigger),"--")</f>
        <v>AUDOISSW_Quote</v>
      </c>
      <c r="K6" s="102">
        <f>IFERROR(_xll.qlRateHelperQuoteValue($I6,Trigger),"--")</f>
        <v>0.02</v>
      </c>
      <c r="L6" s="101" t="b">
        <v>1</v>
      </c>
      <c r="M6" s="98">
        <v>50</v>
      </c>
      <c r="N6" s="98">
        <v>1</v>
      </c>
      <c r="O6" s="103">
        <f>IFERROR(_xll.qlRateHelperEarliestDate(I6,Trigger),"--")</f>
        <v>42356</v>
      </c>
      <c r="P6" s="103">
        <f>IFERROR(_xll.qlRateHelperPillarDate(I6,Trigger),"--")</f>
        <v>42367</v>
      </c>
      <c r="R6" s="4" t="str">
        <f t="shared" si="2"/>
        <v>OIS</v>
      </c>
      <c r="S6" s="4" t="str">
        <v>obj_00221</v>
      </c>
      <c r="T6" s="4" t="str">
        <f>IFERROR(_xll.qlRateHelperQuoteName(S6,Trigger),"")</f>
        <v>AUDOIS3M_Quote</v>
      </c>
      <c r="U6" s="73">
        <f>IFERROR(_xll.qlRateHelperRate(S6,Trigger),"")</f>
        <v>1.984E-2</v>
      </c>
      <c r="V6" s="108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42356</v>
      </c>
      <c r="X6" s="5">
        <f>IFERROR(_xll.qlRateHelperPillarDate(S6,Trigger),"")</f>
        <v>42447</v>
      </c>
      <c r="Y6" s="81">
        <v>0.9950234233411448</v>
      </c>
      <c r="Z6" s="175"/>
      <c r="AB6" s="111" t="s">
        <v>91</v>
      </c>
      <c r="AF6" s="113" t="s">
        <v>92</v>
      </c>
    </row>
    <row r="7" spans="1:34" ht="11.25" customHeight="1" x14ac:dyDescent="0.2">
      <c r="A7" s="68" t="s">
        <v>8</v>
      </c>
      <c r="B7" s="68" t="s">
        <v>28</v>
      </c>
      <c r="C7" s="68" t="s">
        <v>80</v>
      </c>
      <c r="D7" s="68" t="s">
        <v>4</v>
      </c>
      <c r="E7" s="68" t="s">
        <v>1</v>
      </c>
      <c r="F7" s="68" t="s">
        <v>24</v>
      </c>
      <c r="G7" s="51"/>
      <c r="H7" s="10" t="str">
        <f t="shared" si="3"/>
        <v>OIS</v>
      </c>
      <c r="I7" s="98" t="str">
        <f t="shared" ref="I7:I57" si="4">IF(ISBLANK(F9),"--",F9)</f>
        <v>--</v>
      </c>
      <c r="J7" s="144" t="str">
        <f>IFERROR(_xll.qlRateHelperQuoteName(I7,Trigger),"--")</f>
        <v>--</v>
      </c>
      <c r="K7" s="102" t="str">
        <f>IFERROR(_xll.qlRateHelperQuoteValue($I7,Trigger),"--")</f>
        <v>--</v>
      </c>
      <c r="L7" s="101" t="b">
        <v>0</v>
      </c>
      <c r="M7" s="98">
        <v>50</v>
      </c>
      <c r="N7" s="98">
        <v>1</v>
      </c>
      <c r="O7" s="103" t="str">
        <f>IFERROR(_xll.qlRateHelperEarliestDate(I7,Trigger),"--")</f>
        <v>--</v>
      </c>
      <c r="P7" s="103" t="str">
        <f>IFERROR(_xll.qlRateHelperPillarDate(I7,Trigger),"--")</f>
        <v>--</v>
      </c>
      <c r="R7" s="4" t="str">
        <f t="shared" si="2"/>
        <v>OIS</v>
      </c>
      <c r="S7" s="4" t="str">
        <v>obj_0021a</v>
      </c>
      <c r="T7" s="4" t="str">
        <f>IFERROR(_xll.qlRateHelperQuoteName(S7,Trigger),"")</f>
        <v>AUDOIS4M_Quote</v>
      </c>
      <c r="U7" s="73">
        <f>IFERROR(_xll.qlRateHelperRate(S7,Trigger),"")</f>
        <v>1.975E-2</v>
      </c>
      <c r="V7" s="108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42356</v>
      </c>
      <c r="X7" s="5">
        <f>IFERROR(_xll.qlRateHelperPillarDate(S7,Trigger),"")</f>
        <v>42478</v>
      </c>
      <c r="Y7" s="81">
        <v>0.99338749980320651</v>
      </c>
      <c r="Z7" s="175"/>
    </row>
    <row r="8" spans="1:34" ht="11.25" customHeight="1" x14ac:dyDescent="0.2">
      <c r="A8" s="56" t="s">
        <v>70</v>
      </c>
      <c r="B8" s="57" t="s">
        <v>38</v>
      </c>
      <c r="C8" s="58">
        <v>1</v>
      </c>
      <c r="D8" s="65" t="str">
        <f>$D$1</f>
        <v>Aonia</v>
      </c>
      <c r="E8" s="60" t="str">
        <f t="shared" ref="E8:E39" si="5">Currency&amp;$D$6&amp;IF($B8="1W","SW",$B8)&amp;QuoteSuffix</f>
        <v>AUDOISSW_Quote</v>
      </c>
      <c r="F8" s="61" t="str">
        <f>_xll.qlOISRateHelper(,C8,B8,E8,$D8,,Permanent,Trigger,ObjectOverwrite)</f>
        <v>obj_0024a#0001</v>
      </c>
      <c r="G8" s="51"/>
      <c r="H8" s="10" t="str">
        <f t="shared" si="3"/>
        <v>OIS</v>
      </c>
      <c r="I8" s="98" t="str">
        <f t="shared" si="4"/>
        <v>--</v>
      </c>
      <c r="J8" s="144" t="str">
        <f>IFERROR(_xll.qlRateHelperQuoteName(I8,Trigger),"--")</f>
        <v>--</v>
      </c>
      <c r="K8" s="102" t="str">
        <f>IFERROR(_xll.qlRateHelperQuoteValue($I8,Trigger),"--")</f>
        <v>--</v>
      </c>
      <c r="L8" s="101" t="b">
        <v>0</v>
      </c>
      <c r="M8" s="98">
        <v>50</v>
      </c>
      <c r="N8" s="98">
        <v>1</v>
      </c>
      <c r="O8" s="103" t="str">
        <f>IFERROR(_xll.qlRateHelperEarliestDate(I8,Trigger),"--")</f>
        <v>--</v>
      </c>
      <c r="P8" s="103" t="str">
        <f>IFERROR(_xll.qlRateHelperPillarDate(I8,Trigger),"--")</f>
        <v>--</v>
      </c>
      <c r="R8" s="4" t="str">
        <f t="shared" si="2"/>
        <v>OIS</v>
      </c>
      <c r="S8" s="4" t="str">
        <v>obj_0022c</v>
      </c>
      <c r="T8" s="4" t="str">
        <f>IFERROR(_xll.qlRateHelperQuoteName(S8,Trigger),"")</f>
        <v>AUDOIS5M_Quote</v>
      </c>
      <c r="U8" s="73">
        <f>IFERROR(_xll.qlRateHelperRate(S8,Trigger),"")</f>
        <v>1.9599999999999999E-2</v>
      </c>
      <c r="V8" s="108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42356</v>
      </c>
      <c r="X8" s="5">
        <f>IFERROR(_xll.qlRateHelperPillarDate(S8,Trigger),"")</f>
        <v>42508</v>
      </c>
      <c r="Y8" s="81">
        <v>0.99184955184682788</v>
      </c>
      <c r="Z8" s="175"/>
    </row>
    <row r="9" spans="1:34" ht="11.25" customHeight="1" x14ac:dyDescent="0.2">
      <c r="A9" s="62" t="s">
        <v>70</v>
      </c>
      <c r="B9" s="63" t="s">
        <v>39</v>
      </c>
      <c r="C9" s="64">
        <v>1</v>
      </c>
      <c r="D9" s="65" t="str">
        <f t="shared" ref="D9:D61" si="6">$D$1</f>
        <v>Aonia</v>
      </c>
      <c r="E9" s="66" t="str">
        <f t="shared" si="5"/>
        <v>AUDOIS2W_Quote</v>
      </c>
      <c r="F9" s="67"/>
      <c r="G9" s="51"/>
      <c r="H9" s="10" t="str">
        <f t="shared" si="3"/>
        <v>OIS</v>
      </c>
      <c r="I9" s="98" t="str">
        <f t="shared" si="4"/>
        <v>obj_00224#0001</v>
      </c>
      <c r="J9" s="144" t="str">
        <f>IFERROR(_xll.qlRateHelperQuoteName(I9,Trigger),"--")</f>
        <v>AUDOIS1M_Quote</v>
      </c>
      <c r="K9" s="102">
        <f>IFERROR(_xll.qlRateHelperQuoteValue($I9,Trigger),"--")</f>
        <v>0.02</v>
      </c>
      <c r="L9" s="101" t="b">
        <v>1</v>
      </c>
      <c r="M9" s="98">
        <v>50</v>
      </c>
      <c r="N9" s="98">
        <v>1</v>
      </c>
      <c r="O9" s="103">
        <f>IFERROR(_xll.qlRateHelperEarliestDate(I9,Trigger),"--")</f>
        <v>42356</v>
      </c>
      <c r="P9" s="103">
        <f>IFERROR(_xll.qlRateHelperPillarDate(I9,Trigger),"--")</f>
        <v>42387</v>
      </c>
      <c r="R9" s="4" t="str">
        <f t="shared" si="2"/>
        <v>OIS</v>
      </c>
      <c r="S9" s="4" t="str">
        <v>obj_0022e</v>
      </c>
      <c r="T9" s="4" t="str">
        <f>IFERROR(_xll.qlRateHelperQuoteName(S9,Trigger),"")</f>
        <v>AUDOIS6M_Quote</v>
      </c>
      <c r="U9" s="73">
        <f>IFERROR(_xll.qlRateHelperRate(S9,Trigger),"")</f>
        <v>1.95E-2</v>
      </c>
      <c r="V9" s="108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42356</v>
      </c>
      <c r="X9" s="5">
        <f>IFERROR(_xll.qlRateHelperPillarDate(S9,Trigger),"")</f>
        <v>42541</v>
      </c>
      <c r="Y9" s="81">
        <v>0.9901589213700962</v>
      </c>
      <c r="Z9" s="175"/>
      <c r="AC9" s="49" t="s">
        <v>129</v>
      </c>
    </row>
    <row r="10" spans="1:34" ht="11.25" customHeight="1" x14ac:dyDescent="0.2">
      <c r="A10" s="62" t="s">
        <v>70</v>
      </c>
      <c r="B10" s="63" t="s">
        <v>40</v>
      </c>
      <c r="C10" s="64">
        <v>1</v>
      </c>
      <c r="D10" s="65" t="str">
        <f t="shared" si="6"/>
        <v>Aonia</v>
      </c>
      <c r="E10" s="66" t="str">
        <f t="shared" si="5"/>
        <v>AUDOIS3W_Quote</v>
      </c>
      <c r="F10" s="67"/>
      <c r="G10" s="51"/>
      <c r="H10" s="10" t="str">
        <f t="shared" si="3"/>
        <v>OIS</v>
      </c>
      <c r="I10" s="98" t="str">
        <f t="shared" si="4"/>
        <v>obj_00222#0001</v>
      </c>
      <c r="J10" s="144" t="str">
        <f>IFERROR(_xll.qlRateHelperQuoteName(I10,Trigger),"--")</f>
        <v>AUDOIS2M_Quote</v>
      </c>
      <c r="K10" s="102">
        <f>IFERROR(_xll.qlRateHelperQuoteValue($I10,Trigger),"--")</f>
        <v>1.9949999999999999E-2</v>
      </c>
      <c r="L10" s="101" t="b">
        <v>1</v>
      </c>
      <c r="M10" s="98">
        <v>50</v>
      </c>
      <c r="N10" s="98">
        <v>1</v>
      </c>
      <c r="O10" s="103">
        <f>IFERROR(_xll.qlRateHelperEarliestDate(I10,Trigger),"--")</f>
        <v>42356</v>
      </c>
      <c r="P10" s="103">
        <f>IFERROR(_xll.qlRateHelperPillarDate(I10,Trigger),"--")</f>
        <v>42418</v>
      </c>
      <c r="R10" s="4" t="str">
        <f t="shared" si="2"/>
        <v>OIS</v>
      </c>
      <c r="S10" s="4" t="str">
        <v>obj_00223</v>
      </c>
      <c r="T10" s="4" t="str">
        <f>IFERROR(_xll.qlRateHelperQuoteName(S10,Trigger),"")</f>
        <v>AUDOIS9M_Quote</v>
      </c>
      <c r="U10" s="73">
        <f>IFERROR(_xll.qlRateHelperRate(S10,Trigger),"")</f>
        <v>1.9225000000000003E-2</v>
      </c>
      <c r="V10" s="108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42356</v>
      </c>
      <c r="X10" s="5">
        <f>IFERROR(_xll.qlRateHelperPillarDate(S10,Trigger),"")</f>
        <v>42632</v>
      </c>
      <c r="Y10" s="81">
        <v>0.98561704657095672</v>
      </c>
      <c r="Z10" s="175"/>
      <c r="AA10" s="77" t="s">
        <v>123</v>
      </c>
      <c r="AB10" s="77" t="s">
        <v>124</v>
      </c>
      <c r="AC10" s="77" t="s">
        <v>125</v>
      </c>
      <c r="AD10" s="77" t="s">
        <v>133</v>
      </c>
      <c r="AE10" s="77" t="s">
        <v>126</v>
      </c>
      <c r="AF10" s="77" t="s">
        <v>134</v>
      </c>
      <c r="AG10" s="77" t="s">
        <v>127</v>
      </c>
      <c r="AH10" s="77" t="s">
        <v>128</v>
      </c>
    </row>
    <row r="11" spans="1:34" ht="11.25" customHeight="1" x14ac:dyDescent="0.2">
      <c r="A11" s="62" t="s">
        <v>70</v>
      </c>
      <c r="B11" s="63" t="s">
        <v>2</v>
      </c>
      <c r="C11" s="64">
        <v>1</v>
      </c>
      <c r="D11" s="65" t="str">
        <f t="shared" si="6"/>
        <v>Aonia</v>
      </c>
      <c r="E11" s="66" t="str">
        <f t="shared" si="5"/>
        <v>AUDOIS1M_Quote</v>
      </c>
      <c r="F11" s="67" t="str">
        <f>_xll.qlOISRateHelper(,C11,B11,E11,$D11,,Permanent,Trigger,ObjectOverwrite)</f>
        <v>obj_00224#0001</v>
      </c>
      <c r="G11" s="51"/>
      <c r="H11" s="10" t="str">
        <f t="shared" si="3"/>
        <v>OIS</v>
      </c>
      <c r="I11" s="98" t="str">
        <f t="shared" si="4"/>
        <v>obj_00221#0001</v>
      </c>
      <c r="J11" s="144" t="str">
        <f>IFERROR(_xll.qlRateHelperQuoteName(I11,Trigger),"--")</f>
        <v>AUDOIS3M_Quote</v>
      </c>
      <c r="K11" s="102">
        <f>IFERROR(_xll.qlRateHelperQuoteValue($I11,Trigger),"--")</f>
        <v>1.984E-2</v>
      </c>
      <c r="L11" s="101" t="b">
        <v>1</v>
      </c>
      <c r="M11" s="98">
        <v>50</v>
      </c>
      <c r="N11" s="98">
        <v>1</v>
      </c>
      <c r="O11" s="103">
        <f>IFERROR(_xll.qlRateHelperEarliestDate(I11,Trigger),"--")</f>
        <v>42356</v>
      </c>
      <c r="P11" s="103">
        <f>IFERROR(_xll.qlRateHelperPillarDate(I11,Trigger),"--")</f>
        <v>42447</v>
      </c>
      <c r="R11" s="4" t="str">
        <f t="shared" si="2"/>
        <v>MTOIS</v>
      </c>
      <c r="S11" s="4" t="str">
        <v>obj_0021e</v>
      </c>
      <c r="T11" s="4" t="str">
        <f>IFERROR(_xll.qlRateHelperQuoteName(S11,Trigger),"")</f>
        <v>AUDMTOIS1Y_Quote</v>
      </c>
      <c r="U11" s="73">
        <f>IFERROR(_xll.qlRateHelperRate(S11,Trigger),"")</f>
        <v>1.9030000000000002E-2</v>
      </c>
      <c r="V11" s="108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42356</v>
      </c>
      <c r="X11" s="5">
        <f>IFERROR(_xll.qlRateHelperPillarDate(S11,Trigger),"")</f>
        <v>42723</v>
      </c>
      <c r="Y11" s="81">
        <v>0.98117121918549488</v>
      </c>
      <c r="Z11" s="175"/>
      <c r="AA11" s="157">
        <v>1</v>
      </c>
      <c r="AB11" s="158">
        <f>_xll.qlCalendarEndOfMonth(Calendar,Settlementdate,Trigger)</f>
        <v>42369</v>
      </c>
      <c r="AC11" s="157" t="str">
        <f t="shared" ref="AC11:AC23" si="7">Currency&amp;$AC$9&amp;AA11&amp;JumpSuffix&amp;QuoteSuffix</f>
        <v>AUDJump1_SYNTHON_Quote</v>
      </c>
      <c r="AD11" s="179">
        <f>_xll.qlDayCounterYearFraction("actual/360",AB11,_xll.qlCalendarAdvance(Calendar,AB11,"1D",,,Trigger))</f>
        <v>1.1111111111111112E-2</v>
      </c>
      <c r="AE11" s="159" t="e">
        <f>IF(_xll.qlQuoteIsValid(AC11,Trigger),_xll.qlQuoteValue(AC11,Trigger),1)</f>
        <v>#NUM!</v>
      </c>
      <c r="AF11" s="182" t="e">
        <f>-LN(AE11)/AD11</f>
        <v>#NUM!</v>
      </c>
      <c r="AG11" s="160"/>
      <c r="AH11" s="159" t="str">
        <f>IF(ISBLANK(AG11),AC11,EXP(-AG11*AD11))</f>
        <v>AUDJump1_SYNTHON_Quote</v>
      </c>
    </row>
    <row r="12" spans="1:34" ht="11.25" customHeight="1" x14ac:dyDescent="0.2">
      <c r="A12" s="62" t="s">
        <v>70</v>
      </c>
      <c r="B12" s="63" t="s">
        <v>41</v>
      </c>
      <c r="C12" s="64">
        <v>1</v>
      </c>
      <c r="D12" s="65" t="str">
        <f t="shared" si="6"/>
        <v>Aonia</v>
      </c>
      <c r="E12" s="66" t="str">
        <f t="shared" si="5"/>
        <v>AUDOIS2M_Quote</v>
      </c>
      <c r="F12" s="67" t="str">
        <f>_xll.qlOISRateHelper(,C12,B12,E12,$D12,,Permanent,Trigger,ObjectOverwrite)</f>
        <v>obj_00222#0001</v>
      </c>
      <c r="G12" s="51"/>
      <c r="H12" s="10" t="str">
        <f t="shared" si="3"/>
        <v>OIS</v>
      </c>
      <c r="I12" s="98" t="str">
        <f t="shared" si="4"/>
        <v>obj_0021a#0001</v>
      </c>
      <c r="J12" s="144" t="str">
        <f>IFERROR(_xll.qlRateHelperQuoteName(I12,Trigger),"--")</f>
        <v>AUDOIS4M_Quote</v>
      </c>
      <c r="K12" s="102">
        <f>IFERROR(_xll.qlRateHelperQuoteValue($I12,Trigger),"--")</f>
        <v>1.975E-2</v>
      </c>
      <c r="L12" s="101" t="b">
        <v>1</v>
      </c>
      <c r="M12" s="98">
        <v>50</v>
      </c>
      <c r="N12" s="98">
        <v>1</v>
      </c>
      <c r="O12" s="103">
        <f>IFERROR(_xll.qlRateHelperEarliestDate(I12,Trigger),"--")</f>
        <v>42356</v>
      </c>
      <c r="P12" s="103">
        <f>IFERROR(_xll.qlRateHelperPillarDate(I12,Trigger),"--")</f>
        <v>42478</v>
      </c>
      <c r="R12" s="4" t="str">
        <f t="shared" si="2"/>
        <v>MTOIS</v>
      </c>
      <c r="S12" s="4" t="str">
        <v>obj_0022b</v>
      </c>
      <c r="T12" s="4" t="str">
        <f>IFERROR(_xll.qlRateHelperQuoteName(S12,Trigger),"")</f>
        <v>AUDMTOIS18M_Quote</v>
      </c>
      <c r="U12" s="73">
        <f>IFERROR(_xll.qlRateHelperRate(S12,Trigger),"")</f>
        <v>1.8849999999999999E-2</v>
      </c>
      <c r="V12" s="108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42356</v>
      </c>
      <c r="X12" s="5">
        <f>IFERROR(_xll.qlRateHelperPillarDate(S12,Trigger),"")</f>
        <v>42905</v>
      </c>
      <c r="Y12" s="81">
        <v>0.97220919651962123</v>
      </c>
      <c r="Z12" s="175"/>
      <c r="AA12" s="161">
        <v>2</v>
      </c>
      <c r="AB12" s="162">
        <f>_xll.qlCalendarEndOfMonth(Calendar,_xll.qlCalendarAdvance(Calendar,AB11,"1m","mf",TRUE),Trigger)</f>
        <v>42398</v>
      </c>
      <c r="AC12" s="161" t="str">
        <f t="shared" si="7"/>
        <v>AUDJump2_SYNTHON_Quote</v>
      </c>
      <c r="AD12" s="180">
        <f>_xll.qlDayCounterYearFraction("actual/360",AB12,_xll.qlCalendarAdvance(Calendar,AB12,"1D",,,Trigger))</f>
        <v>8.3333333333333332E-3</v>
      </c>
      <c r="AE12" s="163" t="e">
        <f>IF(_xll.qlQuoteIsValid(AC12,Trigger),_xll.qlQuoteValue(AC12,Trigger),1)</f>
        <v>#NUM!</v>
      </c>
      <c r="AF12" s="183" t="e">
        <f t="shared" ref="AF12:AF23" si="8">-LN(AE12)/AD12</f>
        <v>#NUM!</v>
      </c>
      <c r="AG12" s="164"/>
      <c r="AH12" s="163" t="str">
        <f t="shared" ref="AH12:AH23" si="9">IF(ISBLANK(AG12),AC12,EXP(-AG12*AD12))</f>
        <v>AUDJump2_SYNTHON_Quote</v>
      </c>
    </row>
    <row r="13" spans="1:34" ht="11.25" customHeight="1" x14ac:dyDescent="0.2">
      <c r="A13" s="62" t="s">
        <v>70</v>
      </c>
      <c r="B13" s="63" t="s">
        <v>0</v>
      </c>
      <c r="C13" s="64">
        <v>1</v>
      </c>
      <c r="D13" s="65" t="str">
        <f t="shared" si="6"/>
        <v>Aonia</v>
      </c>
      <c r="E13" s="66" t="str">
        <f t="shared" si="5"/>
        <v>AUDOIS3M_Quote</v>
      </c>
      <c r="F13" s="67" t="str">
        <f>_xll.qlOISRateHelper(,C13,B13,E13,$D13,,Permanent,Trigger,ObjectOverwrite)</f>
        <v>obj_00221#0001</v>
      </c>
      <c r="G13" s="51"/>
      <c r="H13" s="10" t="str">
        <f t="shared" si="3"/>
        <v>OIS</v>
      </c>
      <c r="I13" s="98" t="str">
        <f t="shared" si="4"/>
        <v>obj_0022c#0001</v>
      </c>
      <c r="J13" s="144" t="str">
        <f>IFERROR(_xll.qlRateHelperQuoteName(I13,Trigger),"--")</f>
        <v>AUDOIS5M_Quote</v>
      </c>
      <c r="K13" s="102">
        <f>IFERROR(_xll.qlRateHelperQuoteValue($I13,Trigger),"--")</f>
        <v>1.9599999999999999E-2</v>
      </c>
      <c r="L13" s="101" t="b">
        <v>1</v>
      </c>
      <c r="M13" s="98">
        <v>50</v>
      </c>
      <c r="N13" s="98">
        <v>1</v>
      </c>
      <c r="O13" s="103">
        <f>IFERROR(_xll.qlRateHelperEarliestDate(I13,Trigger),"--")</f>
        <v>42356</v>
      </c>
      <c r="P13" s="103">
        <f>IFERROR(_xll.qlRateHelperPillarDate(I13,Trigger),"--")</f>
        <v>42508</v>
      </c>
      <c r="R13" s="4" t="str">
        <f t="shared" si="2"/>
        <v>MTOIS</v>
      </c>
      <c r="S13" s="4" t="str">
        <v>obj_0021b</v>
      </c>
      <c r="T13" s="4" t="str">
        <f>IFERROR(_xll.qlRateHelperQuoteName(S13,Trigger),"")</f>
        <v>AUDMTOIS2Y_Quote</v>
      </c>
      <c r="U13" s="73">
        <f>IFERROR(_xll.qlRateHelperRate(S13,Trigger),"")</f>
        <v>1.9100000000000002E-2</v>
      </c>
      <c r="V13" s="108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42356</v>
      </c>
      <c r="X13" s="5">
        <f>IFERROR(_xll.qlRateHelperPillarDate(S13,Trigger),"")</f>
        <v>43087</v>
      </c>
      <c r="Y13" s="81">
        <v>0.96276375341061049</v>
      </c>
      <c r="Z13" s="175"/>
      <c r="AA13" s="161">
        <v>3</v>
      </c>
      <c r="AB13" s="162">
        <f>_xll.qlCalendarEndOfMonth(Calendar,_xll.qlCalendarAdvance(Calendar,AB12,"1m","mf",TRUE),Trigger)</f>
        <v>42429</v>
      </c>
      <c r="AC13" s="161" t="str">
        <f t="shared" si="7"/>
        <v>AUDJump3_SYNTHON_Quote</v>
      </c>
      <c r="AD13" s="180">
        <f>_xll.qlDayCounterYearFraction("actual/360",AB13,_xll.qlCalendarAdvance(Calendar,AB13,"1D",,,Trigger))</f>
        <v>2.7777777777777779E-3</v>
      </c>
      <c r="AE13" s="163" t="e">
        <f>IF(_xll.qlQuoteIsValid(AC13,Trigger),_xll.qlQuoteValue(AC13,Trigger),1)</f>
        <v>#NUM!</v>
      </c>
      <c r="AF13" s="183" t="e">
        <f t="shared" si="8"/>
        <v>#NUM!</v>
      </c>
      <c r="AG13" s="164"/>
      <c r="AH13" s="163" t="str">
        <f t="shared" si="9"/>
        <v>AUDJump3_SYNTHON_Quote</v>
      </c>
    </row>
    <row r="14" spans="1:34" ht="11.25" customHeight="1" x14ac:dyDescent="0.2">
      <c r="A14" s="62" t="s">
        <v>70</v>
      </c>
      <c r="B14" s="63" t="s">
        <v>42</v>
      </c>
      <c r="C14" s="64">
        <v>1</v>
      </c>
      <c r="D14" s="65" t="str">
        <f t="shared" si="6"/>
        <v>Aonia</v>
      </c>
      <c r="E14" s="66" t="str">
        <f t="shared" si="5"/>
        <v>AUDOIS4M_Quote</v>
      </c>
      <c r="F14" s="67" t="str">
        <f>_xll.qlOISRateHelper(,C14,B14,E14,$D14,,Permanent,Trigger,ObjectOverwrite)</f>
        <v>obj_0021a#0001</v>
      </c>
      <c r="G14" s="51"/>
      <c r="H14" s="10" t="str">
        <f t="shared" si="3"/>
        <v>OIS</v>
      </c>
      <c r="I14" s="98" t="str">
        <f t="shared" si="4"/>
        <v>obj_0022e#0001</v>
      </c>
      <c r="J14" s="144" t="str">
        <f>IFERROR(_xll.qlRateHelperQuoteName(I14,Trigger),"--")</f>
        <v>AUDOIS6M_Quote</v>
      </c>
      <c r="K14" s="102">
        <f>IFERROR(_xll.qlRateHelperQuoteValue($I14,Trigger),"--")</f>
        <v>1.95E-2</v>
      </c>
      <c r="L14" s="101" t="b">
        <v>1</v>
      </c>
      <c r="M14" s="98">
        <v>50</v>
      </c>
      <c r="N14" s="98">
        <v>1</v>
      </c>
      <c r="O14" s="103">
        <f>IFERROR(_xll.qlRateHelperEarliestDate(I14,Trigger),"--")</f>
        <v>42356</v>
      </c>
      <c r="P14" s="103">
        <f>IFERROR(_xll.qlRateHelperPillarDate(I14,Trigger),"--")</f>
        <v>42541</v>
      </c>
      <c r="R14" s="4" t="str">
        <f t="shared" si="2"/>
        <v>MTOIS</v>
      </c>
      <c r="S14" s="4" t="str">
        <v>obj_0021d</v>
      </c>
      <c r="T14" s="4" t="str">
        <f>IFERROR(_xll.qlRateHelperQuoteName(S14,Trigger),"")</f>
        <v>AUDMTOIS3Y_Quote</v>
      </c>
      <c r="U14" s="73">
        <f>IFERROR(_xll.qlRateHelperRate(S14,Trigger),"")</f>
        <v>2.0049999999999998E-2</v>
      </c>
      <c r="V14" s="108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42356</v>
      </c>
      <c r="X14" s="5">
        <f>IFERROR(_xll.qlRateHelperPillarDate(S14,Trigger),"")</f>
        <v>43452</v>
      </c>
      <c r="Y14" s="81">
        <v>0.94202677667123347</v>
      </c>
      <c r="Z14" s="175"/>
      <c r="AA14" s="161">
        <v>4</v>
      </c>
      <c r="AB14" s="162">
        <f>_xll.qlCalendarEndOfMonth(Calendar,_xll.qlCalendarAdvance(Calendar,AB13,"1m","mf",TRUE),Trigger)</f>
        <v>42460</v>
      </c>
      <c r="AC14" s="161" t="str">
        <f t="shared" si="7"/>
        <v>AUDJump4_SYNTHON_Quote</v>
      </c>
      <c r="AD14" s="180">
        <f>_xll.qlDayCounterYearFraction("actual/360",AB14,_xll.qlCalendarAdvance(Calendar,AB14,"1D",,,Trigger))</f>
        <v>2.7777777777777779E-3</v>
      </c>
      <c r="AE14" s="163" t="e">
        <f>IF(_xll.qlQuoteIsValid(AC14,Trigger),_xll.qlQuoteValue(AC14,Trigger),1)</f>
        <v>#NUM!</v>
      </c>
      <c r="AF14" s="183" t="e">
        <f t="shared" si="8"/>
        <v>#NUM!</v>
      </c>
      <c r="AG14" s="164"/>
      <c r="AH14" s="163" t="str">
        <f t="shared" si="9"/>
        <v>AUDJump4_SYNTHON_Quote</v>
      </c>
    </row>
    <row r="15" spans="1:34" ht="11.25" customHeight="1" x14ac:dyDescent="0.2">
      <c r="A15" s="62" t="s">
        <v>70</v>
      </c>
      <c r="B15" s="63" t="s">
        <v>43</v>
      </c>
      <c r="C15" s="64">
        <v>1</v>
      </c>
      <c r="D15" s="65" t="str">
        <f t="shared" si="6"/>
        <v>Aonia</v>
      </c>
      <c r="E15" s="66" t="str">
        <f t="shared" si="5"/>
        <v>AUDOIS5M_Quote</v>
      </c>
      <c r="F15" s="67" t="str">
        <f>_xll.qlOISRateHelper(,C15,B15,E15,$D15,,Permanent,Trigger,ObjectOverwrite)</f>
        <v>obj_0022c#0001</v>
      </c>
      <c r="G15" s="51"/>
      <c r="H15" s="10" t="str">
        <f t="shared" si="3"/>
        <v>OIS</v>
      </c>
      <c r="I15" s="98" t="str">
        <f t="shared" si="4"/>
        <v>--</v>
      </c>
      <c r="J15" s="144" t="str">
        <f>IFERROR(_xll.qlRateHelperQuoteName(I15,Trigger),"--")</f>
        <v>--</v>
      </c>
      <c r="K15" s="102" t="str">
        <f>IFERROR(_xll.qlRateHelperQuoteValue($I15,Trigger),"--")</f>
        <v>--</v>
      </c>
      <c r="L15" s="101" t="b">
        <v>0</v>
      </c>
      <c r="M15" s="98">
        <v>50</v>
      </c>
      <c r="N15" s="98">
        <v>1</v>
      </c>
      <c r="O15" s="103" t="str">
        <f>IFERROR(_xll.qlRateHelperEarliestDate(I15,Trigger),"--")</f>
        <v>--</v>
      </c>
      <c r="P15" s="103" t="str">
        <f>IFERROR(_xll.qlRateHelperPillarDate(I15,Trigger),"--")</f>
        <v>--</v>
      </c>
      <c r="R15" s="4" t="str">
        <f t="shared" si="2"/>
        <v>MTOIS</v>
      </c>
      <c r="S15" s="4" t="str">
        <v>obj_00228</v>
      </c>
      <c r="T15" s="4" t="str">
        <f>IFERROR(_xll.qlRateHelperQuoteName(S15,Trigger),"")</f>
        <v>AUDMTOIS4Y_Quote</v>
      </c>
      <c r="U15" s="73">
        <f>IFERROR(_xll.qlRateHelperRate(S15,Trigger),"")</f>
        <v>2.12E-2</v>
      </c>
      <c r="V15" s="108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42356</v>
      </c>
      <c r="X15" s="5">
        <f>IFERROR(_xll.qlRateHelperPillarDate(S15,Trigger),"")</f>
        <v>43817</v>
      </c>
      <c r="Y15" s="81">
        <v>0.91921736320218894</v>
      </c>
      <c r="Z15" s="175"/>
      <c r="AA15" s="161">
        <v>5</v>
      </c>
      <c r="AB15" s="162">
        <f>_xll.qlCalendarEndOfMonth(Calendar,_xll.qlCalendarAdvance(Calendar,AB14,"1m","mf",TRUE),Trigger)</f>
        <v>42489</v>
      </c>
      <c r="AC15" s="161" t="str">
        <f t="shared" si="7"/>
        <v>AUDJump5_SYNTHON_Quote</v>
      </c>
      <c r="AD15" s="180">
        <f>_xll.qlDayCounterYearFraction("actual/360",AB15,_xll.qlCalendarAdvance(Calendar,AB15,"1D",,,Trigger))</f>
        <v>8.3333333333333332E-3</v>
      </c>
      <c r="AE15" s="163" t="e">
        <f>IF(_xll.qlQuoteIsValid(AC15,Trigger),_xll.qlQuoteValue(AC15,Trigger),1)</f>
        <v>#NUM!</v>
      </c>
      <c r="AF15" s="183" t="e">
        <f t="shared" si="8"/>
        <v>#NUM!</v>
      </c>
      <c r="AG15" s="164"/>
      <c r="AH15" s="163" t="str">
        <f t="shared" si="9"/>
        <v>AUDJump5_SYNTHON_Quote</v>
      </c>
    </row>
    <row r="16" spans="1:34" ht="11.25" customHeight="1" x14ac:dyDescent="0.2">
      <c r="A16" s="62" t="s">
        <v>70</v>
      </c>
      <c r="B16" s="63" t="s">
        <v>3</v>
      </c>
      <c r="C16" s="64">
        <v>1</v>
      </c>
      <c r="D16" s="65" t="str">
        <f t="shared" si="6"/>
        <v>Aonia</v>
      </c>
      <c r="E16" s="66" t="str">
        <f t="shared" si="5"/>
        <v>AUDOIS6M_Quote</v>
      </c>
      <c r="F16" s="67" t="str">
        <f>_xll.qlOISRateHelper(,C16,B16,E16,$D16,,Permanent,Trigger,ObjectOverwrite)</f>
        <v>obj_0022e#0001</v>
      </c>
      <c r="G16" s="51"/>
      <c r="H16" s="10" t="str">
        <f t="shared" si="3"/>
        <v>OIS</v>
      </c>
      <c r="I16" s="98" t="str">
        <f t="shared" si="4"/>
        <v>--</v>
      </c>
      <c r="J16" s="144" t="str">
        <f>IFERROR(_xll.qlRateHelperQuoteName(I16,Trigger),"--")</f>
        <v>--</v>
      </c>
      <c r="K16" s="102" t="str">
        <f>IFERROR(_xll.qlRateHelperQuoteValue($I16,Trigger),"--")</f>
        <v>--</v>
      </c>
      <c r="L16" s="101" t="b">
        <v>0</v>
      </c>
      <c r="M16" s="98">
        <v>50</v>
      </c>
      <c r="N16" s="98">
        <v>1</v>
      </c>
      <c r="O16" s="103" t="str">
        <f>IFERROR(_xll.qlRateHelperEarliestDate(I16,Trigger),"--")</f>
        <v>--</v>
      </c>
      <c r="P16" s="103" t="str">
        <f>IFERROR(_xll.qlRateHelperPillarDate(I16,Trigger),"--")</f>
        <v>--</v>
      </c>
      <c r="R16" s="4" t="str">
        <f t="shared" si="2"/>
        <v>MTOIS</v>
      </c>
      <c r="S16" s="4" t="str">
        <v>obj_00230</v>
      </c>
      <c r="T16" s="4" t="str">
        <f>IFERROR(_xll.qlRateHelperQuoteName(S16,Trigger),"")</f>
        <v>AUDMTOIS5Y_Quote</v>
      </c>
      <c r="U16" s="73">
        <f>IFERROR(_xll.qlRateHelperRate(S16,Trigger),"")</f>
        <v>2.2499999999999999E-2</v>
      </c>
      <c r="V16" s="108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42356</v>
      </c>
      <c r="X16" s="5">
        <f>IFERROR(_xll.qlRateHelperPillarDate(S16,Trigger),"")</f>
        <v>44183</v>
      </c>
      <c r="Y16" s="81">
        <v>0.89409482129929341</v>
      </c>
      <c r="Z16" s="175"/>
      <c r="AA16" s="161">
        <v>6</v>
      </c>
      <c r="AB16" s="162">
        <f>_xll.qlCalendarEndOfMonth(Calendar,_xll.qlCalendarAdvance(Calendar,AB15,"1m","mf",TRUE),Trigger)</f>
        <v>42521</v>
      </c>
      <c r="AC16" s="161" t="str">
        <f t="shared" si="7"/>
        <v>AUDJump6_SYNTHON_Quote</v>
      </c>
      <c r="AD16" s="180">
        <f>_xll.qlDayCounterYearFraction("actual/360",AB16,_xll.qlCalendarAdvance(Calendar,AB16,"1D",,,Trigger))</f>
        <v>2.7777777777777779E-3</v>
      </c>
      <c r="AE16" s="163" t="e">
        <f>IF(_xll.qlQuoteIsValid(AC16,Trigger),_xll.qlQuoteValue(AC16,Trigger),1)</f>
        <v>#NUM!</v>
      </c>
      <c r="AF16" s="183" t="e">
        <f t="shared" si="8"/>
        <v>#NUM!</v>
      </c>
      <c r="AG16" s="164"/>
      <c r="AH16" s="163" t="str">
        <f t="shared" si="9"/>
        <v>AUDJump6_SYNTHON_Quote</v>
      </c>
    </row>
    <row r="17" spans="1:34" ht="11.25" customHeight="1" x14ac:dyDescent="0.2">
      <c r="A17" s="62" t="s">
        <v>70</v>
      </c>
      <c r="B17" s="63" t="s">
        <v>44</v>
      </c>
      <c r="C17" s="64">
        <v>1</v>
      </c>
      <c r="D17" s="65" t="str">
        <f t="shared" si="6"/>
        <v>Aonia</v>
      </c>
      <c r="E17" s="66" t="str">
        <f t="shared" si="5"/>
        <v>AUDOIS7M_Quote</v>
      </c>
      <c r="F17" s="67"/>
      <c r="G17" s="51"/>
      <c r="H17" s="10" t="str">
        <f t="shared" si="3"/>
        <v>OIS</v>
      </c>
      <c r="I17" s="98" t="str">
        <f t="shared" si="4"/>
        <v>obj_00223#0001</v>
      </c>
      <c r="J17" s="144" t="str">
        <f>IFERROR(_xll.qlRateHelperQuoteName(I17,Trigger),"--")</f>
        <v>AUDOIS9M_Quote</v>
      </c>
      <c r="K17" s="102">
        <f>IFERROR(_xll.qlRateHelperQuoteValue($I17,Trigger),"--")</f>
        <v>1.9225000000000003E-2</v>
      </c>
      <c r="L17" s="101" t="b">
        <v>1</v>
      </c>
      <c r="M17" s="98">
        <v>50</v>
      </c>
      <c r="N17" s="98">
        <v>1</v>
      </c>
      <c r="O17" s="103">
        <f>IFERROR(_xll.qlRateHelperEarliestDate(I17,Trigger),"--")</f>
        <v>42356</v>
      </c>
      <c r="P17" s="103">
        <f>IFERROR(_xll.qlRateHelperPillarDate(I17,Trigger),"--")</f>
        <v>42632</v>
      </c>
      <c r="R17" s="4" t="str">
        <f t="shared" si="2"/>
        <v>MTOIS</v>
      </c>
      <c r="S17" s="4" t="str">
        <v>obj_00227</v>
      </c>
      <c r="T17" s="4" t="str">
        <f>IFERROR(_xll.qlRateHelperQuoteName(S17,Trigger),"")</f>
        <v>AUDMTOIS6Y_Quote</v>
      </c>
      <c r="U17" s="73">
        <f>IFERROR(_xll.qlRateHelperRate(S17,Trigger),"")</f>
        <v>2.3730000000000001E-2</v>
      </c>
      <c r="V17" s="108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42356</v>
      </c>
      <c r="X17" s="5">
        <f>IFERROR(_xll.qlRateHelperPillarDate(S17,Trigger),"")</f>
        <v>44550</v>
      </c>
      <c r="Y17" s="81">
        <v>0.86760720134711633</v>
      </c>
      <c r="Z17" s="175"/>
      <c r="AA17" s="161">
        <v>7</v>
      </c>
      <c r="AB17" s="162">
        <f>_xll.qlCalendarEndOfMonth(Calendar,_xll.qlCalendarAdvance(Calendar,AB16,"1m","mf",TRUE),Trigger)</f>
        <v>42551</v>
      </c>
      <c r="AC17" s="161" t="str">
        <f t="shared" si="7"/>
        <v>AUDJump7_SYNTHON_Quote</v>
      </c>
      <c r="AD17" s="180">
        <f>_xll.qlDayCounterYearFraction("actual/360",AB17,_xll.qlCalendarAdvance(Calendar,AB17,"1D",,,Trigger))</f>
        <v>2.7777777777777779E-3</v>
      </c>
      <c r="AE17" s="163" t="e">
        <f>IF(_xll.qlQuoteIsValid(AC17,Trigger),_xll.qlQuoteValue(AC17,Trigger),1)</f>
        <v>#NUM!</v>
      </c>
      <c r="AF17" s="183" t="e">
        <f t="shared" si="8"/>
        <v>#NUM!</v>
      </c>
      <c r="AG17" s="164"/>
      <c r="AH17" s="163" t="str">
        <f t="shared" si="9"/>
        <v>AUDJump7_SYNTHON_Quote</v>
      </c>
    </row>
    <row r="18" spans="1:34" ht="11.25" customHeight="1" x14ac:dyDescent="0.2">
      <c r="A18" s="62" t="s">
        <v>70</v>
      </c>
      <c r="B18" s="63" t="s">
        <v>45</v>
      </c>
      <c r="C18" s="64">
        <v>1</v>
      </c>
      <c r="D18" s="65" t="str">
        <f t="shared" si="6"/>
        <v>Aonia</v>
      </c>
      <c r="E18" s="66" t="str">
        <f t="shared" si="5"/>
        <v>AUDOIS8M_Quote</v>
      </c>
      <c r="F18" s="67"/>
      <c r="G18" s="51"/>
      <c r="H18" s="10" t="str">
        <f t="shared" si="3"/>
        <v>OIS</v>
      </c>
      <c r="I18" s="98" t="str">
        <f t="shared" si="4"/>
        <v>--</v>
      </c>
      <c r="J18" s="144" t="str">
        <f>IFERROR(_xll.qlRateHelperQuoteName(I18,Trigger),"--")</f>
        <v>--</v>
      </c>
      <c r="K18" s="102" t="str">
        <f>IFERROR(_xll.qlRateHelperQuoteValue($I18,Trigger),"--")</f>
        <v>--</v>
      </c>
      <c r="L18" s="101" t="b">
        <v>0</v>
      </c>
      <c r="M18" s="98">
        <v>50</v>
      </c>
      <c r="N18" s="98">
        <v>1</v>
      </c>
      <c r="O18" s="103" t="str">
        <f>IFERROR(_xll.qlRateHelperEarliestDate(I18,Trigger),"--")</f>
        <v>--</v>
      </c>
      <c r="P18" s="103" t="str">
        <f>IFERROR(_xll.qlRateHelperPillarDate(I18,Trigger),"--")</f>
        <v>--</v>
      </c>
      <c r="R18" s="4" t="str">
        <f t="shared" si="2"/>
        <v>MTOIS</v>
      </c>
      <c r="S18" s="4" t="str">
        <v>obj_0021f</v>
      </c>
      <c r="T18" s="4" t="str">
        <f>IFERROR(_xll.qlRateHelperQuoteName(S18,Trigger),"")</f>
        <v>AUDMTOIS7Y_Quote</v>
      </c>
      <c r="U18" s="73">
        <f>IFERROR(_xll.qlRateHelperRate(S18,Trigger),"")</f>
        <v>2.4929999999999997E-2</v>
      </c>
      <c r="V18" s="108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42356</v>
      </c>
      <c r="X18" s="5">
        <f>IFERROR(_xll.qlRateHelperPillarDate(S18,Trigger),"")</f>
        <v>44914</v>
      </c>
      <c r="Y18" s="81">
        <v>0.84003043000352928</v>
      </c>
      <c r="Z18" s="175"/>
      <c r="AA18" s="161">
        <v>8</v>
      </c>
      <c r="AB18" s="162">
        <f>_xll.qlCalendarEndOfMonth(Calendar,_xll.qlCalendarAdvance(Calendar,AB17,"1m","mf",TRUE),Trigger)</f>
        <v>42580</v>
      </c>
      <c r="AC18" s="161" t="str">
        <f t="shared" si="7"/>
        <v>AUDJump8_SYNTHON_Quote</v>
      </c>
      <c r="AD18" s="180">
        <f>_xll.qlDayCounterYearFraction("actual/360",AB18,_xll.qlCalendarAdvance(Calendar,AB18,"1D",,,Trigger))</f>
        <v>1.1111111111111112E-2</v>
      </c>
      <c r="AE18" s="163" t="e">
        <f>IF(_xll.qlQuoteIsValid(AC18,Trigger),_xll.qlQuoteValue(AC18,Trigger),1)</f>
        <v>#NUM!</v>
      </c>
      <c r="AF18" s="183" t="e">
        <f t="shared" si="8"/>
        <v>#NUM!</v>
      </c>
      <c r="AG18" s="164"/>
      <c r="AH18" s="163" t="str">
        <f t="shared" si="9"/>
        <v>AUDJump8_SYNTHON_Quote</v>
      </c>
    </row>
    <row r="19" spans="1:34" ht="11.25" customHeight="1" x14ac:dyDescent="0.2">
      <c r="A19" s="62" t="s">
        <v>70</v>
      </c>
      <c r="B19" s="63" t="s">
        <v>46</v>
      </c>
      <c r="C19" s="64">
        <v>1</v>
      </c>
      <c r="D19" s="65" t="str">
        <f t="shared" si="6"/>
        <v>Aonia</v>
      </c>
      <c r="E19" s="66" t="str">
        <f t="shared" si="5"/>
        <v>AUDOIS9M_Quote</v>
      </c>
      <c r="F19" s="67" t="str">
        <f>_xll.qlOISRateHelper(,C19,B19,E19,$D19,,Permanent,Trigger,ObjectOverwrite)</f>
        <v>obj_00223#0001</v>
      </c>
      <c r="G19" s="51"/>
      <c r="H19" s="10" t="str">
        <f t="shared" si="3"/>
        <v>OIS</v>
      </c>
      <c r="I19" s="98" t="str">
        <f t="shared" si="4"/>
        <v>--</v>
      </c>
      <c r="J19" s="144" t="str">
        <f>IFERROR(_xll.qlRateHelperQuoteName(I19,Trigger),"--")</f>
        <v>--</v>
      </c>
      <c r="K19" s="102" t="str">
        <f>IFERROR(_xll.qlRateHelperQuoteValue($I19,Trigger),"--")</f>
        <v>--</v>
      </c>
      <c r="L19" s="101" t="b">
        <v>0</v>
      </c>
      <c r="M19" s="98">
        <v>50</v>
      </c>
      <c r="N19" s="98">
        <v>1</v>
      </c>
      <c r="O19" s="103" t="str">
        <f>IFERROR(_xll.qlRateHelperEarliestDate(I19,Trigger),"--")</f>
        <v>--</v>
      </c>
      <c r="P19" s="103" t="str">
        <f>IFERROR(_xll.qlRateHelperPillarDate(I19,Trigger),"--")</f>
        <v>--</v>
      </c>
      <c r="R19" s="4" t="str">
        <f t="shared" si="2"/>
        <v>MTOIS</v>
      </c>
      <c r="S19" s="4" t="str">
        <v>obj_00229</v>
      </c>
      <c r="T19" s="4" t="str">
        <f>IFERROR(_xll.qlRateHelperQuoteName(S19,Trigger),"")</f>
        <v>AUDMTOIS8Y_Quote</v>
      </c>
      <c r="U19" s="73">
        <f>IFERROR(_xll.qlRateHelperRate(S19,Trigger),"")</f>
        <v>2.5750000000000002E-2</v>
      </c>
      <c r="V19" s="108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42356</v>
      </c>
      <c r="X19" s="5">
        <f>IFERROR(_xll.qlRateHelperPillarDate(S19,Trigger),"")</f>
        <v>45278</v>
      </c>
      <c r="Y19" s="81">
        <v>0.81387074243247071</v>
      </c>
      <c r="Z19" s="175"/>
      <c r="AA19" s="161">
        <v>9</v>
      </c>
      <c r="AB19" s="162">
        <f>_xll.qlCalendarEndOfMonth(Calendar,_xll.qlCalendarAdvance(Calendar,AB18,"1m","mf",TRUE),Trigger)</f>
        <v>42613</v>
      </c>
      <c r="AC19" s="161" t="str">
        <f t="shared" si="7"/>
        <v>AUDJump9_SYNTHON_Quote</v>
      </c>
      <c r="AD19" s="180">
        <f>_xll.qlDayCounterYearFraction("actual/360",AB19,_xll.qlCalendarAdvance(Calendar,AB19,"1D",,,Trigger))</f>
        <v>2.7777777777777779E-3</v>
      </c>
      <c r="AE19" s="163" t="e">
        <f>IF(_xll.qlQuoteIsValid(AC19,Trigger),_xll.qlQuoteValue(AC19,Trigger),1)</f>
        <v>#NUM!</v>
      </c>
      <c r="AF19" s="183" t="e">
        <f t="shared" si="8"/>
        <v>#NUM!</v>
      </c>
      <c r="AG19" s="164"/>
      <c r="AH19" s="163" t="str">
        <f t="shared" si="9"/>
        <v>AUDJump9_SYNTHON_Quote</v>
      </c>
    </row>
    <row r="20" spans="1:34" ht="11.25" customHeight="1" x14ac:dyDescent="0.2">
      <c r="A20" s="62" t="s">
        <v>70</v>
      </c>
      <c r="B20" s="63" t="s">
        <v>47</v>
      </c>
      <c r="C20" s="64">
        <v>1</v>
      </c>
      <c r="D20" s="65" t="str">
        <f t="shared" si="6"/>
        <v>Aonia</v>
      </c>
      <c r="E20" s="66" t="str">
        <f t="shared" si="5"/>
        <v>AUDOIS10M_Quote</v>
      </c>
      <c r="F20" s="67"/>
      <c r="G20" s="51"/>
      <c r="H20" s="10" t="str">
        <f t="shared" si="3"/>
        <v>OIS</v>
      </c>
      <c r="I20" s="98" t="str">
        <f t="shared" si="4"/>
        <v>--</v>
      </c>
      <c r="J20" s="144" t="str">
        <f>IFERROR(_xll.qlRateHelperQuoteName(I20,Trigger),"--")</f>
        <v>--</v>
      </c>
      <c r="K20" s="102" t="str">
        <f>IFERROR(_xll.qlRateHelperQuoteValue($I20,Trigger),"--")</f>
        <v>--</v>
      </c>
      <c r="L20" s="101" t="b">
        <v>0</v>
      </c>
      <c r="M20" s="98">
        <v>50</v>
      </c>
      <c r="N20" s="98">
        <v>1</v>
      </c>
      <c r="O20" s="103" t="str">
        <f>IFERROR(_xll.qlRateHelperEarliestDate(I20,Trigger),"--")</f>
        <v>--</v>
      </c>
      <c r="P20" s="103" t="str">
        <f>IFERROR(_xll.qlRateHelperPillarDate(I20,Trigger),"--")</f>
        <v>--</v>
      </c>
      <c r="R20" s="4" t="str">
        <f t="shared" si="2"/>
        <v>MTOIS</v>
      </c>
      <c r="S20" s="4" t="str">
        <v>obj_0022f</v>
      </c>
      <c r="T20" s="4" t="str">
        <f>IFERROR(_xll.qlRateHelperQuoteName(S20,Trigger),"")</f>
        <v>AUDMTOIS9Y_Quote</v>
      </c>
      <c r="U20" s="73">
        <f>IFERROR(_xll.qlRateHelperRate(S20,Trigger),"")</f>
        <v>2.6600000000000002E-2</v>
      </c>
      <c r="V20" s="108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42356</v>
      </c>
      <c r="X20" s="5">
        <f>IFERROR(_xll.qlRateHelperPillarDate(S20,Trigger),"")</f>
        <v>45644</v>
      </c>
      <c r="Y20" s="81">
        <v>0.78674375890140724</v>
      </c>
      <c r="Z20" s="175"/>
      <c r="AA20" s="161">
        <v>10</v>
      </c>
      <c r="AB20" s="162">
        <f>_xll.qlCalendarEndOfMonth(Calendar,_xll.qlCalendarAdvance(Calendar,AB19,"1m","mf",TRUE),Trigger)</f>
        <v>42643</v>
      </c>
      <c r="AC20" s="161" t="str">
        <f t="shared" si="7"/>
        <v>AUDJump10_SYNTHON_Quote</v>
      </c>
      <c r="AD20" s="180">
        <f>_xll.qlDayCounterYearFraction("actual/360",AB20,_xll.qlCalendarAdvance(Calendar,AB20,"1D",,,Trigger))</f>
        <v>1.1111111111111112E-2</v>
      </c>
      <c r="AE20" s="163" t="e">
        <f>IF(_xll.qlQuoteIsValid(AC20,Trigger),_xll.qlQuoteValue(AC20,Trigger),1)</f>
        <v>#NUM!</v>
      </c>
      <c r="AF20" s="183" t="e">
        <f t="shared" si="8"/>
        <v>#NUM!</v>
      </c>
      <c r="AG20" s="164"/>
      <c r="AH20" s="163" t="str">
        <f t="shared" si="9"/>
        <v>AUDJump10_SYNTHON_Quote</v>
      </c>
    </row>
    <row r="21" spans="1:34" ht="11.25" customHeight="1" x14ac:dyDescent="0.2">
      <c r="A21" s="62" t="s">
        <v>70</v>
      </c>
      <c r="B21" s="63" t="s">
        <v>48</v>
      </c>
      <c r="C21" s="64">
        <v>1</v>
      </c>
      <c r="D21" s="65" t="str">
        <f t="shared" si="6"/>
        <v>Aonia</v>
      </c>
      <c r="E21" s="66" t="str">
        <f t="shared" si="5"/>
        <v>AUDOIS11M_Quote</v>
      </c>
      <c r="F21" s="67"/>
      <c r="G21" s="51"/>
      <c r="H21" s="10" t="str">
        <f t="shared" si="3"/>
        <v>OIS</v>
      </c>
      <c r="I21" s="98" t="str">
        <f t="shared" si="4"/>
        <v>--</v>
      </c>
      <c r="J21" s="144" t="str">
        <f>IFERROR(_xll.qlRateHelperQuoteName(I21,Trigger),"--")</f>
        <v>--</v>
      </c>
      <c r="K21" s="102" t="str">
        <f>IFERROR(_xll.qlRateHelperQuoteValue($I21,Trigger),"--")</f>
        <v>--</v>
      </c>
      <c r="L21" s="101" t="b">
        <v>0</v>
      </c>
      <c r="M21" s="98">
        <v>50</v>
      </c>
      <c r="N21" s="98">
        <v>1</v>
      </c>
      <c r="O21" s="103" t="str">
        <f>IFERROR(_xll.qlRateHelperEarliestDate(I21,Trigger),"--")</f>
        <v>--</v>
      </c>
      <c r="P21" s="103" t="str">
        <f>IFERROR(_xll.qlRateHelperPillarDate(I21,Trigger),"--")</f>
        <v>--</v>
      </c>
      <c r="R21" s="4" t="str">
        <f t="shared" si="2"/>
        <v>MTOIS</v>
      </c>
      <c r="S21" s="4" t="str">
        <v>obj_00225</v>
      </c>
      <c r="T21" s="4" t="str">
        <f>IFERROR(_xll.qlRateHelperQuoteName(S21,Trigger),"")</f>
        <v>AUDMTOIS10Y_Quote</v>
      </c>
      <c r="U21" s="73">
        <f>IFERROR(_xll.qlRateHelperRate(S21,Trigger),"")</f>
        <v>2.743E-2</v>
      </c>
      <c r="V21" s="108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42356</v>
      </c>
      <c r="X21" s="5">
        <f>IFERROR(_xll.qlRateHelperPillarDate(S21,Trigger),"")</f>
        <v>46009</v>
      </c>
      <c r="Y21" s="81">
        <v>0.75926460407686247</v>
      </c>
      <c r="Z21" s="175"/>
      <c r="AA21" s="161">
        <v>11</v>
      </c>
      <c r="AB21" s="162">
        <f>_xll.qlCalendarEndOfMonth(Calendar,_xll.qlCalendarAdvance(Calendar,AB20,"1m","mf",TRUE),Trigger)</f>
        <v>42674</v>
      </c>
      <c r="AC21" s="161" t="str">
        <f t="shared" si="7"/>
        <v>AUDJump11_SYNTHON_Quote</v>
      </c>
      <c r="AD21" s="180">
        <f>_xll.qlDayCounterYearFraction("actual/360",AB21,_xll.qlCalendarAdvance(Calendar,AB21,"1D",,,Trigger))</f>
        <v>2.7777777777777779E-3</v>
      </c>
      <c r="AE21" s="163" t="e">
        <f>IF(_xll.qlQuoteIsValid(AC21,Trigger),_xll.qlQuoteValue(AC21,Trigger),1)</f>
        <v>#NUM!</v>
      </c>
      <c r="AF21" s="183" t="e">
        <f t="shared" si="8"/>
        <v>#NUM!</v>
      </c>
      <c r="AG21" s="164"/>
      <c r="AH21" s="163" t="str">
        <f t="shared" si="9"/>
        <v>AUDJump11_SYNTHON_Quote</v>
      </c>
    </row>
    <row r="22" spans="1:34" ht="11.25" customHeight="1" x14ac:dyDescent="0.2">
      <c r="A22" s="62" t="s">
        <v>70</v>
      </c>
      <c r="B22" s="63" t="s">
        <v>120</v>
      </c>
      <c r="C22" s="64">
        <v>1</v>
      </c>
      <c r="D22" s="65" t="str">
        <f t="shared" si="6"/>
        <v>Aonia</v>
      </c>
      <c r="E22" s="66" t="str">
        <f t="shared" si="5"/>
        <v>AUDOIS12M_Quote</v>
      </c>
      <c r="F22" s="67"/>
      <c r="H22" s="10" t="str">
        <f t="shared" si="3"/>
        <v>OIS</v>
      </c>
      <c r="I22" s="98" t="str">
        <f t="shared" si="4"/>
        <v>--</v>
      </c>
      <c r="J22" s="144" t="str">
        <f>IFERROR(_xll.qlRateHelperQuoteName(I22,Trigger),"--")</f>
        <v>--</v>
      </c>
      <c r="K22" s="102" t="str">
        <f>IFERROR(_xll.qlRateHelperQuoteValue($I22,Trigger),"--")</f>
        <v>--</v>
      </c>
      <c r="L22" s="101" t="b">
        <v>0</v>
      </c>
      <c r="M22" s="98">
        <v>50</v>
      </c>
      <c r="N22" s="98">
        <v>1</v>
      </c>
      <c r="O22" s="103" t="str">
        <f>IFERROR(_xll.qlRateHelperEarliestDate(I22,Trigger),"--")</f>
        <v>--</v>
      </c>
      <c r="P22" s="103" t="str">
        <f>IFERROR(_xll.qlRateHelperPillarDate(I22,Trigger),"--")</f>
        <v>--</v>
      </c>
      <c r="R22" s="4" t="str">
        <f t="shared" si="2"/>
        <v>MTOIS</v>
      </c>
      <c r="S22" s="4" t="str">
        <v>obj_0022a</v>
      </c>
      <c r="T22" s="4" t="str">
        <f>IFERROR(_xll.qlRateHelperQuoteName(S22,Trigger),"")</f>
        <v>AUDMTOIS12Y_Quote</v>
      </c>
      <c r="U22" s="73">
        <f>IFERROR(_xll.qlRateHelperRate(S22,Trigger),"")</f>
        <v>2.878E-2</v>
      </c>
      <c r="V22" s="108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42356</v>
      </c>
      <c r="X22" s="5">
        <f>IFERROR(_xll.qlRateHelperPillarDate(S22,Trigger),"")</f>
        <v>46741</v>
      </c>
      <c r="Y22" s="81">
        <v>0.70591592328203789</v>
      </c>
      <c r="Z22" s="175"/>
      <c r="AA22" s="161">
        <v>12</v>
      </c>
      <c r="AB22" s="162">
        <f>_xll.qlCalendarEndOfMonth(Calendar,_xll.qlCalendarAdvance(Calendar,AB21,"1m","mf",TRUE),Trigger)</f>
        <v>42704</v>
      </c>
      <c r="AC22" s="161" t="str">
        <f t="shared" si="7"/>
        <v>AUDJump12_SYNTHON_Quote</v>
      </c>
      <c r="AD22" s="180">
        <f>_xll.qlDayCounterYearFraction("actual/360",AB22,_xll.qlCalendarAdvance(Calendar,AB22,"1D",,,Trigger))</f>
        <v>2.7777777777777779E-3</v>
      </c>
      <c r="AE22" s="163" t="e">
        <f>IF(_xll.qlQuoteIsValid(AC22,Trigger),_xll.qlQuoteValue(AC22,Trigger),1)</f>
        <v>#NUM!</v>
      </c>
      <c r="AF22" s="183" t="e">
        <f t="shared" si="8"/>
        <v>#NUM!</v>
      </c>
      <c r="AG22" s="164"/>
      <c r="AH22" s="163" t="str">
        <f t="shared" si="9"/>
        <v>AUDJump12_SYNTHON_Quote</v>
      </c>
    </row>
    <row r="23" spans="1:34" ht="11.25" customHeight="1" x14ac:dyDescent="0.2">
      <c r="A23" s="62" t="s">
        <v>70</v>
      </c>
      <c r="B23" s="63" t="s">
        <v>138</v>
      </c>
      <c r="C23" s="64">
        <v>1</v>
      </c>
      <c r="D23" s="65" t="str">
        <f t="shared" si="6"/>
        <v>Aonia</v>
      </c>
      <c r="E23" s="66" t="str">
        <f t="shared" si="5"/>
        <v>AUDOIS13M_Quote</v>
      </c>
      <c r="F23" s="67"/>
      <c r="H23" s="10" t="str">
        <f t="shared" si="3"/>
        <v>OIS</v>
      </c>
      <c r="I23" s="98" t="str">
        <f t="shared" si="4"/>
        <v>--</v>
      </c>
      <c r="J23" s="144" t="str">
        <f>IFERROR(_xll.qlRateHelperQuoteName(I23,Trigger),"--")</f>
        <v>--</v>
      </c>
      <c r="K23" s="102" t="str">
        <f>IFERROR(_xll.qlRateHelperQuoteValue($I23,Trigger),"--")</f>
        <v>--</v>
      </c>
      <c r="L23" s="101" t="b">
        <v>0</v>
      </c>
      <c r="M23" s="98">
        <v>50</v>
      </c>
      <c r="N23" s="98">
        <v>1</v>
      </c>
      <c r="O23" s="103" t="str">
        <f>IFERROR(_xll.qlRateHelperEarliestDate(I23,Trigger),"--")</f>
        <v>--</v>
      </c>
      <c r="P23" s="103" t="str">
        <f>IFERROR(_xll.qlRateHelperPillarDate(I23,Trigger),"--")</f>
        <v>--</v>
      </c>
      <c r="R23" s="4" t="str">
        <f t="shared" si="2"/>
        <v>MTOIS</v>
      </c>
      <c r="S23" s="4" t="str">
        <v>obj_0021c</v>
      </c>
      <c r="T23" s="4" t="str">
        <f>IFERROR(_xll.qlRateHelperQuoteName(S23,Trigger),"")</f>
        <v>AUDMTOIS15Y_Quote</v>
      </c>
      <c r="U23" s="73">
        <f>IFERROR(_xll.qlRateHelperRate(S23,Trigger),"")</f>
        <v>3.0249999999999999E-2</v>
      </c>
      <c r="V23" s="108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42356</v>
      </c>
      <c r="X23" s="5">
        <f>IFERROR(_xll.qlRateHelperPillarDate(S23,Trigger),"")</f>
        <v>47835</v>
      </c>
      <c r="Y23" s="81">
        <v>0.631435790620544</v>
      </c>
      <c r="Z23" s="175"/>
      <c r="AA23" s="165">
        <v>13</v>
      </c>
      <c r="AB23" s="166">
        <f>_xll.qlCalendarAdjust(Calendar,DATE(YEAR(AB11)+1,12,31),"preceding",Trigger)</f>
        <v>42734</v>
      </c>
      <c r="AC23" s="165" t="str">
        <f t="shared" si="7"/>
        <v>AUDJump13_SYNTHON_Quote</v>
      </c>
      <c r="AD23" s="181">
        <f>_xll.qlDayCounterYearFraction("actual/360",AB23,_xll.qlCalendarAdvance(Calendar,AB23,"1D",,,Trigger))</f>
        <v>8.3333333333333332E-3</v>
      </c>
      <c r="AE23" s="167" t="e">
        <f>IF(_xll.qlQuoteIsValid(AC23,Trigger),_xll.qlQuoteValue(AC23,Trigger),1)</f>
        <v>#NUM!</v>
      </c>
      <c r="AF23" s="184" t="e">
        <f t="shared" si="8"/>
        <v>#NUM!</v>
      </c>
      <c r="AG23" s="168"/>
      <c r="AH23" s="167" t="str">
        <f t="shared" si="9"/>
        <v>AUDJump13_SYNTHON_Quote</v>
      </c>
    </row>
    <row r="24" spans="1:34" ht="11.25" customHeight="1" x14ac:dyDescent="0.2">
      <c r="A24" s="62" t="s">
        <v>70</v>
      </c>
      <c r="B24" s="63" t="s">
        <v>139</v>
      </c>
      <c r="C24" s="64">
        <v>1</v>
      </c>
      <c r="D24" s="65" t="str">
        <f t="shared" si="6"/>
        <v>Aonia</v>
      </c>
      <c r="E24" s="66" t="str">
        <f t="shared" si="5"/>
        <v>AUDOIS14M_Quote</v>
      </c>
      <c r="F24" s="67"/>
      <c r="H24" s="10" t="str">
        <f t="shared" si="3"/>
        <v>OIS</v>
      </c>
      <c r="I24" s="98" t="str">
        <f t="shared" si="4"/>
        <v>--</v>
      </c>
      <c r="J24" s="144" t="str">
        <f>IFERROR(_xll.qlRateHelperQuoteName(I24,Trigger),"--")</f>
        <v>--</v>
      </c>
      <c r="K24" s="102" t="str">
        <f>IFERROR(_xll.qlRateHelperQuoteValue($I24,Trigger),"--")</f>
        <v>--</v>
      </c>
      <c r="L24" s="101" t="b">
        <v>0</v>
      </c>
      <c r="M24" s="98">
        <v>50</v>
      </c>
      <c r="N24" s="98">
        <v>1</v>
      </c>
      <c r="O24" s="103" t="str">
        <f>IFERROR(_xll.qlRateHelperEarliestDate(I24,Trigger),"--")</f>
        <v>--</v>
      </c>
      <c r="P24" s="103" t="str">
        <f>IFERROR(_xll.qlRateHelperPillarDate(I24,Trigger),"--")</f>
        <v>--</v>
      </c>
      <c r="R24" s="4" t="str">
        <f t="shared" si="2"/>
        <v>MTOIS</v>
      </c>
      <c r="S24" s="4" t="str">
        <v>obj_0022d</v>
      </c>
      <c r="T24" s="4" t="str">
        <f>IFERROR(_xll.qlRateHelperQuoteName(S24,Trigger),"")</f>
        <v>AUDMTOIS20Y_Quote</v>
      </c>
      <c r="U24" s="73">
        <f>IFERROR(_xll.qlRateHelperRate(S24,Trigger),"")</f>
        <v>3.1850000000000003E-2</v>
      </c>
      <c r="V24" s="108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42356</v>
      </c>
      <c r="X24" s="5">
        <f>IFERROR(_xll.qlRateHelperPillarDate(S24,Trigger),"")</f>
        <v>49661</v>
      </c>
      <c r="Y24" s="81">
        <v>0.52208327657074394</v>
      </c>
      <c r="Z24" s="175"/>
    </row>
    <row r="25" spans="1:34" ht="11.25" customHeight="1" x14ac:dyDescent="0.2">
      <c r="A25" s="62" t="s">
        <v>70</v>
      </c>
      <c r="B25" s="63" t="s">
        <v>49</v>
      </c>
      <c r="C25" s="64">
        <v>1</v>
      </c>
      <c r="D25" s="65" t="str">
        <f t="shared" si="6"/>
        <v>Aonia</v>
      </c>
      <c r="E25" s="66" t="str">
        <f t="shared" si="5"/>
        <v>AUDOIS15M_Quote</v>
      </c>
      <c r="F25" s="67"/>
      <c r="H25" s="10" t="str">
        <f t="shared" si="3"/>
        <v>OIS</v>
      </c>
      <c r="I25" s="98" t="str">
        <f t="shared" si="4"/>
        <v>--</v>
      </c>
      <c r="J25" s="144" t="str">
        <f>IFERROR(_xll.qlRateHelperQuoteName(I25,Trigger),"--")</f>
        <v>--</v>
      </c>
      <c r="K25" s="102" t="str">
        <f>IFERROR(_xll.qlRateHelperQuoteValue($I25,Trigger),"--")</f>
        <v>--</v>
      </c>
      <c r="L25" s="101" t="b">
        <v>0</v>
      </c>
      <c r="M25" s="98">
        <v>50</v>
      </c>
      <c r="N25" s="98">
        <v>1</v>
      </c>
      <c r="O25" s="103" t="str">
        <f>IFERROR(_xll.qlRateHelperEarliestDate(I25,Trigger),"--")</f>
        <v>--</v>
      </c>
      <c r="P25" s="103" t="str">
        <f>IFERROR(_xll.qlRateHelperPillarDate(I25,Trigger),"--")</f>
        <v>--</v>
      </c>
      <c r="R25" s="4" t="str">
        <f t="shared" si="2"/>
        <v>MTOIS</v>
      </c>
      <c r="S25" s="4" t="str">
        <v>obj_00226</v>
      </c>
      <c r="T25" s="4" t="str">
        <f>IFERROR(_xll.qlRateHelperQuoteName(S25,Trigger),"")</f>
        <v>AUDMTOIS25Y_Quote</v>
      </c>
      <c r="U25" s="73">
        <f>IFERROR(_xll.qlRateHelperRate(S25,Trigger),"")</f>
        <v>3.2329999999999998E-2</v>
      </c>
      <c r="V25" s="108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42356</v>
      </c>
      <c r="X25" s="5">
        <f>IFERROR(_xll.qlRateHelperPillarDate(S25,Trigger),"")</f>
        <v>51488</v>
      </c>
      <c r="Y25" s="81">
        <v>0.43881339762942889</v>
      </c>
      <c r="Z25" s="175"/>
    </row>
    <row r="26" spans="1:34" ht="11.25" customHeight="1" x14ac:dyDescent="0.2">
      <c r="A26" s="62" t="s">
        <v>70</v>
      </c>
      <c r="B26" s="63" t="s">
        <v>140</v>
      </c>
      <c r="C26" s="64">
        <v>1</v>
      </c>
      <c r="D26" s="65" t="str">
        <f t="shared" si="6"/>
        <v>Aonia</v>
      </c>
      <c r="E26" s="66" t="str">
        <f t="shared" si="5"/>
        <v>AUDOIS16M_Quote</v>
      </c>
      <c r="F26" s="67"/>
      <c r="H26" s="10" t="str">
        <f t="shared" si="3"/>
        <v>OIS</v>
      </c>
      <c r="I26" s="98" t="str">
        <f t="shared" si="4"/>
        <v>--</v>
      </c>
      <c r="J26" s="144" t="str">
        <f>IFERROR(_xll.qlRateHelperQuoteName(I26,Trigger),"--")</f>
        <v>--</v>
      </c>
      <c r="K26" s="102" t="str">
        <f>IFERROR(_xll.qlRateHelperQuoteValue($I26,Trigger),"--")</f>
        <v>--</v>
      </c>
      <c r="L26" s="101" t="b">
        <v>0</v>
      </c>
      <c r="M26" s="98">
        <v>50</v>
      </c>
      <c r="N26" s="98">
        <v>1</v>
      </c>
      <c r="O26" s="103" t="str">
        <f>IFERROR(_xll.qlRateHelperEarliestDate(I26,Trigger),"--")</f>
        <v>--</v>
      </c>
      <c r="P26" s="103" t="str">
        <f>IFERROR(_xll.qlRateHelperPillarDate(I26,Trigger),"--")</f>
        <v>--</v>
      </c>
      <c r="R26" s="4" t="str">
        <f t="shared" si="2"/>
        <v>MTOIS</v>
      </c>
      <c r="S26" s="4" t="str">
        <v>obj_00219</v>
      </c>
      <c r="T26" s="4" t="str">
        <f>IFERROR(_xll.qlRateHelperQuoteName(S26,Trigger),"")</f>
        <v>AUDMTOIS30Y_Quote</v>
      </c>
      <c r="U26" s="73">
        <f>IFERROR(_xll.qlRateHelperRate(S26,Trigger),"")</f>
        <v>3.2199999999999999E-2</v>
      </c>
      <c r="V26" s="108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42356</v>
      </c>
      <c r="X26" s="5">
        <f>IFERROR(_xll.qlRateHelperPillarDate(S26,Trigger),"")</f>
        <v>53314</v>
      </c>
      <c r="Y26" s="81">
        <v>0.37658660681855183</v>
      </c>
      <c r="Z26" s="175"/>
    </row>
    <row r="27" spans="1:34" ht="11.25" customHeight="1" x14ac:dyDescent="0.2">
      <c r="A27" s="62" t="s">
        <v>70</v>
      </c>
      <c r="B27" s="63" t="s">
        <v>141</v>
      </c>
      <c r="C27" s="64">
        <v>1</v>
      </c>
      <c r="D27" s="65" t="str">
        <f t="shared" si="6"/>
        <v>Aonia</v>
      </c>
      <c r="E27" s="66" t="str">
        <f t="shared" si="5"/>
        <v>AUDOIS17M_Quote</v>
      </c>
      <c r="F27" s="67"/>
      <c r="H27" s="10" t="str">
        <f t="shared" si="3"/>
        <v>OIS</v>
      </c>
      <c r="I27" s="98" t="str">
        <f t="shared" si="4"/>
        <v>--</v>
      </c>
      <c r="J27" s="144" t="str">
        <f>IFERROR(_xll.qlRateHelperQuoteName(I27,Trigger),"--")</f>
        <v>--</v>
      </c>
      <c r="K27" s="102" t="str">
        <f>IFERROR(_xll.qlRateHelperQuoteValue($I27,Trigger),"--")</f>
        <v>--</v>
      </c>
      <c r="L27" s="101" t="b">
        <v>0</v>
      </c>
      <c r="M27" s="98">
        <v>50</v>
      </c>
      <c r="N27" s="98">
        <v>1</v>
      </c>
      <c r="O27" s="103" t="str">
        <f>IFERROR(_xll.qlRateHelperEarliestDate(I27,Trigger),"--")</f>
        <v>--</v>
      </c>
      <c r="P27" s="103" t="str">
        <f>IFERROR(_xll.qlRateHelperPillarDate(I27,Trigger),"--")</f>
        <v>--</v>
      </c>
      <c r="R27" s="4" t="str">
        <f t="shared" si="2"/>
        <v/>
      </c>
      <c r="S27" s="4" t="e">
        <v>#N/A</v>
      </c>
      <c r="T27" s="4" t="str">
        <f>IFERROR(_xll.qlRateHelperQuoteName(S27,Trigger),"")</f>
        <v/>
      </c>
      <c r="U27" s="73" t="str">
        <f>IFERROR(_xll.qlRateHelperRate(S27,Trigger),"")</f>
        <v/>
      </c>
      <c r="V27" s="108" t="str">
        <f>IF(ISERROR(_xll.qlSwapRateHelperSpread($S27)),IF(ISERROR(_xll.qlFuturesRateHelperConvexityAdjustment($S27)),"",_xll.qlFuturesRateHelperConvexityAdjustment($S27)),_xll.qlSwapRateHelperSpread($S27))</f>
        <v/>
      </c>
      <c r="W27" s="5" t="str">
        <f>IFERROR(_xll.qlRateHelperEarliestDate(S27,Trigger),"")</f>
        <v/>
      </c>
      <c r="X27" s="5" t="str">
        <f>IFERROR(_xll.qlRateHelperPillarDate(S27,Trigger),"")</f>
        <v/>
      </c>
      <c r="Y27" s="81" t="e">
        <v>#N/A</v>
      </c>
      <c r="Z27" s="175"/>
    </row>
    <row r="28" spans="1:34" ht="11.25" customHeight="1" x14ac:dyDescent="0.2">
      <c r="A28" s="62" t="s">
        <v>70</v>
      </c>
      <c r="B28" s="63" t="s">
        <v>50</v>
      </c>
      <c r="C28" s="64">
        <v>1</v>
      </c>
      <c r="D28" s="65" t="str">
        <f t="shared" si="6"/>
        <v>Aonia</v>
      </c>
      <c r="E28" s="66" t="str">
        <f t="shared" si="5"/>
        <v>AUDOIS18M_Quote</v>
      </c>
      <c r="F28" s="67"/>
      <c r="H28" s="10" t="str">
        <f t="shared" si="3"/>
        <v>OIS</v>
      </c>
      <c r="I28" s="98" t="str">
        <f t="shared" si="4"/>
        <v>--</v>
      </c>
      <c r="J28" s="144" t="str">
        <f>IFERROR(_xll.qlRateHelperQuoteName(I28,Trigger),"--")</f>
        <v>--</v>
      </c>
      <c r="K28" s="102" t="str">
        <f>IFERROR(_xll.qlRateHelperQuoteValue($I28,Trigger),"--")</f>
        <v>--</v>
      </c>
      <c r="L28" s="101" t="b">
        <v>0</v>
      </c>
      <c r="M28" s="98">
        <v>50</v>
      </c>
      <c r="N28" s="98">
        <v>1</v>
      </c>
      <c r="O28" s="103" t="str">
        <f>IFERROR(_xll.qlRateHelperEarliestDate(I28,Trigger),"--")</f>
        <v>--</v>
      </c>
      <c r="P28" s="103" t="str">
        <f>IFERROR(_xll.qlRateHelperPillarDate(I28,Trigger),"--")</f>
        <v>--</v>
      </c>
      <c r="R28" s="4" t="str">
        <f t="shared" si="2"/>
        <v/>
      </c>
      <c r="S28" s="4" t="e">
        <v>#N/A</v>
      </c>
      <c r="T28" s="4" t="str">
        <f>IFERROR(_xll.qlRateHelperQuoteName(S28,Trigger),"")</f>
        <v/>
      </c>
      <c r="U28" s="73" t="str">
        <f>IFERROR(_xll.qlRateHelperRate(S28,Trigger),"")</f>
        <v/>
      </c>
      <c r="V28" s="108" t="str">
        <f>IF(ISERROR(_xll.qlSwapRateHelperSpread($S28)),IF(ISERROR(_xll.qlFuturesRateHelperConvexityAdjustment($S28)),"",_xll.qlFuturesRateHelperConvexityAdjustment($S28)),_xll.qlSwapRateHelperSpread($S28))</f>
        <v/>
      </c>
      <c r="W28" s="5" t="str">
        <f>IFERROR(_xll.qlRateHelperEarliestDate(S28,Trigger),"")</f>
        <v/>
      </c>
      <c r="X28" s="5" t="str">
        <f>IFERROR(_xll.qlRateHelperPillarDate(S28,Trigger),"")</f>
        <v/>
      </c>
      <c r="Y28" s="81" t="e">
        <v>#N/A</v>
      </c>
      <c r="Z28" s="175"/>
    </row>
    <row r="29" spans="1:34" ht="11.25" customHeight="1" x14ac:dyDescent="0.2">
      <c r="A29" s="62" t="s">
        <v>70</v>
      </c>
      <c r="B29" s="63" t="s">
        <v>142</v>
      </c>
      <c r="C29" s="64">
        <v>1</v>
      </c>
      <c r="D29" s="65" t="str">
        <f t="shared" si="6"/>
        <v>Aonia</v>
      </c>
      <c r="E29" s="66" t="str">
        <f t="shared" si="5"/>
        <v>AUDOIS19M_Quote</v>
      </c>
      <c r="F29" s="67"/>
      <c r="H29" s="10" t="str">
        <f t="shared" si="3"/>
        <v>OIS</v>
      </c>
      <c r="I29" s="98" t="str">
        <f t="shared" si="4"/>
        <v>--</v>
      </c>
      <c r="J29" s="144" t="str">
        <f>IFERROR(_xll.qlRateHelperQuoteName(I29,Trigger),"--")</f>
        <v>--</v>
      </c>
      <c r="K29" s="102" t="str">
        <f>IFERROR(_xll.qlRateHelperQuoteValue($I29,Trigger),"--")</f>
        <v>--</v>
      </c>
      <c r="L29" s="101" t="b">
        <v>0</v>
      </c>
      <c r="M29" s="98">
        <v>50</v>
      </c>
      <c r="N29" s="98">
        <v>1</v>
      </c>
      <c r="O29" s="103" t="str">
        <f>IFERROR(_xll.qlRateHelperEarliestDate(I29,Trigger),"--")</f>
        <v>--</v>
      </c>
      <c r="P29" s="103" t="str">
        <f>IFERROR(_xll.qlRateHelperPillarDate(I29,Trigger),"--")</f>
        <v>--</v>
      </c>
      <c r="R29" s="4" t="str">
        <f t="shared" si="2"/>
        <v/>
      </c>
      <c r="S29" s="4" t="e">
        <v>#N/A</v>
      </c>
      <c r="T29" s="4" t="str">
        <f>IFERROR(_xll.qlRateHelperQuoteName(S29,Trigger),"")</f>
        <v/>
      </c>
      <c r="U29" s="73" t="str">
        <f>IFERROR(_xll.qlRateHelperRate(S29,Trigger),"")</f>
        <v/>
      </c>
      <c r="V29" s="108" t="str">
        <f>IF(ISERROR(_xll.qlSwapRateHelperSpread($S29)),IF(ISERROR(_xll.qlFuturesRateHelperConvexityAdjustment($S29)),"",_xll.qlFuturesRateHelperConvexityAdjustment($S29)),_xll.qlSwapRateHelperSpread($S29))</f>
        <v/>
      </c>
      <c r="W29" s="5" t="str">
        <f>IFERROR(_xll.qlRateHelperEarliestDate(S29,Trigger),"")</f>
        <v/>
      </c>
      <c r="X29" s="5" t="str">
        <f>IFERROR(_xll.qlRateHelperPillarDate(S29,Trigger),"")</f>
        <v/>
      </c>
      <c r="Y29" s="81" t="e">
        <v>#N/A</v>
      </c>
      <c r="Z29" s="175"/>
    </row>
    <row r="30" spans="1:34" ht="11.25" customHeight="1" x14ac:dyDescent="0.2">
      <c r="A30" s="62" t="s">
        <v>70</v>
      </c>
      <c r="B30" s="63" t="s">
        <v>143</v>
      </c>
      <c r="C30" s="64">
        <v>1</v>
      </c>
      <c r="D30" s="65" t="str">
        <f t="shared" si="6"/>
        <v>Aonia</v>
      </c>
      <c r="E30" s="66" t="str">
        <f t="shared" si="5"/>
        <v>AUDOIS20M_Quote</v>
      </c>
      <c r="F30" s="67"/>
      <c r="H30" s="10" t="str">
        <f t="shared" si="3"/>
        <v>OIS</v>
      </c>
      <c r="I30" s="98" t="str">
        <f t="shared" si="4"/>
        <v>--</v>
      </c>
      <c r="J30" s="144" t="str">
        <f>IFERROR(_xll.qlRateHelperQuoteName(I30,Trigger),"--")</f>
        <v>--</v>
      </c>
      <c r="K30" s="102" t="str">
        <f>IFERROR(_xll.qlRateHelperQuoteValue($I30,Trigger),"--")</f>
        <v>--</v>
      </c>
      <c r="L30" s="101" t="b">
        <v>0</v>
      </c>
      <c r="M30" s="98">
        <v>50</v>
      </c>
      <c r="N30" s="98">
        <v>1</v>
      </c>
      <c r="O30" s="103" t="str">
        <f>IFERROR(_xll.qlRateHelperEarliestDate(I30,Trigger),"--")</f>
        <v>--</v>
      </c>
      <c r="P30" s="103" t="str">
        <f>IFERROR(_xll.qlRateHelperPillarDate(I30,Trigger),"--")</f>
        <v>--</v>
      </c>
      <c r="R30" s="4" t="str">
        <f t="shared" si="2"/>
        <v/>
      </c>
      <c r="S30" s="4" t="e">
        <v>#N/A</v>
      </c>
      <c r="T30" s="4" t="str">
        <f>IFERROR(_xll.qlRateHelperQuoteName(S30,Trigger),"")</f>
        <v/>
      </c>
      <c r="U30" s="73" t="str">
        <f>IFERROR(_xll.qlRateHelperRate(S30,Trigger),"")</f>
        <v/>
      </c>
      <c r="V30" s="108" t="str">
        <f>IF(ISERROR(_xll.qlSwapRateHelperSpread($S30)),IF(ISERROR(_xll.qlFuturesRateHelperConvexityAdjustment($S30)),"",_xll.qlFuturesRateHelperConvexityAdjustment($S30)),_xll.qlSwapRateHelperSpread($S30))</f>
        <v/>
      </c>
      <c r="W30" s="5" t="str">
        <f>IFERROR(_xll.qlRateHelperEarliestDate(S30,Trigger),"")</f>
        <v/>
      </c>
      <c r="X30" s="5" t="str">
        <f>IFERROR(_xll.qlRateHelperPillarDate(S30,Trigger),"")</f>
        <v/>
      </c>
      <c r="Y30" s="81" t="e">
        <v>#N/A</v>
      </c>
      <c r="Z30" s="175"/>
    </row>
    <row r="31" spans="1:34" ht="11.25" customHeight="1" x14ac:dyDescent="0.2">
      <c r="A31" s="62" t="s">
        <v>70</v>
      </c>
      <c r="B31" s="63" t="s">
        <v>51</v>
      </c>
      <c r="C31" s="64">
        <v>1</v>
      </c>
      <c r="D31" s="65" t="str">
        <f t="shared" si="6"/>
        <v>Aonia</v>
      </c>
      <c r="E31" s="66" t="str">
        <f t="shared" si="5"/>
        <v>AUDOIS21M_Quote</v>
      </c>
      <c r="F31" s="67"/>
      <c r="H31" s="10" t="str">
        <f t="shared" si="3"/>
        <v>OIS</v>
      </c>
      <c r="I31" s="98" t="str">
        <f t="shared" si="4"/>
        <v>--</v>
      </c>
      <c r="J31" s="144" t="str">
        <f>IFERROR(_xll.qlRateHelperQuoteName(I31,Trigger),"--")</f>
        <v>--</v>
      </c>
      <c r="K31" s="102" t="str">
        <f>IFERROR(_xll.qlRateHelperQuoteValue($I31,Trigger),"--")</f>
        <v>--</v>
      </c>
      <c r="L31" s="101" t="b">
        <v>0</v>
      </c>
      <c r="M31" s="98">
        <v>50</v>
      </c>
      <c r="N31" s="98">
        <v>1</v>
      </c>
      <c r="O31" s="103" t="str">
        <f>IFERROR(_xll.qlRateHelperEarliestDate(I31,Trigger),"--")</f>
        <v>--</v>
      </c>
      <c r="P31" s="103" t="str">
        <f>IFERROR(_xll.qlRateHelperPillarDate(I31,Trigger),"--")</f>
        <v>--</v>
      </c>
      <c r="R31" s="4" t="str">
        <f t="shared" si="2"/>
        <v/>
      </c>
      <c r="S31" s="4" t="e">
        <v>#N/A</v>
      </c>
      <c r="T31" s="4" t="str">
        <f>IFERROR(_xll.qlRateHelperQuoteName(S31,Trigger),"")</f>
        <v/>
      </c>
      <c r="U31" s="73" t="str">
        <f>IFERROR(_xll.qlRateHelperRate(S31,Trigger),"")</f>
        <v/>
      </c>
      <c r="V31" s="108" t="str">
        <f>IF(ISERROR(_xll.qlSwapRateHelperSpread($S31)),IF(ISERROR(_xll.qlFuturesRateHelperConvexityAdjustment($S31)),"",_xll.qlFuturesRateHelperConvexityAdjustment($S31)),_xll.qlSwapRateHelperSpread($S31))</f>
        <v/>
      </c>
      <c r="W31" s="5" t="str">
        <f>IFERROR(_xll.qlRateHelperEarliestDate(S31,Trigger),"")</f>
        <v/>
      </c>
      <c r="X31" s="5" t="str">
        <f>IFERROR(_xll.qlRateHelperPillarDate(S31,Trigger),"")</f>
        <v/>
      </c>
      <c r="Y31" s="81" t="e">
        <v>#N/A</v>
      </c>
      <c r="Z31" s="175"/>
    </row>
    <row r="32" spans="1:34" ht="11.25" customHeight="1" x14ac:dyDescent="0.2">
      <c r="A32" s="62" t="s">
        <v>70</v>
      </c>
      <c r="B32" s="63" t="s">
        <v>144</v>
      </c>
      <c r="C32" s="64">
        <v>1</v>
      </c>
      <c r="D32" s="65" t="str">
        <f t="shared" si="6"/>
        <v>Aonia</v>
      </c>
      <c r="E32" s="66" t="str">
        <f t="shared" si="5"/>
        <v>AUDOIS22M_Quote</v>
      </c>
      <c r="F32" s="67"/>
      <c r="H32" s="10" t="str">
        <f t="shared" si="3"/>
        <v>OIS</v>
      </c>
      <c r="I32" s="98" t="str">
        <f t="shared" si="4"/>
        <v>--</v>
      </c>
      <c r="J32" s="144" t="str">
        <f>IFERROR(_xll.qlRateHelperQuoteName(I32,Trigger),"--")</f>
        <v>--</v>
      </c>
      <c r="K32" s="102" t="str">
        <f>IFERROR(_xll.qlRateHelperQuoteValue($I32,Trigger),"--")</f>
        <v>--</v>
      </c>
      <c r="L32" s="101" t="b">
        <v>0</v>
      </c>
      <c r="M32" s="98">
        <v>50</v>
      </c>
      <c r="N32" s="98">
        <v>1</v>
      </c>
      <c r="O32" s="103" t="str">
        <f>IFERROR(_xll.qlRateHelperEarliestDate(I32,Trigger),"--")</f>
        <v>--</v>
      </c>
      <c r="P32" s="103" t="str">
        <f>IFERROR(_xll.qlRateHelperPillarDate(I32,Trigger),"--")</f>
        <v>--</v>
      </c>
      <c r="R32" s="4" t="str">
        <f t="shared" si="2"/>
        <v/>
      </c>
      <c r="S32" s="4" t="e">
        <v>#N/A</v>
      </c>
      <c r="T32" s="4" t="str">
        <f>IFERROR(_xll.qlRateHelperQuoteName(S32,Trigger),"")</f>
        <v/>
      </c>
      <c r="U32" s="73" t="str">
        <f>IFERROR(_xll.qlRateHelperRate(S32,Trigger),"")</f>
        <v/>
      </c>
      <c r="V32" s="108" t="str">
        <f>IF(ISERROR(_xll.qlSwapRateHelperSpread($S32)),IF(ISERROR(_xll.qlFuturesRateHelperConvexityAdjustment($S32)),"",_xll.qlFuturesRateHelperConvexityAdjustment($S32)),_xll.qlSwapRateHelperSpread($S32))</f>
        <v/>
      </c>
      <c r="W32" s="5" t="str">
        <f>IFERROR(_xll.qlRateHelperEarliestDate(S32,Trigger),"")</f>
        <v/>
      </c>
      <c r="X32" s="5" t="str">
        <f>IFERROR(_xll.qlRateHelperPillarDate(S32,Trigger),"")</f>
        <v/>
      </c>
      <c r="Y32" s="81" t="e">
        <v>#N/A</v>
      </c>
      <c r="Z32" s="175"/>
    </row>
    <row r="33" spans="1:26" ht="11.25" customHeight="1" x14ac:dyDescent="0.2">
      <c r="A33" s="62" t="s">
        <v>70</v>
      </c>
      <c r="B33" s="63" t="s">
        <v>145</v>
      </c>
      <c r="C33" s="64">
        <v>1</v>
      </c>
      <c r="D33" s="65" t="str">
        <f t="shared" si="6"/>
        <v>Aonia</v>
      </c>
      <c r="E33" s="66" t="str">
        <f t="shared" si="5"/>
        <v>AUDOIS23M_Quote</v>
      </c>
      <c r="F33" s="67"/>
      <c r="H33" s="10" t="str">
        <f t="shared" si="3"/>
        <v>OIS</v>
      </c>
      <c r="I33" s="98" t="str">
        <f t="shared" si="4"/>
        <v>--</v>
      </c>
      <c r="J33" s="144" t="str">
        <f>IFERROR(_xll.qlRateHelperQuoteName(I33,Trigger),"--")</f>
        <v>--</v>
      </c>
      <c r="K33" s="102" t="str">
        <f>IFERROR(_xll.qlRateHelperQuoteValue($I33,Trigger),"--")</f>
        <v>--</v>
      </c>
      <c r="L33" s="101" t="b">
        <v>0</v>
      </c>
      <c r="M33" s="98">
        <v>50</v>
      </c>
      <c r="N33" s="98">
        <v>1</v>
      </c>
      <c r="O33" s="103" t="str">
        <f>IFERROR(_xll.qlRateHelperEarliestDate(I33,Trigger),"--")</f>
        <v>--</v>
      </c>
      <c r="P33" s="103" t="str">
        <f>IFERROR(_xll.qlRateHelperPillarDate(I33,Trigger),"--")</f>
        <v>--</v>
      </c>
      <c r="R33" s="4" t="str">
        <f t="shared" si="2"/>
        <v/>
      </c>
      <c r="S33" s="4" t="e">
        <v>#N/A</v>
      </c>
      <c r="T33" s="4" t="str">
        <f>IFERROR(_xll.qlRateHelperQuoteName(S33,Trigger),"")</f>
        <v/>
      </c>
      <c r="U33" s="73" t="str">
        <f>IFERROR(_xll.qlRateHelperRate(S33,Trigger),"")</f>
        <v/>
      </c>
      <c r="V33" s="108" t="str">
        <f>IF(ISERROR(_xll.qlSwapRateHelperSpread($S33)),IF(ISERROR(_xll.qlFuturesRateHelperConvexityAdjustment($S33)),"",_xll.qlFuturesRateHelperConvexityAdjustment($S33)),_xll.qlSwapRateHelperSpread($S33))</f>
        <v/>
      </c>
      <c r="W33" s="5" t="str">
        <f>IFERROR(_xll.qlRateHelperEarliestDate(S33,Trigger),"")</f>
        <v/>
      </c>
      <c r="X33" s="5" t="str">
        <f>IFERROR(_xll.qlRateHelperPillarDate(S33,Trigger),"")</f>
        <v/>
      </c>
      <c r="Y33" s="81" t="e">
        <v>#N/A</v>
      </c>
      <c r="Z33" s="175"/>
    </row>
    <row r="34" spans="1:26" ht="11.25" customHeight="1" x14ac:dyDescent="0.2">
      <c r="A34" s="62" t="s">
        <v>70</v>
      </c>
      <c r="B34" s="63" t="s">
        <v>52</v>
      </c>
      <c r="C34" s="64">
        <v>1</v>
      </c>
      <c r="D34" s="65" t="str">
        <f t="shared" si="6"/>
        <v>Aonia</v>
      </c>
      <c r="E34" s="66" t="str">
        <f t="shared" si="5"/>
        <v>AUDOIS2Y_Quote</v>
      </c>
      <c r="F34" s="67"/>
      <c r="H34" s="10" t="str">
        <f t="shared" si="3"/>
        <v>OIS</v>
      </c>
      <c r="I34" s="98" t="str">
        <f t="shared" si="4"/>
        <v>--</v>
      </c>
      <c r="J34" s="144" t="str">
        <f>IFERROR(_xll.qlRateHelperQuoteName(I34,Trigger),"--")</f>
        <v>--</v>
      </c>
      <c r="K34" s="102" t="str">
        <f>IFERROR(_xll.qlRateHelperQuoteValue($I34,Trigger),"--")</f>
        <v>--</v>
      </c>
      <c r="L34" s="101" t="b">
        <v>0</v>
      </c>
      <c r="M34" s="98">
        <v>50</v>
      </c>
      <c r="N34" s="98">
        <v>1</v>
      </c>
      <c r="O34" s="103" t="str">
        <f>IFERROR(_xll.qlRateHelperEarliestDate(I34,Trigger),"--")</f>
        <v>--</v>
      </c>
      <c r="P34" s="103" t="str">
        <f>IFERROR(_xll.qlRateHelperPillarDate(I34,Trigger),"--")</f>
        <v>--</v>
      </c>
      <c r="R34" s="4" t="str">
        <f t="shared" si="2"/>
        <v/>
      </c>
      <c r="S34" s="4" t="e">
        <v>#N/A</v>
      </c>
      <c r="T34" s="4" t="str">
        <f>IFERROR(_xll.qlRateHelperQuoteName(S34,Trigger),"")</f>
        <v/>
      </c>
      <c r="U34" s="73" t="str">
        <f>IFERROR(_xll.qlRateHelperRate(S34,Trigger),"")</f>
        <v/>
      </c>
      <c r="V34" s="108" t="str">
        <f>IF(ISERROR(_xll.qlSwapRateHelperSpread($S34)),IF(ISERROR(_xll.qlFuturesRateHelperConvexityAdjustment($S34)),"",_xll.qlFuturesRateHelperConvexityAdjustment($S34)),_xll.qlSwapRateHelperSpread($S34))</f>
        <v/>
      </c>
      <c r="W34" s="5" t="str">
        <f>IFERROR(_xll.qlRateHelperEarliestDate(S34,Trigger),"")</f>
        <v/>
      </c>
      <c r="X34" s="5" t="str">
        <f>IFERROR(_xll.qlRateHelperPillarDate(S34,Trigger),"")</f>
        <v/>
      </c>
      <c r="Y34" s="81" t="e">
        <v>#N/A</v>
      </c>
      <c r="Z34" s="175"/>
    </row>
    <row r="35" spans="1:26" ht="11.25" customHeight="1" x14ac:dyDescent="0.2">
      <c r="A35" s="62" t="s">
        <v>70</v>
      </c>
      <c r="B35" s="63" t="s">
        <v>146</v>
      </c>
      <c r="C35" s="64">
        <v>1</v>
      </c>
      <c r="D35" s="65" t="str">
        <f t="shared" si="6"/>
        <v>Aonia</v>
      </c>
      <c r="E35" s="66" t="str">
        <f t="shared" si="5"/>
        <v>AUDOIS27M_Quote</v>
      </c>
      <c r="F35" s="67"/>
      <c r="H35" s="10" t="str">
        <f t="shared" si="3"/>
        <v>OIS</v>
      </c>
      <c r="I35" s="98" t="str">
        <f t="shared" si="4"/>
        <v>--</v>
      </c>
      <c r="J35" s="144" t="str">
        <f>IFERROR(_xll.qlRateHelperQuoteName(I35,Trigger),"--")</f>
        <v>--</v>
      </c>
      <c r="K35" s="102" t="str">
        <f>IFERROR(_xll.qlRateHelperQuoteValue($I35,Trigger),"--")</f>
        <v>--</v>
      </c>
      <c r="L35" s="101" t="b">
        <v>0</v>
      </c>
      <c r="M35" s="98">
        <v>50</v>
      </c>
      <c r="N35" s="98">
        <v>1</v>
      </c>
      <c r="O35" s="103" t="str">
        <f>IFERROR(_xll.qlRateHelperEarliestDate(I35,Trigger),"--")</f>
        <v>--</v>
      </c>
      <c r="P35" s="103" t="str">
        <f>IFERROR(_xll.qlRateHelperPillarDate(I35,Trigger),"--")</f>
        <v>--</v>
      </c>
      <c r="R35" s="4" t="str">
        <f t="shared" si="2"/>
        <v/>
      </c>
      <c r="S35" s="4" t="e">
        <v>#N/A</v>
      </c>
      <c r="T35" s="4" t="str">
        <f>IFERROR(_xll.qlRateHelperQuoteName(S35,Trigger),"")</f>
        <v/>
      </c>
      <c r="U35" s="73" t="str">
        <f>IFERROR(_xll.qlRateHelperRate(S35,Trigger),"")</f>
        <v/>
      </c>
      <c r="V35" s="108" t="str">
        <f>IF(ISERROR(_xll.qlSwapRateHelperSpread($S35)),IF(ISERROR(_xll.qlFuturesRateHelperConvexityAdjustment($S35)),"",_xll.qlFuturesRateHelperConvexityAdjustment($S35)),_xll.qlSwapRateHelperSpread($S35))</f>
        <v/>
      </c>
      <c r="W35" s="5" t="str">
        <f>IFERROR(_xll.qlRateHelperEarliestDate(S35,Trigger),"")</f>
        <v/>
      </c>
      <c r="X35" s="5" t="str">
        <f>IFERROR(_xll.qlRateHelperPillarDate(S35,Trigger),"")</f>
        <v/>
      </c>
      <c r="Y35" s="81" t="e">
        <v>#N/A</v>
      </c>
      <c r="Z35" s="175"/>
    </row>
    <row r="36" spans="1:26" ht="11.25" customHeight="1" x14ac:dyDescent="0.2">
      <c r="A36" s="62" t="s">
        <v>70</v>
      </c>
      <c r="B36" s="63" t="s">
        <v>147</v>
      </c>
      <c r="C36" s="64">
        <v>1</v>
      </c>
      <c r="D36" s="65" t="str">
        <f t="shared" si="6"/>
        <v>Aonia</v>
      </c>
      <c r="E36" s="66" t="str">
        <f t="shared" si="5"/>
        <v>AUDOIS30M_Quote</v>
      </c>
      <c r="F36" s="67"/>
      <c r="H36" s="10" t="str">
        <f t="shared" si="3"/>
        <v>OIS</v>
      </c>
      <c r="I36" s="98" t="str">
        <f t="shared" si="4"/>
        <v>--</v>
      </c>
      <c r="J36" s="144" t="str">
        <f>IFERROR(_xll.qlRateHelperQuoteName(I36,Trigger),"--")</f>
        <v>--</v>
      </c>
      <c r="K36" s="102" t="str">
        <f>IFERROR(_xll.qlRateHelperQuoteValue($I36,Trigger),"--")</f>
        <v>--</v>
      </c>
      <c r="L36" s="101" t="b">
        <v>0</v>
      </c>
      <c r="M36" s="98">
        <v>50</v>
      </c>
      <c r="N36" s="98">
        <v>1</v>
      </c>
      <c r="O36" s="103" t="str">
        <f>IFERROR(_xll.qlRateHelperEarliestDate(I36,Trigger),"--")</f>
        <v>--</v>
      </c>
      <c r="P36" s="103" t="str">
        <f>IFERROR(_xll.qlRateHelperPillarDate(I36,Trigger),"--")</f>
        <v>--</v>
      </c>
      <c r="R36" s="4" t="str">
        <f t="shared" si="2"/>
        <v/>
      </c>
      <c r="S36" s="4" t="e">
        <v>#N/A</v>
      </c>
      <c r="T36" s="4" t="str">
        <f>IFERROR(_xll.qlRateHelperQuoteName(S36,Trigger),"")</f>
        <v/>
      </c>
      <c r="U36" s="73" t="str">
        <f>IFERROR(_xll.qlRateHelperRate(S36,Trigger),"")</f>
        <v/>
      </c>
      <c r="V36" s="108" t="str">
        <f>IF(ISERROR(_xll.qlSwapRateHelperSpread($S36)),IF(ISERROR(_xll.qlFuturesRateHelperConvexityAdjustment($S36)),"",_xll.qlFuturesRateHelperConvexityAdjustment($S36)),_xll.qlSwapRateHelperSpread($S36))</f>
        <v/>
      </c>
      <c r="W36" s="5" t="str">
        <f>IFERROR(_xll.qlRateHelperEarliestDate(S36,Trigger),"")</f>
        <v/>
      </c>
      <c r="X36" s="5" t="str">
        <f>IFERROR(_xll.qlRateHelperPillarDate(S36,Trigger),"")</f>
        <v/>
      </c>
      <c r="Y36" s="81" t="e">
        <v>#N/A</v>
      </c>
      <c r="Z36" s="175"/>
    </row>
    <row r="37" spans="1:26" ht="11.25" customHeight="1" x14ac:dyDescent="0.2">
      <c r="A37" s="62" t="s">
        <v>70</v>
      </c>
      <c r="B37" s="63" t="s">
        <v>148</v>
      </c>
      <c r="C37" s="64">
        <v>1</v>
      </c>
      <c r="D37" s="65" t="str">
        <f t="shared" si="6"/>
        <v>Aonia</v>
      </c>
      <c r="E37" s="66" t="str">
        <f t="shared" si="5"/>
        <v>AUDOIS33M_Quote</v>
      </c>
      <c r="F37" s="67"/>
      <c r="H37" s="10" t="str">
        <f t="shared" si="3"/>
        <v>OIS</v>
      </c>
      <c r="I37" s="98" t="str">
        <f t="shared" si="4"/>
        <v>--</v>
      </c>
      <c r="J37" s="144" t="str">
        <f>IFERROR(_xll.qlRateHelperQuoteName(I37,Trigger),"--")</f>
        <v>--</v>
      </c>
      <c r="K37" s="102" t="str">
        <f>IFERROR(_xll.qlRateHelperQuoteValue($I37,Trigger),"--")</f>
        <v>--</v>
      </c>
      <c r="L37" s="101" t="b">
        <v>0</v>
      </c>
      <c r="M37" s="98">
        <v>50</v>
      </c>
      <c r="N37" s="98">
        <v>1</v>
      </c>
      <c r="O37" s="103" t="str">
        <f>IFERROR(_xll.qlRateHelperEarliestDate(I37,Trigger),"--")</f>
        <v>--</v>
      </c>
      <c r="P37" s="103" t="str">
        <f>IFERROR(_xll.qlRateHelperPillarDate(I37,Trigger),"--")</f>
        <v>--</v>
      </c>
      <c r="R37" s="4" t="str">
        <f t="shared" si="2"/>
        <v/>
      </c>
      <c r="S37" s="4" t="e">
        <v>#N/A</v>
      </c>
      <c r="T37" s="4" t="str">
        <f>IFERROR(_xll.qlRateHelperQuoteName(S37,Trigger),"")</f>
        <v/>
      </c>
      <c r="U37" s="73" t="str">
        <f>IFERROR(_xll.qlRateHelperRate(S37,Trigger),"")</f>
        <v/>
      </c>
      <c r="V37" s="108" t="str">
        <f>IF(ISERROR(_xll.qlSwapRateHelperSpread($S37)),IF(ISERROR(_xll.qlFuturesRateHelperConvexityAdjustment($S37)),"",_xll.qlFuturesRateHelperConvexityAdjustment($S37)),_xll.qlSwapRateHelperSpread($S37))</f>
        <v/>
      </c>
      <c r="W37" s="5" t="str">
        <f>IFERROR(_xll.qlRateHelperEarliestDate(S37,Trigger),"")</f>
        <v/>
      </c>
      <c r="X37" s="5" t="str">
        <f>IFERROR(_xll.qlRateHelperPillarDate(S37,Trigger),"")</f>
        <v/>
      </c>
      <c r="Y37" s="81" t="e">
        <v>#N/A</v>
      </c>
      <c r="Z37" s="175"/>
    </row>
    <row r="38" spans="1:26" ht="11.25" customHeight="1" x14ac:dyDescent="0.2">
      <c r="A38" s="62" t="s">
        <v>70</v>
      </c>
      <c r="B38" s="63" t="s">
        <v>53</v>
      </c>
      <c r="C38" s="64">
        <v>1</v>
      </c>
      <c r="D38" s="65" t="str">
        <f t="shared" si="6"/>
        <v>Aonia</v>
      </c>
      <c r="E38" s="66" t="str">
        <f t="shared" si="5"/>
        <v>AUDOIS3Y_Quote</v>
      </c>
      <c r="F38" s="67"/>
      <c r="H38" s="10" t="str">
        <f t="shared" ref="H38:H59" si="10">A40</f>
        <v>OIS</v>
      </c>
      <c r="I38" s="98" t="str">
        <f t="shared" si="4"/>
        <v>--</v>
      </c>
      <c r="J38" s="144" t="str">
        <f>IFERROR(_xll.qlRateHelperQuoteName(I38,Trigger),"--")</f>
        <v>--</v>
      </c>
      <c r="K38" s="102" t="str">
        <f>IFERROR(_xll.qlRateHelperQuoteValue($I38,Trigger),"--")</f>
        <v>--</v>
      </c>
      <c r="L38" s="101" t="b">
        <v>0</v>
      </c>
      <c r="M38" s="98">
        <v>50</v>
      </c>
      <c r="N38" s="98">
        <v>1</v>
      </c>
      <c r="O38" s="103" t="str">
        <f>IFERROR(_xll.qlRateHelperEarliestDate(I38,Trigger),"--")</f>
        <v>--</v>
      </c>
      <c r="P38" s="103" t="str">
        <f>IFERROR(_xll.qlRateHelperPillarDate(I38,Trigger),"--")</f>
        <v>--</v>
      </c>
      <c r="R38" s="4" t="str">
        <f t="shared" si="2"/>
        <v/>
      </c>
      <c r="S38" s="4" t="e">
        <v>#N/A</v>
      </c>
      <c r="T38" s="4" t="str">
        <f>IFERROR(_xll.qlRateHelperQuoteName(S38,Trigger),"")</f>
        <v/>
      </c>
      <c r="U38" s="73" t="str">
        <f>IFERROR(_xll.qlRateHelperRate(S38,Trigger),"")</f>
        <v/>
      </c>
      <c r="V38" s="108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81" t="e">
        <v>#N/A</v>
      </c>
    </row>
    <row r="39" spans="1:26" ht="11.25" customHeight="1" x14ac:dyDescent="0.2">
      <c r="A39" s="62" t="s">
        <v>70</v>
      </c>
      <c r="B39" s="63" t="s">
        <v>149</v>
      </c>
      <c r="C39" s="64">
        <v>1</v>
      </c>
      <c r="D39" s="65" t="str">
        <f t="shared" si="6"/>
        <v>Aonia</v>
      </c>
      <c r="E39" s="66" t="str">
        <f t="shared" si="5"/>
        <v>AUDOIS39M_Quote</v>
      </c>
      <c r="F39" s="67"/>
      <c r="H39" s="10" t="str">
        <f t="shared" si="10"/>
        <v>OIS</v>
      </c>
      <c r="I39" s="98" t="str">
        <f t="shared" si="4"/>
        <v>--</v>
      </c>
      <c r="J39" s="144" t="str">
        <f>IFERROR(_xll.qlRateHelperQuoteName(I39,Trigger),"--")</f>
        <v>--</v>
      </c>
      <c r="K39" s="102" t="str">
        <f>IFERROR(_xll.qlRateHelperQuoteValue($I39,Trigger),"--")</f>
        <v>--</v>
      </c>
      <c r="L39" s="101" t="b">
        <v>0</v>
      </c>
      <c r="M39" s="98">
        <v>50</v>
      </c>
      <c r="N39" s="98">
        <v>1</v>
      </c>
      <c r="O39" s="103" t="str">
        <f>IFERROR(_xll.qlRateHelperEarliestDate(I39,Trigger),"--")</f>
        <v>--</v>
      </c>
      <c r="P39" s="103" t="str">
        <f>IFERROR(_xll.qlRateHelperPillarDate(I39,Trigger),"--")</f>
        <v>--</v>
      </c>
      <c r="R39" s="4" t="str">
        <f t="shared" si="2"/>
        <v/>
      </c>
      <c r="S39" s="4" t="e">
        <v>#N/A</v>
      </c>
      <c r="T39" s="4" t="str">
        <f>IFERROR(_xll.qlRateHelperQuoteName(S39,Trigger),"")</f>
        <v/>
      </c>
      <c r="U39" s="73" t="str">
        <f>IFERROR(_xll.qlRateHelperRate(S39,Trigger),"")</f>
        <v/>
      </c>
      <c r="V39" s="108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81" t="e">
        <v>#N/A</v>
      </c>
    </row>
    <row r="40" spans="1:26" ht="11.25" customHeight="1" x14ac:dyDescent="0.2">
      <c r="A40" s="62" t="s">
        <v>70</v>
      </c>
      <c r="B40" s="63" t="s">
        <v>150</v>
      </c>
      <c r="C40" s="64">
        <v>1</v>
      </c>
      <c r="D40" s="65" t="str">
        <f t="shared" si="6"/>
        <v>Aonia</v>
      </c>
      <c r="E40" s="66" t="str">
        <f t="shared" ref="E40:E61" si="11">Currency&amp;$D$6&amp;IF($B40="1W","SW",$B40)&amp;QuoteSuffix</f>
        <v>AUDOIS42M_Quote</v>
      </c>
      <c r="F40" s="67"/>
      <c r="H40" s="10" t="str">
        <f t="shared" si="10"/>
        <v>OIS</v>
      </c>
      <c r="I40" s="98" t="str">
        <f t="shared" si="4"/>
        <v>--</v>
      </c>
      <c r="J40" s="144" t="str">
        <f>IFERROR(_xll.qlRateHelperQuoteName(I40,Trigger),"--")</f>
        <v>--</v>
      </c>
      <c r="K40" s="102" t="str">
        <f>IFERROR(_xll.qlRateHelperQuoteValue($I40,Trigger),"--")</f>
        <v>--</v>
      </c>
      <c r="L40" s="101" t="b">
        <v>0</v>
      </c>
      <c r="M40" s="98">
        <v>50</v>
      </c>
      <c r="N40" s="98">
        <v>1</v>
      </c>
      <c r="O40" s="103" t="str">
        <f>IFERROR(_xll.qlRateHelperEarliestDate(I40,Trigger),"--")</f>
        <v>--</v>
      </c>
      <c r="P40" s="103" t="str">
        <f>IFERROR(_xll.qlRateHelperPillarDate(I40,Trigger),"--")</f>
        <v>--</v>
      </c>
      <c r="R40" s="4" t="str">
        <f t="shared" si="2"/>
        <v/>
      </c>
      <c r="S40" s="4" t="e">
        <v>#N/A</v>
      </c>
      <c r="T40" s="4" t="str">
        <f>IFERROR(_xll.qlRateHelperQuoteName(S40,Trigger),"")</f>
        <v/>
      </c>
      <c r="U40" s="73" t="str">
        <f>IFERROR(_xll.qlRateHelperRate(S40,Trigger),"")</f>
        <v/>
      </c>
      <c r="V40" s="108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81" t="e">
        <v>#N/A</v>
      </c>
    </row>
    <row r="41" spans="1:26" ht="11.25" customHeight="1" x14ac:dyDescent="0.2">
      <c r="A41" s="62" t="s">
        <v>70</v>
      </c>
      <c r="B41" s="63" t="s">
        <v>151</v>
      </c>
      <c r="C41" s="64">
        <v>1</v>
      </c>
      <c r="D41" s="65" t="str">
        <f t="shared" si="6"/>
        <v>Aonia</v>
      </c>
      <c r="E41" s="66" t="str">
        <f t="shared" si="11"/>
        <v>AUDOIS45M_Quote</v>
      </c>
      <c r="F41" s="67"/>
      <c r="H41" s="10" t="str">
        <f t="shared" si="10"/>
        <v>OIS</v>
      </c>
      <c r="I41" s="98" t="str">
        <f t="shared" si="4"/>
        <v>--</v>
      </c>
      <c r="J41" s="144" t="str">
        <f>IFERROR(_xll.qlRateHelperQuoteName(I41,Trigger),"--")</f>
        <v>--</v>
      </c>
      <c r="K41" s="102" t="str">
        <f>IFERROR(_xll.qlRateHelperQuoteValue($I41,Trigger),"--")</f>
        <v>--</v>
      </c>
      <c r="L41" s="101" t="b">
        <v>0</v>
      </c>
      <c r="M41" s="98">
        <v>50</v>
      </c>
      <c r="N41" s="98">
        <v>1</v>
      </c>
      <c r="O41" s="103" t="str">
        <f>IFERROR(_xll.qlRateHelperEarliestDate(I41,Trigger),"--")</f>
        <v>--</v>
      </c>
      <c r="P41" s="103" t="str">
        <f>IFERROR(_xll.qlRateHelperPillarDate(I41,Trigger),"--")</f>
        <v>--</v>
      </c>
      <c r="R41" s="4" t="str">
        <f t="shared" si="2"/>
        <v/>
      </c>
      <c r="S41" s="4" t="e">
        <v>#N/A</v>
      </c>
      <c r="T41" s="4" t="str">
        <f>IFERROR(_xll.qlRateHelperQuoteName(S41,Trigger),"")</f>
        <v/>
      </c>
      <c r="U41" s="73" t="str">
        <f>IFERROR(_xll.qlRateHelperRate(S41,Trigger),"")</f>
        <v/>
      </c>
      <c r="V41" s="108" t="str">
        <f>IF(ISERROR(_xll.qlSwapRateHelperSpread($S41)),IF(ISERROR(_xll.qlFuturesRateHelperConvexityAdjustment($S41)),"",_xll.qlFuturesRateHelperConvexityAdjustment($S41)),_xll.qlSwapRateHelperSpread($S41))</f>
        <v/>
      </c>
      <c r="W41" s="5" t="str">
        <f>IFERROR(_xll.qlRateHelperEarliestDate(S41,Trigger),"")</f>
        <v/>
      </c>
      <c r="X41" s="5" t="str">
        <f>IFERROR(_xll.qlRateHelperPillarDate(S41,Trigger),"")</f>
        <v/>
      </c>
      <c r="Y41" s="81" t="e">
        <v>#N/A</v>
      </c>
    </row>
    <row r="42" spans="1:26" ht="11.25" customHeight="1" x14ac:dyDescent="0.2">
      <c r="A42" s="62" t="s">
        <v>70</v>
      </c>
      <c r="B42" s="63" t="s">
        <v>54</v>
      </c>
      <c r="C42" s="64">
        <v>1</v>
      </c>
      <c r="D42" s="65" t="str">
        <f t="shared" si="6"/>
        <v>Aonia</v>
      </c>
      <c r="E42" s="66" t="str">
        <f t="shared" si="11"/>
        <v>AUDOIS4Y_Quote</v>
      </c>
      <c r="F42" s="67"/>
      <c r="H42" s="10" t="str">
        <f t="shared" si="10"/>
        <v>OIS</v>
      </c>
      <c r="I42" s="98" t="str">
        <f t="shared" si="4"/>
        <v>--</v>
      </c>
      <c r="J42" s="144" t="str">
        <f>IFERROR(_xll.qlRateHelperQuoteName(I42,Trigger),"--")</f>
        <v>--</v>
      </c>
      <c r="K42" s="102" t="str">
        <f>IFERROR(_xll.qlRateHelperQuoteValue($I42,Trigger),"--")</f>
        <v>--</v>
      </c>
      <c r="L42" s="101" t="b">
        <v>0</v>
      </c>
      <c r="M42" s="98">
        <v>50</v>
      </c>
      <c r="N42" s="98">
        <v>1</v>
      </c>
      <c r="O42" s="103" t="str">
        <f>IFERROR(_xll.qlRateHelperEarliestDate(I42,Trigger),"--")</f>
        <v>--</v>
      </c>
      <c r="P42" s="103" t="str">
        <f>IFERROR(_xll.qlRateHelperPillarDate(I42,Trigger),"--")</f>
        <v>--</v>
      </c>
      <c r="R42" s="4" t="str">
        <f t="shared" si="2"/>
        <v/>
      </c>
      <c r="S42" s="4" t="e">
        <v>#N/A</v>
      </c>
      <c r="T42" s="4" t="str">
        <f>IFERROR(_xll.qlRateHelperQuoteName(S42,Trigger),"")</f>
        <v/>
      </c>
      <c r="U42" s="73" t="str">
        <f>IFERROR(_xll.qlRateHelperRate(S42,Trigger),"")</f>
        <v/>
      </c>
      <c r="V42" s="108" t="str">
        <f>IF(ISERROR(_xll.qlSwapRateHelperSpread($S42)),IF(ISERROR(_xll.qlFuturesRateHelperConvexityAdjustment($S42)),"",_xll.qlFuturesRateHelperConvexityAdjustment($S42)),_xll.qlSwapRateHelperSpread($S42))</f>
        <v/>
      </c>
      <c r="W42" s="5" t="str">
        <f>IFERROR(_xll.qlRateHelperEarliestDate(S42,Trigger),"")</f>
        <v/>
      </c>
      <c r="X42" s="5" t="str">
        <f>IFERROR(_xll.qlRateHelperPillarDate(S42,Trigger),"")</f>
        <v/>
      </c>
      <c r="Y42" s="81" t="e">
        <v>#N/A</v>
      </c>
    </row>
    <row r="43" spans="1:26" ht="11.25" customHeight="1" x14ac:dyDescent="0.2">
      <c r="A43" s="62" t="s">
        <v>70</v>
      </c>
      <c r="B43" s="63" t="s">
        <v>152</v>
      </c>
      <c r="C43" s="64">
        <v>1</v>
      </c>
      <c r="D43" s="65" t="str">
        <f t="shared" si="6"/>
        <v>Aonia</v>
      </c>
      <c r="E43" s="66" t="str">
        <f t="shared" si="11"/>
        <v>AUDOIS51M_Quote</v>
      </c>
      <c r="F43" s="67"/>
      <c r="H43" s="10" t="str">
        <f t="shared" si="10"/>
        <v>OIS</v>
      </c>
      <c r="I43" s="98" t="str">
        <f t="shared" si="4"/>
        <v>--</v>
      </c>
      <c r="J43" s="144" t="str">
        <f>IFERROR(_xll.qlRateHelperQuoteName(I43,Trigger),"--")</f>
        <v>--</v>
      </c>
      <c r="K43" s="102" t="str">
        <f>IFERROR(_xll.qlRateHelperQuoteValue($I43,Trigger),"--")</f>
        <v>--</v>
      </c>
      <c r="L43" s="101" t="b">
        <v>0</v>
      </c>
      <c r="M43" s="98">
        <v>50</v>
      </c>
      <c r="N43" s="98">
        <v>1</v>
      </c>
      <c r="O43" s="103" t="str">
        <f>IFERROR(_xll.qlRateHelperEarliestDate(I43,Trigger),"--")</f>
        <v>--</v>
      </c>
      <c r="P43" s="103" t="str">
        <f>IFERROR(_xll.qlRateHelperPillarDate(I43,Trigger),"--")</f>
        <v>--</v>
      </c>
      <c r="R43" s="4" t="str">
        <f t="shared" si="2"/>
        <v/>
      </c>
      <c r="S43" s="4" t="e">
        <v>#N/A</v>
      </c>
      <c r="T43" s="4" t="str">
        <f>IFERROR(_xll.qlRateHelperQuoteName(S43,Trigger),"")</f>
        <v/>
      </c>
      <c r="U43" s="73" t="str">
        <f>IFERROR(_xll.qlRateHelperRate(S43,Trigger),"")</f>
        <v/>
      </c>
      <c r="V43" s="108" t="str">
        <f>IF(ISERROR(_xll.qlSwapRateHelperSpread($S43)),IF(ISERROR(_xll.qlFuturesRateHelperConvexityAdjustment($S43)),"",_xll.qlFuturesRateHelperConvexityAdjustment($S43)),_xll.qlSwapRateHelperSpread($S43))</f>
        <v/>
      </c>
      <c r="W43" s="5" t="str">
        <f>IFERROR(_xll.qlRateHelperEarliestDate(S43,Trigger),"")</f>
        <v/>
      </c>
      <c r="X43" s="5" t="str">
        <f>IFERROR(_xll.qlRateHelperPillarDate(S43,Trigger),"")</f>
        <v/>
      </c>
      <c r="Y43" s="81" t="e">
        <v>#N/A</v>
      </c>
    </row>
    <row r="44" spans="1:26" ht="11.25" customHeight="1" x14ac:dyDescent="0.2">
      <c r="A44" s="62" t="s">
        <v>70</v>
      </c>
      <c r="B44" s="63" t="s">
        <v>153</v>
      </c>
      <c r="C44" s="64">
        <v>1</v>
      </c>
      <c r="D44" s="65" t="str">
        <f t="shared" si="6"/>
        <v>Aonia</v>
      </c>
      <c r="E44" s="66" t="str">
        <f t="shared" si="11"/>
        <v>AUDOIS54M_Quote</v>
      </c>
      <c r="F44" s="67"/>
      <c r="H44" s="10" t="str">
        <f t="shared" si="10"/>
        <v>OIS</v>
      </c>
      <c r="I44" s="98" t="str">
        <f t="shared" si="4"/>
        <v>--</v>
      </c>
      <c r="J44" s="144" t="str">
        <f>IFERROR(_xll.qlRateHelperQuoteName(I44,Trigger),"--")</f>
        <v>--</v>
      </c>
      <c r="K44" s="102" t="str">
        <f>IFERROR(_xll.qlRateHelperQuoteValue($I44,Trigger),"--")</f>
        <v>--</v>
      </c>
      <c r="L44" s="101" t="b">
        <v>0</v>
      </c>
      <c r="M44" s="98">
        <v>50</v>
      </c>
      <c r="N44" s="98">
        <v>1</v>
      </c>
      <c r="O44" s="103" t="str">
        <f>IFERROR(_xll.qlRateHelperEarliestDate(I44,Trigger),"--")</f>
        <v>--</v>
      </c>
      <c r="P44" s="103" t="str">
        <f>IFERROR(_xll.qlRateHelperPillarDate(I44,Trigger),"--")</f>
        <v>--</v>
      </c>
      <c r="R44" s="4" t="str">
        <f t="shared" si="2"/>
        <v/>
      </c>
      <c r="S44" s="4" t="e">
        <v>#N/A</v>
      </c>
      <c r="T44" s="4" t="str">
        <f>IFERROR(_xll.qlRateHelperQuoteName(S44,Trigger),"")</f>
        <v/>
      </c>
      <c r="U44" s="73" t="str">
        <f>IFERROR(_xll.qlRateHelperRate(S44,Trigger),"")</f>
        <v/>
      </c>
      <c r="V44" s="108" t="str">
        <f>IF(ISERROR(_xll.qlSwapRateHelperSpread($S44)),IF(ISERROR(_xll.qlFuturesRateHelperConvexityAdjustment($S44)),"",_xll.qlFuturesRateHelperConvexityAdjustment($S44)),_xll.qlSwapRateHelperSpread($S44))</f>
        <v/>
      </c>
      <c r="W44" s="5" t="str">
        <f>IFERROR(_xll.qlRateHelperEarliestDate(S44,Trigger),"")</f>
        <v/>
      </c>
      <c r="X44" s="5" t="str">
        <f>IFERROR(_xll.qlRateHelperPillarDate(S44,Trigger),"")</f>
        <v/>
      </c>
      <c r="Y44" s="81" t="e">
        <v>#N/A</v>
      </c>
    </row>
    <row r="45" spans="1:26" ht="11.25" customHeight="1" x14ac:dyDescent="0.2">
      <c r="A45" s="62" t="s">
        <v>70</v>
      </c>
      <c r="B45" s="63" t="s">
        <v>154</v>
      </c>
      <c r="C45" s="64">
        <v>1</v>
      </c>
      <c r="D45" s="65" t="str">
        <f t="shared" si="6"/>
        <v>Aonia</v>
      </c>
      <c r="E45" s="66" t="str">
        <f t="shared" si="11"/>
        <v>AUDOIS57M_Quote</v>
      </c>
      <c r="F45" s="67"/>
      <c r="H45" s="10" t="str">
        <f t="shared" si="10"/>
        <v>OIS</v>
      </c>
      <c r="I45" s="98" t="str">
        <f t="shared" si="4"/>
        <v>--</v>
      </c>
      <c r="J45" s="144" t="str">
        <f>IFERROR(_xll.qlRateHelperQuoteName(I45,Trigger),"--")</f>
        <v>--</v>
      </c>
      <c r="K45" s="102" t="str">
        <f>IFERROR(_xll.qlRateHelperQuoteValue($I45,Trigger),"--")</f>
        <v>--</v>
      </c>
      <c r="L45" s="101" t="b">
        <v>0</v>
      </c>
      <c r="M45" s="98">
        <v>50</v>
      </c>
      <c r="N45" s="98">
        <v>1</v>
      </c>
      <c r="O45" s="103" t="str">
        <f>IFERROR(_xll.qlRateHelperEarliestDate(I45,Trigger),"--")</f>
        <v>--</v>
      </c>
      <c r="P45" s="103" t="str">
        <f>IFERROR(_xll.qlRateHelperPillarDate(I45,Trigger),"--")</f>
        <v>--</v>
      </c>
      <c r="R45" s="4" t="str">
        <f t="shared" si="2"/>
        <v/>
      </c>
      <c r="S45" s="4" t="e">
        <v>#N/A</v>
      </c>
      <c r="T45" s="4" t="str">
        <f>IFERROR(_xll.qlRateHelperQuoteName(S45,Trigger),"")</f>
        <v/>
      </c>
      <c r="U45" s="73" t="str">
        <f>IFERROR(_xll.qlRateHelperRate(S45,Trigger),"")</f>
        <v/>
      </c>
      <c r="V45" s="108" t="str">
        <f>IF(ISERROR(_xll.qlSwapRateHelperSpread($S45)),IF(ISERROR(_xll.qlFuturesRateHelperConvexityAdjustment($S45)),"",_xll.qlFuturesRateHelperConvexityAdjustment($S45)),_xll.qlSwapRateHelperSpread($S45))</f>
        <v/>
      </c>
      <c r="W45" s="5" t="str">
        <f>IFERROR(_xll.qlRateHelperEarliestDate(S45,Trigger),"")</f>
        <v/>
      </c>
      <c r="X45" s="5" t="str">
        <f>IFERROR(_xll.qlRateHelperPillarDate(S45,Trigger),"")</f>
        <v/>
      </c>
      <c r="Y45" s="81" t="e">
        <v>#N/A</v>
      </c>
    </row>
    <row r="46" spans="1:26" ht="11.25" customHeight="1" x14ac:dyDescent="0.2">
      <c r="A46" s="62" t="s">
        <v>70</v>
      </c>
      <c r="B46" s="63" t="s">
        <v>55</v>
      </c>
      <c r="C46" s="64">
        <v>1</v>
      </c>
      <c r="D46" s="65" t="str">
        <f t="shared" si="6"/>
        <v>Aonia</v>
      </c>
      <c r="E46" s="66" t="str">
        <f t="shared" si="11"/>
        <v>AUDOIS5Y_Quote</v>
      </c>
      <c r="F46" s="67"/>
      <c r="H46" s="10" t="str">
        <f t="shared" si="10"/>
        <v>OIS</v>
      </c>
      <c r="I46" s="98" t="str">
        <f t="shared" si="4"/>
        <v>--</v>
      </c>
      <c r="J46" s="144" t="str">
        <f>IFERROR(_xll.qlRateHelperQuoteName(I46,Trigger),"--")</f>
        <v>--</v>
      </c>
      <c r="K46" s="102" t="str">
        <f>IFERROR(_xll.qlRateHelperQuoteValue($I46,Trigger),"--")</f>
        <v>--</v>
      </c>
      <c r="L46" s="101" t="b">
        <v>0</v>
      </c>
      <c r="M46" s="98">
        <v>50</v>
      </c>
      <c r="N46" s="98">
        <v>1</v>
      </c>
      <c r="O46" s="103" t="str">
        <f>IFERROR(_xll.qlRateHelperEarliestDate(I46,Trigger),"--")</f>
        <v>--</v>
      </c>
      <c r="P46" s="103" t="str">
        <f>IFERROR(_xll.qlRateHelperPillarDate(I46,Trigger),"--")</f>
        <v>--</v>
      </c>
      <c r="R46" s="4" t="str">
        <f t="shared" si="2"/>
        <v/>
      </c>
      <c r="S46" s="4" t="e">
        <v>#N/A</v>
      </c>
      <c r="T46" s="4" t="str">
        <f>IFERROR(_xll.qlRateHelperQuoteName(S46,Trigger),"")</f>
        <v/>
      </c>
      <c r="U46" s="73" t="str">
        <f>IFERROR(_xll.qlRateHelperRate(S46,Trigger),"")</f>
        <v/>
      </c>
      <c r="V46" s="108" t="str">
        <f>IF(ISERROR(_xll.qlSwapRateHelperSpread($S46)),IF(ISERROR(_xll.qlFuturesRateHelperConvexityAdjustment($S46)),"",_xll.qlFuturesRateHelperConvexityAdjustment($S46)),_xll.qlSwapRateHelperSpread($S46))</f>
        <v/>
      </c>
      <c r="W46" s="5" t="str">
        <f>IFERROR(_xll.qlRateHelperEarliestDate(S46,Trigger),"")</f>
        <v/>
      </c>
      <c r="X46" s="5" t="str">
        <f>IFERROR(_xll.qlRateHelperPillarDate(S46,Trigger),"")</f>
        <v/>
      </c>
      <c r="Y46" s="81" t="e">
        <v>#N/A</v>
      </c>
    </row>
    <row r="47" spans="1:26" ht="11.25" customHeight="1" x14ac:dyDescent="0.2">
      <c r="A47" s="62" t="s">
        <v>70</v>
      </c>
      <c r="B47" s="63" t="s">
        <v>56</v>
      </c>
      <c r="C47" s="64">
        <v>1</v>
      </c>
      <c r="D47" s="65" t="str">
        <f t="shared" si="6"/>
        <v>Aonia</v>
      </c>
      <c r="E47" s="66" t="str">
        <f t="shared" si="11"/>
        <v>AUDOIS6Y_Quote</v>
      </c>
      <c r="F47" s="67"/>
      <c r="H47" s="10" t="str">
        <f t="shared" si="10"/>
        <v>OIS</v>
      </c>
      <c r="I47" s="98" t="str">
        <f t="shared" si="4"/>
        <v>--</v>
      </c>
      <c r="J47" s="144" t="str">
        <f>IFERROR(_xll.qlRateHelperQuoteName(I47,Trigger),"--")</f>
        <v>--</v>
      </c>
      <c r="K47" s="102" t="str">
        <f>IFERROR(_xll.qlRateHelperQuoteValue($I47,Trigger),"--")</f>
        <v>--</v>
      </c>
      <c r="L47" s="101" t="b">
        <v>0</v>
      </c>
      <c r="M47" s="98">
        <v>50</v>
      </c>
      <c r="N47" s="98">
        <v>1</v>
      </c>
      <c r="O47" s="103" t="str">
        <f>IFERROR(_xll.qlRateHelperEarliestDate(I47,Trigger),"--")</f>
        <v>--</v>
      </c>
      <c r="P47" s="103" t="str">
        <f>IFERROR(_xll.qlRateHelperPillarDate(I47,Trigger),"--")</f>
        <v>--</v>
      </c>
      <c r="R47" s="4" t="str">
        <f t="shared" si="2"/>
        <v/>
      </c>
      <c r="S47" s="4" t="e">
        <v>#N/A</v>
      </c>
      <c r="T47" s="4" t="str">
        <f>IFERROR(_xll.qlRateHelperQuoteName(S47,Trigger),"")</f>
        <v/>
      </c>
      <c r="U47" s="73" t="str">
        <f>IFERROR(_xll.qlRateHelperRate(S47,Trigger),"")</f>
        <v/>
      </c>
      <c r="V47" s="108" t="str">
        <f>IF(ISERROR(_xll.qlSwapRateHelperSpread($S47)),IF(ISERROR(_xll.qlFuturesRateHelperConvexityAdjustment($S47)),"",_xll.qlFuturesRateHelperConvexityAdjustment($S47)),_xll.qlSwapRateHelperSpread($S47))</f>
        <v/>
      </c>
      <c r="W47" s="5" t="str">
        <f>IFERROR(_xll.qlRateHelperEarliestDate(S47,Trigger),"")</f>
        <v/>
      </c>
      <c r="X47" s="5" t="str">
        <f>IFERROR(_xll.qlRateHelperPillarDate(S47,Trigger),"")</f>
        <v/>
      </c>
      <c r="Y47" s="81" t="e">
        <v>#N/A</v>
      </c>
    </row>
    <row r="48" spans="1:26" ht="11.25" customHeight="1" x14ac:dyDescent="0.2">
      <c r="A48" s="62" t="s">
        <v>70</v>
      </c>
      <c r="B48" s="63" t="s">
        <v>57</v>
      </c>
      <c r="C48" s="64">
        <v>1</v>
      </c>
      <c r="D48" s="65" t="str">
        <f t="shared" si="6"/>
        <v>Aonia</v>
      </c>
      <c r="E48" s="66" t="str">
        <f t="shared" si="11"/>
        <v>AUDOIS7Y_Quote</v>
      </c>
      <c r="F48" s="67"/>
      <c r="H48" s="10" t="str">
        <f t="shared" si="10"/>
        <v>OIS</v>
      </c>
      <c r="I48" s="98" t="str">
        <f t="shared" si="4"/>
        <v>--</v>
      </c>
      <c r="J48" s="144" t="str">
        <f>IFERROR(_xll.qlRateHelperQuoteName(I48,Trigger),"--")</f>
        <v>--</v>
      </c>
      <c r="K48" s="102" t="str">
        <f>IFERROR(_xll.qlRateHelperQuoteValue($I48,Trigger),"--")</f>
        <v>--</v>
      </c>
      <c r="L48" s="101" t="b">
        <v>0</v>
      </c>
      <c r="M48" s="98">
        <v>50</v>
      </c>
      <c r="N48" s="98">
        <v>1</v>
      </c>
      <c r="O48" s="103" t="str">
        <f>IFERROR(_xll.qlRateHelperEarliestDate(I48,Trigger),"--")</f>
        <v>--</v>
      </c>
      <c r="P48" s="103" t="str">
        <f>IFERROR(_xll.qlRateHelperPillarDate(I48,Trigger),"--")</f>
        <v>--</v>
      </c>
      <c r="R48" s="4" t="str">
        <f t="shared" si="2"/>
        <v/>
      </c>
      <c r="S48" s="4" t="e">
        <v>#N/A</v>
      </c>
      <c r="T48" s="4" t="str">
        <f>IFERROR(_xll.qlRateHelperQuoteName(S48,Trigger),"")</f>
        <v/>
      </c>
      <c r="U48" s="73" t="str">
        <f>IFERROR(_xll.qlRateHelperRate(S48,Trigger),"")</f>
        <v/>
      </c>
      <c r="V48" s="108" t="str">
        <f>IF(ISERROR(_xll.qlSwapRateHelperSpread($S48)),IF(ISERROR(_xll.qlFuturesRateHelperConvexityAdjustment($S48)),"",_xll.qlFuturesRateHelperConvexityAdjustment($S48)),_xll.qlSwapRateHelperSpread($S48))</f>
        <v/>
      </c>
      <c r="W48" s="5" t="str">
        <f>IFERROR(_xll.qlRateHelperEarliestDate(S48,Trigger),"")</f>
        <v/>
      </c>
      <c r="X48" s="5" t="str">
        <f>IFERROR(_xll.qlRateHelperPillarDate(S48,Trigger),"")</f>
        <v/>
      </c>
      <c r="Y48" s="81" t="e">
        <v>#N/A</v>
      </c>
    </row>
    <row r="49" spans="1:25" ht="11.25" customHeight="1" x14ac:dyDescent="0.2">
      <c r="A49" s="62" t="s">
        <v>70</v>
      </c>
      <c r="B49" s="63" t="s">
        <v>58</v>
      </c>
      <c r="C49" s="64">
        <v>1</v>
      </c>
      <c r="D49" s="65" t="str">
        <f t="shared" si="6"/>
        <v>Aonia</v>
      </c>
      <c r="E49" s="66" t="str">
        <f t="shared" si="11"/>
        <v>AUDOIS8Y_Quote</v>
      </c>
      <c r="F49" s="67"/>
      <c r="H49" s="10" t="str">
        <f t="shared" si="10"/>
        <v>OIS</v>
      </c>
      <c r="I49" s="98" t="str">
        <f t="shared" si="4"/>
        <v>--</v>
      </c>
      <c r="J49" s="144" t="str">
        <f>IFERROR(_xll.qlRateHelperQuoteName(I49,Trigger),"--")</f>
        <v>--</v>
      </c>
      <c r="K49" s="102" t="str">
        <f>IFERROR(_xll.qlRateHelperQuoteValue($I49,Trigger),"--")</f>
        <v>--</v>
      </c>
      <c r="L49" s="101" t="b">
        <v>0</v>
      </c>
      <c r="M49" s="98">
        <v>50</v>
      </c>
      <c r="N49" s="98">
        <v>1</v>
      </c>
      <c r="O49" s="103" t="str">
        <f>IFERROR(_xll.qlRateHelperEarliestDate(I49,Trigger),"--")</f>
        <v>--</v>
      </c>
      <c r="P49" s="103" t="str">
        <f>IFERROR(_xll.qlRateHelperPillarDate(I49,Trigger),"--")</f>
        <v>--</v>
      </c>
      <c r="R49" s="4" t="str">
        <f t="shared" si="2"/>
        <v/>
      </c>
      <c r="S49" s="4" t="e">
        <v>#N/A</v>
      </c>
      <c r="T49" s="4" t="str">
        <f>IFERROR(_xll.qlRateHelperQuoteName(S49,Trigger),"")</f>
        <v/>
      </c>
      <c r="U49" s="73" t="str">
        <f>IFERROR(_xll.qlRateHelperRate(S49,Trigger),"")</f>
        <v/>
      </c>
      <c r="V49" s="108" t="str">
        <f>IF(ISERROR(_xll.qlSwapRateHelperSpread($S49)),IF(ISERROR(_xll.qlFuturesRateHelperConvexityAdjustment($S49)),"",_xll.qlFuturesRateHelperConvexityAdjustment($S49)),_xll.qlSwapRateHelperSpread($S49))</f>
        <v/>
      </c>
      <c r="W49" s="5" t="str">
        <f>IFERROR(_xll.qlRateHelperEarliestDate(S49,Trigger),"")</f>
        <v/>
      </c>
      <c r="X49" s="5" t="str">
        <f>IFERROR(_xll.qlRateHelperPillarDate(S49,Trigger),"")</f>
        <v/>
      </c>
      <c r="Y49" s="81" t="e">
        <v>#N/A</v>
      </c>
    </row>
    <row r="50" spans="1:25" ht="11.25" customHeight="1" x14ac:dyDescent="0.2">
      <c r="A50" s="62" t="s">
        <v>70</v>
      </c>
      <c r="B50" s="63" t="s">
        <v>59</v>
      </c>
      <c r="C50" s="64">
        <v>1</v>
      </c>
      <c r="D50" s="65" t="str">
        <f t="shared" si="6"/>
        <v>Aonia</v>
      </c>
      <c r="E50" s="66" t="str">
        <f t="shared" si="11"/>
        <v>AUDOIS9Y_Quote</v>
      </c>
      <c r="F50" s="67"/>
      <c r="H50" s="10" t="str">
        <f t="shared" si="10"/>
        <v>OIS</v>
      </c>
      <c r="I50" s="98" t="str">
        <f t="shared" si="4"/>
        <v>--</v>
      </c>
      <c r="J50" s="144" t="str">
        <f>IFERROR(_xll.qlRateHelperQuoteName(I50,Trigger),"--")</f>
        <v>--</v>
      </c>
      <c r="K50" s="102" t="str">
        <f>IFERROR(_xll.qlRateHelperQuoteValue($I50,Trigger),"--")</f>
        <v>--</v>
      </c>
      <c r="L50" s="101" t="b">
        <v>0</v>
      </c>
      <c r="M50" s="98">
        <v>50</v>
      </c>
      <c r="N50" s="98">
        <v>1</v>
      </c>
      <c r="O50" s="103" t="str">
        <f>IFERROR(_xll.qlRateHelperEarliestDate(I50,Trigger),"--")</f>
        <v>--</v>
      </c>
      <c r="P50" s="103" t="str">
        <f>IFERROR(_xll.qlRateHelperPillarDate(I50,Trigger),"--")</f>
        <v>--</v>
      </c>
      <c r="R50" s="4" t="str">
        <f t="shared" si="2"/>
        <v/>
      </c>
      <c r="S50" s="4" t="e">
        <v>#N/A</v>
      </c>
      <c r="T50" s="4" t="str">
        <f>IFERROR(_xll.qlRateHelperQuoteName(S50,Trigger),"")</f>
        <v/>
      </c>
      <c r="U50" s="73" t="str">
        <f>IFERROR(_xll.qlRateHelperRate(S50,Trigger),"")</f>
        <v/>
      </c>
      <c r="V50" s="108" t="str">
        <f>IF(ISERROR(_xll.qlSwapRateHelperSpread($S50)),IF(ISERROR(_xll.qlFuturesRateHelperConvexityAdjustment($S50)),"",_xll.qlFuturesRateHelperConvexityAdjustment($S50)),_xll.qlSwapRateHelperSpread($S50))</f>
        <v/>
      </c>
      <c r="W50" s="5" t="str">
        <f>IFERROR(_xll.qlRateHelperEarliestDate(S50,Trigger),"")</f>
        <v/>
      </c>
      <c r="X50" s="5" t="str">
        <f>IFERROR(_xll.qlRateHelperPillarDate(S50,Trigger),"")</f>
        <v/>
      </c>
      <c r="Y50" s="81" t="e">
        <v>#N/A</v>
      </c>
    </row>
    <row r="51" spans="1:25" ht="11.25" customHeight="1" x14ac:dyDescent="0.2">
      <c r="A51" s="62" t="s">
        <v>70</v>
      </c>
      <c r="B51" s="63" t="s">
        <v>60</v>
      </c>
      <c r="C51" s="64">
        <v>1</v>
      </c>
      <c r="D51" s="65" t="str">
        <f t="shared" si="6"/>
        <v>Aonia</v>
      </c>
      <c r="E51" s="66" t="str">
        <f t="shared" si="11"/>
        <v>AUDOIS10Y_Quote</v>
      </c>
      <c r="F51" s="67"/>
      <c r="H51" s="10" t="str">
        <f t="shared" si="10"/>
        <v>OIS</v>
      </c>
      <c r="I51" s="98" t="str">
        <f t="shared" si="4"/>
        <v>--</v>
      </c>
      <c r="J51" s="144" t="str">
        <f>IFERROR(_xll.qlRateHelperQuoteName(I51,Trigger),"--")</f>
        <v>--</v>
      </c>
      <c r="K51" s="102" t="str">
        <f>IFERROR(_xll.qlRateHelperQuoteValue($I51,Trigger),"--")</f>
        <v>--</v>
      </c>
      <c r="L51" s="101" t="b">
        <v>0</v>
      </c>
      <c r="M51" s="98">
        <v>50</v>
      </c>
      <c r="N51" s="98">
        <v>1</v>
      </c>
      <c r="O51" s="103" t="str">
        <f>IFERROR(_xll.qlRateHelperEarliestDate(I51,Trigger),"--")</f>
        <v>--</v>
      </c>
      <c r="P51" s="103" t="str">
        <f>IFERROR(_xll.qlRateHelperPillarDate(I51,Trigger),"--")</f>
        <v>--</v>
      </c>
      <c r="R51" s="4" t="str">
        <f t="shared" si="2"/>
        <v/>
      </c>
      <c r="S51" s="4" t="e">
        <v>#N/A</v>
      </c>
      <c r="T51" s="4" t="str">
        <f>IFERROR(_xll.qlRateHelperQuoteName(S51,Trigger),"")</f>
        <v/>
      </c>
      <c r="U51" s="73" t="str">
        <f>IFERROR(_xll.qlRateHelperRate(S51,Trigger),"")</f>
        <v/>
      </c>
      <c r="V51" s="108" t="str">
        <f>IF(ISERROR(_xll.qlSwapRateHelperSpread($S51)),IF(ISERROR(_xll.qlFuturesRateHelperConvexityAdjustment($S51)),"",_xll.qlFuturesRateHelperConvexityAdjustment($S51)),_xll.qlSwapRateHelperSpread($S51))</f>
        <v/>
      </c>
      <c r="W51" s="5" t="str">
        <f>IFERROR(_xll.qlRateHelperEarliestDate(S51,Trigger),"")</f>
        <v/>
      </c>
      <c r="X51" s="5" t="str">
        <f>IFERROR(_xll.qlRateHelperPillarDate(S51,Trigger),"")</f>
        <v/>
      </c>
      <c r="Y51" s="81" t="e">
        <v>#N/A</v>
      </c>
    </row>
    <row r="52" spans="1:25" ht="11.25" customHeight="1" x14ac:dyDescent="0.2">
      <c r="A52" s="62" t="s">
        <v>70</v>
      </c>
      <c r="B52" s="63" t="s">
        <v>61</v>
      </c>
      <c r="C52" s="64">
        <v>1</v>
      </c>
      <c r="D52" s="65" t="str">
        <f t="shared" si="6"/>
        <v>Aonia</v>
      </c>
      <c r="E52" s="66" t="str">
        <f t="shared" si="11"/>
        <v>AUDOIS12Y_Quote</v>
      </c>
      <c r="F52" s="67"/>
      <c r="H52" s="10" t="str">
        <f t="shared" si="10"/>
        <v>OIS</v>
      </c>
      <c r="I52" s="98" t="str">
        <f t="shared" si="4"/>
        <v>--</v>
      </c>
      <c r="J52" s="144" t="str">
        <f>IFERROR(_xll.qlRateHelperQuoteName(I52,Trigger),"--")</f>
        <v>--</v>
      </c>
      <c r="K52" s="102" t="str">
        <f>IFERROR(_xll.qlRateHelperQuoteValue($I52,Trigger),"--")</f>
        <v>--</v>
      </c>
      <c r="L52" s="101" t="b">
        <v>0</v>
      </c>
      <c r="M52" s="98">
        <v>50</v>
      </c>
      <c r="N52" s="98">
        <v>1</v>
      </c>
      <c r="O52" s="103" t="str">
        <f>IFERROR(_xll.qlRateHelperEarliestDate(I52,Trigger),"--")</f>
        <v>--</v>
      </c>
      <c r="P52" s="103" t="str">
        <f>IFERROR(_xll.qlRateHelperPillarDate(I52,Trigger),"--")</f>
        <v>--</v>
      </c>
      <c r="R52" s="4" t="str">
        <f t="shared" si="2"/>
        <v/>
      </c>
      <c r="S52" s="4" t="e">
        <v>#N/A</v>
      </c>
      <c r="T52" s="4" t="str">
        <f>IFERROR(_xll.qlRateHelperQuoteName(S52,Trigger),"")</f>
        <v/>
      </c>
      <c r="U52" s="73" t="str">
        <f>IFERROR(_xll.qlRateHelperRate(S52,Trigger),"")</f>
        <v/>
      </c>
      <c r="V52" s="108" t="str">
        <f>IF(ISERROR(_xll.qlSwapRateHelperSpread($S52)),IF(ISERROR(_xll.qlFuturesRateHelperConvexityAdjustment($S52)),"",_xll.qlFuturesRateHelperConvexityAdjustment($S52)),_xll.qlSwapRateHelperSpread($S52))</f>
        <v/>
      </c>
      <c r="W52" s="5" t="str">
        <f>IFERROR(_xll.qlRateHelperEarliestDate(S52,Trigger),"")</f>
        <v/>
      </c>
      <c r="X52" s="5" t="str">
        <f>IFERROR(_xll.qlRateHelperPillarDate(S52,Trigger),"")</f>
        <v/>
      </c>
      <c r="Y52" s="81" t="e">
        <v>#N/A</v>
      </c>
    </row>
    <row r="53" spans="1:25" ht="11.25" customHeight="1" x14ac:dyDescent="0.2">
      <c r="A53" s="62" t="s">
        <v>70</v>
      </c>
      <c r="B53" s="63" t="s">
        <v>62</v>
      </c>
      <c r="C53" s="64">
        <v>1</v>
      </c>
      <c r="D53" s="65" t="str">
        <f t="shared" si="6"/>
        <v>Aonia</v>
      </c>
      <c r="E53" s="66" t="str">
        <f t="shared" si="11"/>
        <v>AUDOIS15Y_Quote</v>
      </c>
      <c r="F53" s="67"/>
      <c r="H53" s="10" t="str">
        <f t="shared" si="10"/>
        <v>OIS</v>
      </c>
      <c r="I53" s="98" t="str">
        <f t="shared" si="4"/>
        <v>--</v>
      </c>
      <c r="J53" s="144" t="str">
        <f>IFERROR(_xll.qlRateHelperQuoteName(I53,Trigger),"--")</f>
        <v>--</v>
      </c>
      <c r="K53" s="102" t="str">
        <f>IFERROR(_xll.qlRateHelperQuoteValue($I53,Trigger),"--")</f>
        <v>--</v>
      </c>
      <c r="L53" s="101" t="b">
        <v>0</v>
      </c>
      <c r="M53" s="98">
        <v>50</v>
      </c>
      <c r="N53" s="98">
        <v>1</v>
      </c>
      <c r="O53" s="103" t="str">
        <f>IFERROR(_xll.qlRateHelperEarliestDate(I53,Trigger),"--")</f>
        <v>--</v>
      </c>
      <c r="P53" s="103" t="str">
        <f>IFERROR(_xll.qlRateHelperPillarDate(I53,Trigger),"--")</f>
        <v>--</v>
      </c>
      <c r="R53" s="4" t="str">
        <f t="shared" si="2"/>
        <v/>
      </c>
      <c r="S53" s="4" t="e">
        <v>#N/A</v>
      </c>
      <c r="T53" s="4" t="str">
        <f>IFERROR(_xll.qlRateHelperQuoteName(S53,Trigger),"")</f>
        <v/>
      </c>
      <c r="U53" s="73" t="str">
        <f>IFERROR(_xll.qlRateHelperRate(S53,Trigger),"")</f>
        <v/>
      </c>
      <c r="V53" s="108" t="str">
        <f>IF(ISERROR(_xll.qlSwapRateHelperSpread($S53)),IF(ISERROR(_xll.qlFuturesRateHelperConvexityAdjustment($S53)),"",_xll.qlFuturesRateHelperConvexityAdjustment($S53)),_xll.qlSwapRateHelperSpread($S53))</f>
        <v/>
      </c>
      <c r="W53" s="5" t="str">
        <f>IFERROR(_xll.qlRateHelperEarliestDate(S53,Trigger),"")</f>
        <v/>
      </c>
      <c r="X53" s="5" t="str">
        <f>IFERROR(_xll.qlRateHelperPillarDate(S53,Trigger),"")</f>
        <v/>
      </c>
      <c r="Y53" s="81" t="e">
        <v>#N/A</v>
      </c>
    </row>
    <row r="54" spans="1:25" ht="11.25" customHeight="1" x14ac:dyDescent="0.2">
      <c r="A54" s="62" t="s">
        <v>70</v>
      </c>
      <c r="B54" s="63" t="s">
        <v>63</v>
      </c>
      <c r="C54" s="64">
        <v>1</v>
      </c>
      <c r="D54" s="65" t="str">
        <f t="shared" si="6"/>
        <v>Aonia</v>
      </c>
      <c r="E54" s="66" t="str">
        <f t="shared" si="11"/>
        <v>AUDOIS20Y_Quote</v>
      </c>
      <c r="F54" s="67"/>
      <c r="H54" s="10" t="str">
        <f t="shared" si="10"/>
        <v>OIS</v>
      </c>
      <c r="I54" s="98" t="str">
        <f t="shared" si="4"/>
        <v>--</v>
      </c>
      <c r="J54" s="144" t="str">
        <f>IFERROR(_xll.qlRateHelperQuoteName(I54,Trigger),"--")</f>
        <v>--</v>
      </c>
      <c r="K54" s="102" t="str">
        <f>IFERROR(_xll.qlRateHelperQuoteValue($I54,Trigger),"--")</f>
        <v>--</v>
      </c>
      <c r="L54" s="101" t="b">
        <v>0</v>
      </c>
      <c r="M54" s="98">
        <v>50</v>
      </c>
      <c r="N54" s="98">
        <v>1</v>
      </c>
      <c r="O54" s="103" t="str">
        <f>IFERROR(_xll.qlRateHelperEarliestDate(I54,Trigger),"--")</f>
        <v>--</v>
      </c>
      <c r="P54" s="103" t="str">
        <f>IFERROR(_xll.qlRateHelperPillarDate(I54,Trigger),"--")</f>
        <v>--</v>
      </c>
      <c r="R54" s="4" t="str">
        <f t="shared" si="2"/>
        <v/>
      </c>
      <c r="S54" s="4" t="e">
        <v>#N/A</v>
      </c>
      <c r="T54" s="4" t="str">
        <f>IFERROR(_xll.qlRateHelperQuoteName(S54,Trigger),"")</f>
        <v/>
      </c>
      <c r="U54" s="73" t="str">
        <f>IFERROR(_xll.qlRateHelperRate(S54,Trigger),"")</f>
        <v/>
      </c>
      <c r="V54" s="108" t="str">
        <f>IF(ISERROR(_xll.qlSwapRateHelperSpread($S54)),IF(ISERROR(_xll.qlFuturesRateHelperConvexityAdjustment($S54)),"",_xll.qlFuturesRateHelperConvexityAdjustment($S54)),_xll.qlSwapRateHelperSpread($S54))</f>
        <v/>
      </c>
      <c r="W54" s="5" t="str">
        <f>IFERROR(_xll.qlRateHelperEarliestDate(S54,Trigger),"")</f>
        <v/>
      </c>
      <c r="X54" s="5" t="str">
        <f>IFERROR(_xll.qlRateHelperPillarDate(S54,Trigger),"")</f>
        <v/>
      </c>
      <c r="Y54" s="81" t="e">
        <v>#N/A</v>
      </c>
    </row>
    <row r="55" spans="1:25" ht="11.25" customHeight="1" x14ac:dyDescent="0.2">
      <c r="A55" s="62" t="s">
        <v>70</v>
      </c>
      <c r="B55" s="63" t="s">
        <v>64</v>
      </c>
      <c r="C55" s="64">
        <v>1</v>
      </c>
      <c r="D55" s="65" t="str">
        <f t="shared" si="6"/>
        <v>Aonia</v>
      </c>
      <c r="E55" s="66" t="str">
        <f t="shared" si="11"/>
        <v>AUDOIS25Y_Quote</v>
      </c>
      <c r="F55" s="67"/>
      <c r="H55" s="10" t="str">
        <f t="shared" si="10"/>
        <v>OIS</v>
      </c>
      <c r="I55" s="98" t="str">
        <f t="shared" si="4"/>
        <v>--</v>
      </c>
      <c r="J55" s="144" t="str">
        <f>IFERROR(_xll.qlRateHelperQuoteName(I55,Trigger),"--")</f>
        <v>--</v>
      </c>
      <c r="K55" s="102" t="str">
        <f>IFERROR(_xll.qlRateHelperQuoteValue($I55,Trigger),"--")</f>
        <v>--</v>
      </c>
      <c r="L55" s="101" t="b">
        <v>0</v>
      </c>
      <c r="M55" s="98">
        <v>50</v>
      </c>
      <c r="N55" s="98">
        <v>1</v>
      </c>
      <c r="O55" s="103" t="str">
        <f>IFERROR(_xll.qlRateHelperEarliestDate(I55,Trigger),"--")</f>
        <v>--</v>
      </c>
      <c r="P55" s="103" t="str">
        <f>IFERROR(_xll.qlRateHelperPillarDate(I55,Trigger),"--")</f>
        <v>--</v>
      </c>
      <c r="R55" s="4" t="str">
        <f t="shared" si="2"/>
        <v/>
      </c>
      <c r="S55" s="4" t="e">
        <v>#N/A</v>
      </c>
      <c r="T55" s="4" t="str">
        <f>IFERROR(_xll.qlRateHelperQuoteName(S55,Trigger),"")</f>
        <v/>
      </c>
      <c r="U55" s="73" t="str">
        <f>IFERROR(_xll.qlRateHelperRate(S55,Trigger),"")</f>
        <v/>
      </c>
      <c r="V55" s="108" t="str">
        <f>IF(ISERROR(_xll.qlSwapRateHelperSpread($S55)),IF(ISERROR(_xll.qlFuturesRateHelperConvexityAdjustment($S55)),"",_xll.qlFuturesRateHelperConvexityAdjustment($S55)),_xll.qlSwapRateHelperSpread($S55))</f>
        <v/>
      </c>
      <c r="W55" s="5" t="str">
        <f>IFERROR(_xll.qlRateHelperEarliestDate(S55,Trigger),"")</f>
        <v/>
      </c>
      <c r="X55" s="5" t="str">
        <f>IFERROR(_xll.qlRateHelperPillarDate(S55,Trigger),"")</f>
        <v/>
      </c>
      <c r="Y55" s="81" t="e">
        <v>#N/A</v>
      </c>
    </row>
    <row r="56" spans="1:25" ht="11.25" customHeight="1" x14ac:dyDescent="0.2">
      <c r="A56" s="62" t="s">
        <v>70</v>
      </c>
      <c r="B56" s="63" t="s">
        <v>65</v>
      </c>
      <c r="C56" s="64">
        <v>1</v>
      </c>
      <c r="D56" s="65" t="str">
        <f t="shared" si="6"/>
        <v>Aonia</v>
      </c>
      <c r="E56" s="66" t="str">
        <f t="shared" si="11"/>
        <v>AUDOIS27Y_Quote</v>
      </c>
      <c r="F56" s="67"/>
      <c r="H56" s="10" t="str">
        <f t="shared" si="10"/>
        <v>OIS</v>
      </c>
      <c r="I56" s="98" t="str">
        <f t="shared" si="4"/>
        <v>--</v>
      </c>
      <c r="J56" s="144" t="str">
        <f>IFERROR(_xll.qlRateHelperQuoteName(I56,Trigger),"--")</f>
        <v>--</v>
      </c>
      <c r="K56" s="102" t="str">
        <f>IFERROR(_xll.qlRateHelperQuoteValue($I56,Trigger),"--")</f>
        <v>--</v>
      </c>
      <c r="L56" s="101" t="b">
        <v>0</v>
      </c>
      <c r="M56" s="98">
        <v>50</v>
      </c>
      <c r="N56" s="98">
        <v>1</v>
      </c>
      <c r="O56" s="103" t="str">
        <f>IFERROR(_xll.qlRateHelperEarliestDate(I56,Trigger),"--")</f>
        <v>--</v>
      </c>
      <c r="P56" s="103" t="str">
        <f>IFERROR(_xll.qlRateHelperPillarDate(I56,Trigger),"--")</f>
        <v>--</v>
      </c>
      <c r="R56" s="4" t="str">
        <f t="shared" si="2"/>
        <v/>
      </c>
      <c r="S56" s="4" t="e">
        <v>#N/A</v>
      </c>
      <c r="T56" s="4" t="str">
        <f>IFERROR(_xll.qlRateHelperQuoteName(S56,Trigger),"")</f>
        <v/>
      </c>
      <c r="U56" s="73" t="str">
        <f>IFERROR(_xll.qlRateHelperRate(S56,Trigger),"")</f>
        <v/>
      </c>
      <c r="V56" s="108" t="str">
        <f>IF(ISERROR(_xll.qlSwapRateHelperSpread($S56)),IF(ISERROR(_xll.qlFuturesRateHelperConvexityAdjustment($S56)),"",_xll.qlFuturesRateHelperConvexityAdjustment($S56)),_xll.qlSwapRateHelperSpread($S56))</f>
        <v/>
      </c>
      <c r="W56" s="5" t="str">
        <f>IFERROR(_xll.qlRateHelperEarliestDate(S56,Trigger),"")</f>
        <v/>
      </c>
      <c r="X56" s="5" t="str">
        <f>IFERROR(_xll.qlRateHelperPillarDate(S56,Trigger),"")</f>
        <v/>
      </c>
      <c r="Y56" s="81" t="e">
        <v>#N/A</v>
      </c>
    </row>
    <row r="57" spans="1:25" ht="11.25" customHeight="1" x14ac:dyDescent="0.2">
      <c r="A57" s="62" t="s">
        <v>70</v>
      </c>
      <c r="B57" s="63" t="s">
        <v>66</v>
      </c>
      <c r="C57" s="64">
        <v>1</v>
      </c>
      <c r="D57" s="65" t="str">
        <f t="shared" si="6"/>
        <v>Aonia</v>
      </c>
      <c r="E57" s="66" t="str">
        <f t="shared" si="11"/>
        <v>AUDOIS30Y_Quote</v>
      </c>
      <c r="F57" s="67"/>
      <c r="H57" s="10" t="str">
        <f t="shared" si="10"/>
        <v>OIS</v>
      </c>
      <c r="I57" s="98" t="str">
        <f t="shared" si="4"/>
        <v>--</v>
      </c>
      <c r="J57" s="144" t="str">
        <f>IFERROR(_xll.qlRateHelperQuoteName(I57,Trigger),"--")</f>
        <v>--</v>
      </c>
      <c r="K57" s="102" t="str">
        <f>IFERROR(_xll.qlRateHelperQuoteValue($I57,Trigger),"--")</f>
        <v>--</v>
      </c>
      <c r="L57" s="101" t="b">
        <v>0</v>
      </c>
      <c r="M57" s="98">
        <v>50</v>
      </c>
      <c r="N57" s="98">
        <v>1</v>
      </c>
      <c r="O57" s="103" t="str">
        <f>IFERROR(_xll.qlRateHelperEarliestDate(I57,Trigger),"--")</f>
        <v>--</v>
      </c>
      <c r="P57" s="103" t="str">
        <f>IFERROR(_xll.qlRateHelperPillarDate(I57,Trigger),"--")</f>
        <v>--</v>
      </c>
      <c r="R57" s="4" t="str">
        <f t="shared" si="2"/>
        <v/>
      </c>
      <c r="S57" s="4" t="e">
        <v>#N/A</v>
      </c>
      <c r="T57" s="4" t="str">
        <f>IFERROR(_xll.qlRateHelperQuoteName(S57,Trigger),"")</f>
        <v/>
      </c>
      <c r="U57" s="73" t="str">
        <f>IFERROR(_xll.qlRateHelperRate(S57,Trigger),"")</f>
        <v/>
      </c>
      <c r="V57" s="108" t="str">
        <f>IF(ISERROR(_xll.qlSwapRateHelperSpread($S57)),IF(ISERROR(_xll.qlFuturesRateHelperConvexityAdjustment($S57)),"",_xll.qlFuturesRateHelperConvexityAdjustment($S57)),_xll.qlSwapRateHelperSpread($S57))</f>
        <v/>
      </c>
      <c r="W57" s="5" t="str">
        <f>IFERROR(_xll.qlRateHelperEarliestDate(S57,Trigger),"")</f>
        <v/>
      </c>
      <c r="X57" s="5" t="str">
        <f>IFERROR(_xll.qlRateHelperPillarDate(S57,Trigger),"")</f>
        <v/>
      </c>
      <c r="Y57" s="81" t="e">
        <v>#N/A</v>
      </c>
    </row>
    <row r="58" spans="1:25" ht="11.25" customHeight="1" x14ac:dyDescent="0.2">
      <c r="A58" s="62" t="s">
        <v>70</v>
      </c>
      <c r="B58" s="63" t="s">
        <v>67</v>
      </c>
      <c r="C58" s="64">
        <v>1</v>
      </c>
      <c r="D58" s="65" t="str">
        <f t="shared" si="6"/>
        <v>Aonia</v>
      </c>
      <c r="E58" s="66" t="str">
        <f t="shared" si="11"/>
        <v>AUDOIS35Y_Quote</v>
      </c>
      <c r="F58" s="67"/>
      <c r="H58" s="10" t="str">
        <f t="shared" si="10"/>
        <v>OIS</v>
      </c>
      <c r="I58" s="98" t="str">
        <f t="shared" ref="I58:I59" si="12">IF(ISBLANK(F60),"--",F60)</f>
        <v>--</v>
      </c>
      <c r="J58" s="144" t="str">
        <f>IFERROR(_xll.qlRateHelperQuoteName(I58,Trigger),"--")</f>
        <v>--</v>
      </c>
      <c r="K58" s="102" t="str">
        <f>IFERROR(_xll.qlRateHelperQuoteValue($I58,Trigger),"--")</f>
        <v>--</v>
      </c>
      <c r="L58" s="101" t="b">
        <v>0</v>
      </c>
      <c r="M58" s="98">
        <v>50</v>
      </c>
      <c r="N58" s="98">
        <v>1</v>
      </c>
      <c r="O58" s="103" t="str">
        <f>IFERROR(_xll.qlRateHelperEarliestDate(I58,Trigger),"--")</f>
        <v>--</v>
      </c>
      <c r="P58" s="103" t="str">
        <f>IFERROR(_xll.qlRateHelperPillarDate(I58,Trigger),"--")</f>
        <v>--</v>
      </c>
      <c r="R58" s="4" t="str">
        <f t="shared" si="2"/>
        <v/>
      </c>
      <c r="S58" s="4" t="e">
        <v>#N/A</v>
      </c>
      <c r="T58" s="4" t="str">
        <f>IFERROR(_xll.qlRateHelperQuoteName(S58,Trigger),"")</f>
        <v/>
      </c>
      <c r="U58" s="73" t="str">
        <f>IFERROR(_xll.qlRateHelperRate(S58,Trigger),"")</f>
        <v/>
      </c>
      <c r="V58" s="108" t="str">
        <f>IF(ISERROR(_xll.qlSwapRateHelperSpread($S58)),IF(ISERROR(_xll.qlFuturesRateHelperConvexityAdjustment($S58)),"",_xll.qlFuturesRateHelperConvexityAdjustment($S58)),_xll.qlSwapRateHelperSpread($S58))</f>
        <v/>
      </c>
      <c r="W58" s="5" t="str">
        <f>IFERROR(_xll.qlRateHelperEarliestDate(S58,Trigger),"")</f>
        <v/>
      </c>
      <c r="X58" s="5" t="str">
        <f>IFERROR(_xll.qlRateHelperPillarDate(S58,Trigger),"")</f>
        <v/>
      </c>
      <c r="Y58" s="81" t="e">
        <v>#N/A</v>
      </c>
    </row>
    <row r="59" spans="1:25" ht="11.25" customHeight="1" x14ac:dyDescent="0.2">
      <c r="A59" s="62" t="s">
        <v>70</v>
      </c>
      <c r="B59" s="63" t="s">
        <v>68</v>
      </c>
      <c r="C59" s="64">
        <v>1</v>
      </c>
      <c r="D59" s="65" t="str">
        <f t="shared" si="6"/>
        <v>Aonia</v>
      </c>
      <c r="E59" s="66" t="str">
        <f t="shared" si="11"/>
        <v>AUDOIS40Y_Quote</v>
      </c>
      <c r="F59" s="67"/>
      <c r="H59" s="10" t="str">
        <f t="shared" si="10"/>
        <v>OIS</v>
      </c>
      <c r="I59" s="98" t="str">
        <f t="shared" si="12"/>
        <v>--</v>
      </c>
      <c r="J59" s="144" t="str">
        <f>IFERROR(_xll.qlRateHelperQuoteName(I59,Trigger),"--")</f>
        <v>--</v>
      </c>
      <c r="K59" s="102" t="str">
        <f>IFERROR(_xll.qlRateHelperQuoteValue($I59,Trigger),"--")</f>
        <v>--</v>
      </c>
      <c r="L59" s="101" t="b">
        <v>0</v>
      </c>
      <c r="M59" s="98">
        <v>50</v>
      </c>
      <c r="N59" s="98">
        <v>1</v>
      </c>
      <c r="O59" s="103" t="str">
        <f>IFERROR(_xll.qlRateHelperEarliestDate(I59,Trigger),"--")</f>
        <v>--</v>
      </c>
      <c r="P59" s="103" t="str">
        <f>IFERROR(_xll.qlRateHelperPillarDate(I59,Trigger),"--")</f>
        <v>--</v>
      </c>
      <c r="R59" s="4" t="str">
        <f t="shared" si="2"/>
        <v/>
      </c>
      <c r="S59" s="4" t="e">
        <v>#N/A</v>
      </c>
      <c r="T59" s="4" t="str">
        <f>IFERROR(_xll.qlRateHelperQuoteName(S59,Trigger),"")</f>
        <v/>
      </c>
      <c r="U59" s="73" t="str">
        <f>IFERROR(_xll.qlRateHelperRate(S59,Trigger),"")</f>
        <v/>
      </c>
      <c r="V59" s="108" t="str">
        <f>IF(ISERROR(_xll.qlSwapRateHelperSpread($S59)),IF(ISERROR(_xll.qlFuturesRateHelperConvexityAdjustment($S59)),"",_xll.qlFuturesRateHelperConvexityAdjustment($S59)),_xll.qlSwapRateHelperSpread($S59))</f>
        <v/>
      </c>
      <c r="W59" s="5" t="str">
        <f>IFERROR(_xll.qlRateHelperEarliestDate(S59,Trigger),"")</f>
        <v/>
      </c>
      <c r="X59" s="5" t="str">
        <f>IFERROR(_xll.qlRateHelperPillarDate(S59,Trigger),"")</f>
        <v/>
      </c>
      <c r="Y59" s="81" t="e">
        <v>#N/A</v>
      </c>
    </row>
    <row r="60" spans="1:25" ht="11.25" customHeight="1" x14ac:dyDescent="0.2">
      <c r="A60" s="62" t="s">
        <v>70</v>
      </c>
      <c r="B60" s="63" t="s">
        <v>155</v>
      </c>
      <c r="C60" s="64">
        <v>1</v>
      </c>
      <c r="D60" s="65" t="str">
        <f t="shared" si="6"/>
        <v>Aonia</v>
      </c>
      <c r="E60" s="66" t="str">
        <f t="shared" si="11"/>
        <v>AUDOIS45Y_Quote</v>
      </c>
      <c r="F60" s="67"/>
      <c r="H60" s="71" t="str">
        <f t="shared" ref="H60:H91" si="13">A64</f>
        <v>MTOIS</v>
      </c>
      <c r="I60" s="130" t="str">
        <f>IF(ISBLANK(F64),"--",F64)</f>
        <v>--</v>
      </c>
      <c r="J60" s="143" t="str">
        <f>IFERROR(_xll.qlRateHelperQuoteName(I60,Trigger),"--")</f>
        <v>--</v>
      </c>
      <c r="K60" s="132" t="str">
        <f>IFERROR(_xll.qlRateHelperQuoteValue($I60,Trigger),"--")</f>
        <v>--</v>
      </c>
      <c r="L60" s="131" t="b">
        <v>0</v>
      </c>
      <c r="M60" s="130">
        <v>50</v>
      </c>
      <c r="N60" s="130">
        <v>1</v>
      </c>
      <c r="O60" s="133" t="str">
        <f>IFERROR(_xll.qlRateHelperEarliestDate(I60,Trigger),"--")</f>
        <v>--</v>
      </c>
      <c r="P60" s="133" t="str">
        <f>IFERROR(_xll.qlRateHelperPillarDate(I60,Trigger),"--")</f>
        <v>--</v>
      </c>
      <c r="R60" s="4" t="str">
        <f t="shared" si="2"/>
        <v/>
      </c>
      <c r="S60" s="4" t="e">
        <v>#N/A</v>
      </c>
      <c r="T60" s="4" t="str">
        <f>IFERROR(_xll.qlRateHelperQuoteName(S60,Trigger),"")</f>
        <v/>
      </c>
      <c r="U60" s="73" t="str">
        <f>IFERROR(_xll.qlRateHelperRate(S60,Trigger),"")</f>
        <v/>
      </c>
      <c r="V60" s="108" t="str">
        <f>IF(ISERROR(_xll.qlSwapRateHelperSpread($S60)),IF(ISERROR(_xll.qlFuturesRateHelperConvexityAdjustment($S60)),"",_xll.qlFuturesRateHelperConvexityAdjustment($S60)),_xll.qlSwapRateHelperSpread($S60))</f>
        <v/>
      </c>
      <c r="W60" s="5" t="str">
        <f>IFERROR(_xll.qlRateHelperEarliestDate(S60,Trigger),"")</f>
        <v/>
      </c>
      <c r="X60" s="5" t="str">
        <f>IFERROR(_xll.qlRateHelperPillarDate(S60,Trigger),"")</f>
        <v/>
      </c>
      <c r="Y60" s="81" t="e">
        <v>#N/A</v>
      </c>
    </row>
    <row r="61" spans="1:25" ht="11.25" customHeight="1" x14ac:dyDescent="0.2">
      <c r="A61" s="1" t="s">
        <v>70</v>
      </c>
      <c r="B61" s="8" t="s">
        <v>69</v>
      </c>
      <c r="C61" s="7">
        <v>1</v>
      </c>
      <c r="D61" s="9" t="str">
        <f t="shared" si="6"/>
        <v>Aonia</v>
      </c>
      <c r="E61" s="2" t="str">
        <f t="shared" si="11"/>
        <v>AUDOIS50Y_Quote</v>
      </c>
      <c r="F61" s="3"/>
      <c r="H61" s="10" t="str">
        <f t="shared" si="13"/>
        <v>MTOIS</v>
      </c>
      <c r="I61" s="98" t="str">
        <f t="shared" ref="I61:I113" si="14">IF(ISBLANK(F65),"--",F65)</f>
        <v>--</v>
      </c>
      <c r="J61" s="144" t="str">
        <f>IFERROR(_xll.qlRateHelperQuoteName(I61,Trigger),"--")</f>
        <v>--</v>
      </c>
      <c r="K61" s="102" t="str">
        <f>IFERROR(_xll.qlRateHelperQuoteValue($I61,Trigger),"--")</f>
        <v>--</v>
      </c>
      <c r="L61" s="101" t="b">
        <v>0</v>
      </c>
      <c r="M61" s="98">
        <v>50</v>
      </c>
      <c r="N61" s="98">
        <v>1</v>
      </c>
      <c r="O61" s="103" t="str">
        <f>IFERROR(_xll.qlRateHelperEarliestDate(I61,Trigger),"--")</f>
        <v>--</v>
      </c>
      <c r="P61" s="103" t="str">
        <f>IFERROR(_xll.qlRateHelperPillarDate(I61,Trigger),"--")</f>
        <v>--</v>
      </c>
      <c r="R61" s="4" t="str">
        <f t="shared" si="2"/>
        <v/>
      </c>
      <c r="S61" s="4" t="e">
        <v>#N/A</v>
      </c>
      <c r="T61" s="4" t="str">
        <f>IFERROR(_xll.qlRateHelperQuoteName(S61,Trigger),"")</f>
        <v/>
      </c>
      <c r="U61" s="73" t="str">
        <f>IFERROR(_xll.qlRateHelperRate(S61,Trigger),"")</f>
        <v/>
      </c>
      <c r="V61" s="108" t="str">
        <f>IF(ISERROR(_xll.qlSwapRateHelperSpread($S61)),IF(ISERROR(_xll.qlFuturesRateHelperConvexityAdjustment($S61)),"",_xll.qlFuturesRateHelperConvexityAdjustment($S61)),_xll.qlSwapRateHelperSpread($S61))</f>
        <v/>
      </c>
      <c r="W61" s="5" t="str">
        <f>IFERROR(_xll.qlRateHelperEarliestDate(S61,Trigger),"")</f>
        <v/>
      </c>
      <c r="X61" s="5" t="str">
        <f>IFERROR(_xll.qlRateHelperPillarDate(S61,Trigger),"")</f>
        <v/>
      </c>
      <c r="Y61" s="81" t="e">
        <v>#N/A</v>
      </c>
    </row>
    <row r="62" spans="1:25" ht="11.25" customHeight="1" x14ac:dyDescent="0.2">
      <c r="D62" s="107" t="s">
        <v>156</v>
      </c>
      <c r="H62" s="10" t="str">
        <f t="shared" si="13"/>
        <v>MTOIS</v>
      </c>
      <c r="I62" s="98" t="str">
        <f t="shared" si="14"/>
        <v>--</v>
      </c>
      <c r="J62" s="144" t="str">
        <f>IFERROR(_xll.qlRateHelperQuoteName(I62,Trigger),"--")</f>
        <v>--</v>
      </c>
      <c r="K62" s="102" t="str">
        <f>IFERROR(_xll.qlRateHelperQuoteValue($I62,Trigger),"--")</f>
        <v>--</v>
      </c>
      <c r="L62" s="101" t="b">
        <v>0</v>
      </c>
      <c r="M62" s="98">
        <v>50</v>
      </c>
      <c r="N62" s="98">
        <v>1</v>
      </c>
      <c r="O62" s="103" t="str">
        <f>IFERROR(_xll.qlRateHelperEarliestDate(I62,Trigger),"--")</f>
        <v>--</v>
      </c>
      <c r="P62" s="103" t="str">
        <f>IFERROR(_xll.qlRateHelperPillarDate(I62,Trigger),"--")</f>
        <v>--</v>
      </c>
      <c r="R62" s="4" t="str">
        <f t="shared" si="2"/>
        <v/>
      </c>
      <c r="S62" s="4" t="e">
        <v>#N/A</v>
      </c>
      <c r="T62" s="4" t="str">
        <f>IFERROR(_xll.qlRateHelperQuoteName(S62,Trigger),"")</f>
        <v/>
      </c>
      <c r="U62" s="73" t="str">
        <f>IFERROR(_xll.qlRateHelperRate(S62,Trigger),"")</f>
        <v/>
      </c>
      <c r="V62" s="108" t="str">
        <f>IF(ISERROR(_xll.qlSwapRateHelperSpread($S62)),IF(ISERROR(_xll.qlFuturesRateHelperConvexityAdjustment($S62)),"",_xll.qlFuturesRateHelperConvexityAdjustment($S62)),_xll.qlSwapRateHelperSpread($S62))</f>
        <v/>
      </c>
      <c r="W62" s="5" t="str">
        <f>IFERROR(_xll.qlRateHelperEarliestDate(S62,Trigger),"")</f>
        <v/>
      </c>
      <c r="X62" s="5" t="str">
        <f>IFERROR(_xll.qlRateHelperPillarDate(S62,Trigger),"")</f>
        <v/>
      </c>
      <c r="Y62" s="81" t="e">
        <v>#N/A</v>
      </c>
    </row>
    <row r="63" spans="1:25" ht="11.25" customHeight="1" x14ac:dyDescent="0.2">
      <c r="A63" s="68" t="s">
        <v>8</v>
      </c>
      <c r="B63" s="68" t="s">
        <v>28</v>
      </c>
      <c r="C63" s="68" t="s">
        <v>80</v>
      </c>
      <c r="D63" s="68" t="s">
        <v>4</v>
      </c>
      <c r="E63" s="68" t="s">
        <v>1</v>
      </c>
      <c r="F63" s="68" t="s">
        <v>24</v>
      </c>
      <c r="H63" s="10" t="str">
        <f t="shared" si="13"/>
        <v>MTOIS</v>
      </c>
      <c r="I63" s="98" t="str">
        <f t="shared" si="14"/>
        <v>--</v>
      </c>
      <c r="J63" s="144" t="str">
        <f>IFERROR(_xll.qlRateHelperQuoteName(I63,Trigger),"--")</f>
        <v>--</v>
      </c>
      <c r="K63" s="102" t="str">
        <f>IFERROR(_xll.qlRateHelperQuoteValue($I63,Trigger),"--")</f>
        <v>--</v>
      </c>
      <c r="L63" s="101" t="b">
        <v>0</v>
      </c>
      <c r="M63" s="98">
        <v>50</v>
      </c>
      <c r="N63" s="98">
        <v>1</v>
      </c>
      <c r="O63" s="103" t="str">
        <f>IFERROR(_xll.qlRateHelperEarliestDate(I63,Trigger),"--")</f>
        <v>--</v>
      </c>
      <c r="P63" s="103" t="str">
        <f>IFERROR(_xll.qlRateHelperPillarDate(I63,Trigger),"--")</f>
        <v>--</v>
      </c>
      <c r="R63" s="4" t="str">
        <f t="shared" si="2"/>
        <v/>
      </c>
      <c r="S63" s="4" t="e">
        <v>#N/A</v>
      </c>
      <c r="T63" s="4" t="str">
        <f>IFERROR(_xll.qlRateHelperQuoteName(S63,Trigger),"")</f>
        <v/>
      </c>
      <c r="U63" s="73" t="str">
        <f>IFERROR(_xll.qlRateHelperRate(S63,Trigger),"")</f>
        <v/>
      </c>
      <c r="V63" s="108" t="str">
        <f>IF(ISERROR(_xll.qlSwapRateHelperSpread($S63)),IF(ISERROR(_xll.qlFuturesRateHelperConvexityAdjustment($S63)),"",_xll.qlFuturesRateHelperConvexityAdjustment($S63)),_xll.qlSwapRateHelperSpread($S63))</f>
        <v/>
      </c>
      <c r="W63" s="5" t="str">
        <f>IFERROR(_xll.qlRateHelperEarliestDate(S63,Trigger),"")</f>
        <v/>
      </c>
      <c r="X63" s="5" t="str">
        <f>IFERROR(_xll.qlRateHelperPillarDate(S63,Trigger),"")</f>
        <v/>
      </c>
      <c r="Y63" s="81" t="e">
        <v>#N/A</v>
      </c>
    </row>
    <row r="64" spans="1:25" ht="11.25" customHeight="1" x14ac:dyDescent="0.2">
      <c r="A64" s="56" t="s">
        <v>156</v>
      </c>
      <c r="B64" s="57" t="s">
        <v>38</v>
      </c>
      <c r="C64" s="58">
        <v>1</v>
      </c>
      <c r="D64" s="65" t="str">
        <f>$D$1</f>
        <v>Aonia</v>
      </c>
      <c r="E64" s="60" t="str">
        <f t="shared" ref="E64:E95" si="15">Currency&amp;$D$62&amp;IF($B64="1W","SW",$B64)&amp;QuoteSuffix</f>
        <v>AUDMTOISSW_Quote</v>
      </c>
      <c r="F64" s="61"/>
      <c r="H64" s="10" t="str">
        <f t="shared" si="13"/>
        <v>MTOIS</v>
      </c>
      <c r="I64" s="98" t="str">
        <f t="shared" si="14"/>
        <v>--</v>
      </c>
      <c r="J64" s="144" t="str">
        <f>IFERROR(_xll.qlRateHelperQuoteName(I64,Trigger),"--")</f>
        <v>--</v>
      </c>
      <c r="K64" s="102" t="str">
        <f>IFERROR(_xll.qlRateHelperQuoteValue($I64,Trigger),"--")</f>
        <v>--</v>
      </c>
      <c r="L64" s="101" t="b">
        <v>0</v>
      </c>
      <c r="M64" s="98">
        <v>50</v>
      </c>
      <c r="N64" s="98">
        <v>1</v>
      </c>
      <c r="O64" s="103" t="str">
        <f>IFERROR(_xll.qlRateHelperEarliestDate(I64,Trigger),"--")</f>
        <v>--</v>
      </c>
      <c r="P64" s="103" t="str">
        <f>IFERROR(_xll.qlRateHelperPillarDate(I64,Trigger),"--")</f>
        <v>--</v>
      </c>
      <c r="R64" s="4" t="str">
        <f t="shared" si="2"/>
        <v/>
      </c>
      <c r="S64" s="4" t="e">
        <v>#N/A</v>
      </c>
      <c r="T64" s="4" t="str">
        <f>IFERROR(_xll.qlRateHelperQuoteName(S64,Trigger),"")</f>
        <v/>
      </c>
      <c r="U64" s="73" t="str">
        <f>IFERROR(_xll.qlRateHelperRate(S64,Trigger),"")</f>
        <v/>
      </c>
      <c r="V64" s="108" t="str">
        <f>IF(ISERROR(_xll.qlSwapRateHelperSpread($S64)),IF(ISERROR(_xll.qlFuturesRateHelperConvexityAdjustment($S64)),"",_xll.qlFuturesRateHelperConvexityAdjustment($S64)),_xll.qlSwapRateHelperSpread($S64))</f>
        <v/>
      </c>
      <c r="W64" s="5" t="str">
        <f>IFERROR(_xll.qlRateHelperEarliestDate(S64,Trigger),"")</f>
        <v/>
      </c>
      <c r="X64" s="5" t="str">
        <f>IFERROR(_xll.qlRateHelperPillarDate(S64,Trigger),"")</f>
        <v/>
      </c>
      <c r="Y64" s="81" t="e">
        <v>#N/A</v>
      </c>
    </row>
    <row r="65" spans="1:25" ht="11.25" customHeight="1" x14ac:dyDescent="0.2">
      <c r="A65" s="62" t="s">
        <v>156</v>
      </c>
      <c r="B65" s="63" t="s">
        <v>39</v>
      </c>
      <c r="C65" s="64">
        <v>1</v>
      </c>
      <c r="D65" s="65" t="str">
        <f t="shared" ref="D65:D117" si="16">$D$1</f>
        <v>Aonia</v>
      </c>
      <c r="E65" s="66" t="str">
        <f t="shared" si="15"/>
        <v>AUDMTOIS2W_Quote</v>
      </c>
      <c r="F65" s="67"/>
      <c r="H65" s="10" t="str">
        <f t="shared" si="13"/>
        <v>MTOIS</v>
      </c>
      <c r="I65" s="98" t="str">
        <f t="shared" si="14"/>
        <v>--</v>
      </c>
      <c r="J65" s="144" t="str">
        <f>IFERROR(_xll.qlRateHelperQuoteName(I65,Trigger),"--")</f>
        <v>--</v>
      </c>
      <c r="K65" s="102" t="str">
        <f>IFERROR(_xll.qlRateHelperQuoteValue($I65,Trigger),"--")</f>
        <v>--</v>
      </c>
      <c r="L65" s="101" t="b">
        <v>0</v>
      </c>
      <c r="M65" s="98">
        <v>50</v>
      </c>
      <c r="N65" s="98">
        <v>1</v>
      </c>
      <c r="O65" s="103" t="str">
        <f>IFERROR(_xll.qlRateHelperEarliestDate(I65,Trigger),"--")</f>
        <v>--</v>
      </c>
      <c r="P65" s="103" t="str">
        <f>IFERROR(_xll.qlRateHelperPillarDate(I65,Trigger),"--")</f>
        <v>--</v>
      </c>
      <c r="R65" s="4" t="str">
        <f t="shared" si="2"/>
        <v/>
      </c>
      <c r="S65" s="4" t="e">
        <v>#N/A</v>
      </c>
      <c r="T65" s="4" t="str">
        <f>IFERROR(_xll.qlRateHelperQuoteName(S65,Trigger),"")</f>
        <v/>
      </c>
      <c r="U65" s="73" t="str">
        <f>IFERROR(_xll.qlRateHelperRate(S65,Trigger),"")</f>
        <v/>
      </c>
      <c r="V65" s="108" t="str">
        <f>IF(ISERROR(_xll.qlSwapRateHelperSpread($S65)),IF(ISERROR(_xll.qlFuturesRateHelperConvexityAdjustment($S65)),"",_xll.qlFuturesRateHelperConvexityAdjustment($S65)),_xll.qlSwapRateHelperSpread($S65))</f>
        <v/>
      </c>
      <c r="W65" s="5" t="str">
        <f>IFERROR(_xll.qlRateHelperEarliestDate(S65,Trigger),"")</f>
        <v/>
      </c>
      <c r="X65" s="5" t="str">
        <f>IFERROR(_xll.qlRateHelperPillarDate(S65,Trigger),"")</f>
        <v/>
      </c>
      <c r="Y65" s="81" t="e">
        <v>#N/A</v>
      </c>
    </row>
    <row r="66" spans="1:25" ht="11.25" customHeight="1" x14ac:dyDescent="0.2">
      <c r="A66" s="62" t="s">
        <v>156</v>
      </c>
      <c r="B66" s="63" t="s">
        <v>40</v>
      </c>
      <c r="C66" s="64">
        <v>1</v>
      </c>
      <c r="D66" s="65" t="str">
        <f t="shared" si="16"/>
        <v>Aonia</v>
      </c>
      <c r="E66" s="66" t="str">
        <f t="shared" si="15"/>
        <v>AUDMTOIS3W_Quote</v>
      </c>
      <c r="F66" s="67"/>
      <c r="H66" s="10" t="str">
        <f t="shared" si="13"/>
        <v>MTOIS</v>
      </c>
      <c r="I66" s="98" t="str">
        <f t="shared" si="14"/>
        <v>--</v>
      </c>
      <c r="J66" s="144" t="str">
        <f>IFERROR(_xll.qlRateHelperQuoteName(I66,Trigger),"--")</f>
        <v>--</v>
      </c>
      <c r="K66" s="102" t="str">
        <f>IFERROR(_xll.qlRateHelperQuoteValue($I66,Trigger),"--")</f>
        <v>--</v>
      </c>
      <c r="L66" s="101" t="b">
        <v>0</v>
      </c>
      <c r="M66" s="98">
        <v>50</v>
      </c>
      <c r="N66" s="98">
        <v>1</v>
      </c>
      <c r="O66" s="103" t="str">
        <f>IFERROR(_xll.qlRateHelperEarliestDate(I66,Trigger),"--")</f>
        <v>--</v>
      </c>
      <c r="P66" s="103" t="str">
        <f>IFERROR(_xll.qlRateHelperPillarDate(I66,Trigger),"--")</f>
        <v>--</v>
      </c>
      <c r="R66" s="4" t="str">
        <f t="shared" si="2"/>
        <v/>
      </c>
      <c r="S66" s="4" t="e">
        <v>#N/A</v>
      </c>
      <c r="T66" s="4" t="str">
        <f>IFERROR(_xll.qlRateHelperQuoteName(S66,Trigger),"")</f>
        <v/>
      </c>
      <c r="U66" s="73" t="str">
        <f>IFERROR(_xll.qlRateHelperRate(S66,Trigger),"")</f>
        <v/>
      </c>
      <c r="V66" s="108" t="str">
        <f>IF(ISERROR(_xll.qlSwapRateHelperSpread($S66)),IF(ISERROR(_xll.qlFuturesRateHelperConvexityAdjustment($S66)),"",_xll.qlFuturesRateHelperConvexityAdjustment($S66)),_xll.qlSwapRateHelperSpread($S66))</f>
        <v/>
      </c>
      <c r="W66" s="5" t="str">
        <f>IFERROR(_xll.qlRateHelperEarliestDate(S66,Trigger),"")</f>
        <v/>
      </c>
      <c r="X66" s="5" t="str">
        <f>IFERROR(_xll.qlRateHelperPillarDate(S66,Trigger),"")</f>
        <v/>
      </c>
      <c r="Y66" s="81" t="e">
        <v>#N/A</v>
      </c>
    </row>
    <row r="67" spans="1:25" ht="11.25" customHeight="1" x14ac:dyDescent="0.2">
      <c r="A67" s="62" t="s">
        <v>156</v>
      </c>
      <c r="B67" s="63" t="s">
        <v>2</v>
      </c>
      <c r="C67" s="64">
        <v>1</v>
      </c>
      <c r="D67" s="65" t="str">
        <f t="shared" si="16"/>
        <v>Aonia</v>
      </c>
      <c r="E67" s="66" t="str">
        <f t="shared" si="15"/>
        <v>AUDMTOIS1M_Quote</v>
      </c>
      <c r="F67" s="67"/>
      <c r="H67" s="10" t="str">
        <f t="shared" si="13"/>
        <v>MTOIS</v>
      </c>
      <c r="I67" s="98" t="str">
        <f t="shared" si="14"/>
        <v>--</v>
      </c>
      <c r="J67" s="144" t="str">
        <f>IFERROR(_xll.qlRateHelperQuoteName(I67,Trigger),"--")</f>
        <v>--</v>
      </c>
      <c r="K67" s="102" t="str">
        <f>IFERROR(_xll.qlRateHelperQuoteValue($I67,Trigger),"--")</f>
        <v>--</v>
      </c>
      <c r="L67" s="101" t="b">
        <v>0</v>
      </c>
      <c r="M67" s="98">
        <v>50</v>
      </c>
      <c r="N67" s="98">
        <v>1</v>
      </c>
      <c r="O67" s="103" t="str">
        <f>IFERROR(_xll.qlRateHelperEarliestDate(I67,Trigger),"--")</f>
        <v>--</v>
      </c>
      <c r="P67" s="103" t="str">
        <f>IFERROR(_xll.qlRateHelperPillarDate(I67,Trigger),"--")</f>
        <v>--</v>
      </c>
      <c r="R67" s="4" t="str">
        <f t="shared" si="2"/>
        <v/>
      </c>
      <c r="S67" s="4" t="e">
        <v>#N/A</v>
      </c>
      <c r="T67" s="4" t="str">
        <f>IFERROR(_xll.qlRateHelperQuoteName(S67,Trigger),"")</f>
        <v/>
      </c>
      <c r="U67" s="73" t="str">
        <f>IFERROR(_xll.qlRateHelperRate(S67,Trigger),"")</f>
        <v/>
      </c>
      <c r="V67" s="108" t="str">
        <f>IF(ISERROR(_xll.qlSwapRateHelperSpread($S67)),IF(ISERROR(_xll.qlFuturesRateHelperConvexityAdjustment($S67)),"",_xll.qlFuturesRateHelperConvexityAdjustment($S67)),_xll.qlSwapRateHelperSpread($S67))</f>
        <v/>
      </c>
      <c r="W67" s="5" t="str">
        <f>IFERROR(_xll.qlRateHelperEarliestDate(S67,Trigger),"")</f>
        <v/>
      </c>
      <c r="X67" s="5" t="str">
        <f>IFERROR(_xll.qlRateHelperPillarDate(S67,Trigger),"")</f>
        <v/>
      </c>
      <c r="Y67" s="81" t="e">
        <v>#N/A</v>
      </c>
    </row>
    <row r="68" spans="1:25" ht="11.25" customHeight="1" x14ac:dyDescent="0.2">
      <c r="A68" s="62" t="s">
        <v>156</v>
      </c>
      <c r="B68" s="63" t="s">
        <v>41</v>
      </c>
      <c r="C68" s="64">
        <v>1</v>
      </c>
      <c r="D68" s="65" t="str">
        <f t="shared" si="16"/>
        <v>Aonia</v>
      </c>
      <c r="E68" s="66" t="str">
        <f t="shared" si="15"/>
        <v>AUDMTOIS2M_Quote</v>
      </c>
      <c r="F68" s="67"/>
      <c r="H68" s="10" t="str">
        <f t="shared" si="13"/>
        <v>MTOIS</v>
      </c>
      <c r="I68" s="98" t="str">
        <f t="shared" si="14"/>
        <v>--</v>
      </c>
      <c r="J68" s="144" t="str">
        <f>IFERROR(_xll.qlRateHelperQuoteName(I68,Trigger),"--")</f>
        <v>--</v>
      </c>
      <c r="K68" s="102" t="str">
        <f>IFERROR(_xll.qlRateHelperQuoteValue($I68,Trigger),"--")</f>
        <v>--</v>
      </c>
      <c r="L68" s="101" t="b">
        <v>0</v>
      </c>
      <c r="M68" s="98">
        <v>50</v>
      </c>
      <c r="N68" s="98">
        <v>1</v>
      </c>
      <c r="O68" s="103" t="str">
        <f>IFERROR(_xll.qlRateHelperEarliestDate(I68,Trigger),"--")</f>
        <v>--</v>
      </c>
      <c r="P68" s="103" t="str">
        <f>IFERROR(_xll.qlRateHelperPillarDate(I68,Trigger),"--")</f>
        <v>--</v>
      </c>
      <c r="R68" s="4" t="str">
        <f t="shared" ref="R68:R113" si="17">IFERROR(INDEX($H$3:$H$113,MATCH(T68,$J$3:$J$113,0),1),"")</f>
        <v/>
      </c>
      <c r="S68" s="4" t="e">
        <v>#N/A</v>
      </c>
      <c r="T68" s="4" t="str">
        <f>IFERROR(_xll.qlRateHelperQuoteName(S68,Trigger),"")</f>
        <v/>
      </c>
      <c r="U68" s="73" t="str">
        <f>IFERROR(_xll.qlRateHelperRate(S68,Trigger),"")</f>
        <v/>
      </c>
      <c r="V68" s="108" t="str">
        <f>IF(ISERROR(_xll.qlSwapRateHelperSpread($S68)),IF(ISERROR(_xll.qlFuturesRateHelperConvexityAdjustment($S68)),"",_xll.qlFuturesRateHelperConvexityAdjustment($S68)),_xll.qlSwapRateHelperSpread($S68))</f>
        <v/>
      </c>
      <c r="W68" s="5" t="str">
        <f>IFERROR(_xll.qlRateHelperEarliestDate(S68,Trigger),"")</f>
        <v/>
      </c>
      <c r="X68" s="5" t="str">
        <f>IFERROR(_xll.qlRateHelperPillarDate(S68,Trigger),"")</f>
        <v/>
      </c>
      <c r="Y68" s="81" t="e">
        <v>#N/A</v>
      </c>
    </row>
    <row r="69" spans="1:25" ht="11.25" customHeight="1" x14ac:dyDescent="0.2">
      <c r="A69" s="62" t="s">
        <v>156</v>
      </c>
      <c r="B69" s="63" t="s">
        <v>0</v>
      </c>
      <c r="C69" s="64">
        <v>1</v>
      </c>
      <c r="D69" s="65" t="str">
        <f t="shared" si="16"/>
        <v>Aonia</v>
      </c>
      <c r="E69" s="66" t="str">
        <f t="shared" si="15"/>
        <v>AUDMTOIS3M_Quote</v>
      </c>
      <c r="F69" s="67"/>
      <c r="H69" s="10" t="str">
        <f t="shared" si="13"/>
        <v>MTOIS</v>
      </c>
      <c r="I69" s="98" t="str">
        <f t="shared" si="14"/>
        <v>--</v>
      </c>
      <c r="J69" s="144" t="str">
        <f>IFERROR(_xll.qlRateHelperQuoteName(I69,Trigger),"--")</f>
        <v>--</v>
      </c>
      <c r="K69" s="102" t="str">
        <f>IFERROR(_xll.qlRateHelperQuoteValue($I69,Trigger),"--")</f>
        <v>--</v>
      </c>
      <c r="L69" s="101" t="b">
        <v>0</v>
      </c>
      <c r="M69" s="98">
        <v>50</v>
      </c>
      <c r="N69" s="98">
        <v>1</v>
      </c>
      <c r="O69" s="103" t="str">
        <f>IFERROR(_xll.qlRateHelperEarliestDate(I69,Trigger),"--")</f>
        <v>--</v>
      </c>
      <c r="P69" s="103" t="str">
        <f>IFERROR(_xll.qlRateHelperPillarDate(I69,Trigger),"--")</f>
        <v>--</v>
      </c>
      <c r="R69" s="4" t="str">
        <f t="shared" si="17"/>
        <v/>
      </c>
      <c r="S69" s="4" t="e">
        <v>#N/A</v>
      </c>
      <c r="T69" s="4" t="str">
        <f>IFERROR(_xll.qlRateHelperQuoteName(S69,Trigger),"")</f>
        <v/>
      </c>
      <c r="U69" s="73" t="str">
        <f>IFERROR(_xll.qlRateHelperRate(S69,Trigger),"")</f>
        <v/>
      </c>
      <c r="V69" s="108" t="str">
        <f>IF(ISERROR(_xll.qlSwapRateHelperSpread($S69)),IF(ISERROR(_xll.qlFuturesRateHelperConvexityAdjustment($S69)),"",_xll.qlFuturesRateHelperConvexityAdjustment($S69)),_xll.qlSwapRateHelperSpread($S69))</f>
        <v/>
      </c>
      <c r="W69" s="5" t="str">
        <f>IFERROR(_xll.qlRateHelperEarliestDate(S69,Trigger),"")</f>
        <v/>
      </c>
      <c r="X69" s="5" t="str">
        <f>IFERROR(_xll.qlRateHelperPillarDate(S69,Trigger),"")</f>
        <v/>
      </c>
      <c r="Y69" s="81" t="e">
        <v>#N/A</v>
      </c>
    </row>
    <row r="70" spans="1:25" ht="11.25" customHeight="1" x14ac:dyDescent="0.2">
      <c r="A70" s="62" t="s">
        <v>156</v>
      </c>
      <c r="B70" s="63" t="s">
        <v>42</v>
      </c>
      <c r="C70" s="64">
        <v>1</v>
      </c>
      <c r="D70" s="65" t="str">
        <f t="shared" si="16"/>
        <v>Aonia</v>
      </c>
      <c r="E70" s="66" t="str">
        <f t="shared" si="15"/>
        <v>AUDMTOIS4M_Quote</v>
      </c>
      <c r="F70" s="67"/>
      <c r="H70" s="10" t="str">
        <f t="shared" si="13"/>
        <v>MTOIS</v>
      </c>
      <c r="I70" s="98" t="str">
        <f t="shared" si="14"/>
        <v>--</v>
      </c>
      <c r="J70" s="144" t="str">
        <f>IFERROR(_xll.qlRateHelperQuoteName(I70,Trigger),"--")</f>
        <v>--</v>
      </c>
      <c r="K70" s="102" t="str">
        <f>IFERROR(_xll.qlRateHelperQuoteValue($I70,Trigger),"--")</f>
        <v>--</v>
      </c>
      <c r="L70" s="101" t="b">
        <v>0</v>
      </c>
      <c r="M70" s="98">
        <v>50</v>
      </c>
      <c r="N70" s="98">
        <v>1</v>
      </c>
      <c r="O70" s="103" t="str">
        <f>IFERROR(_xll.qlRateHelperEarliestDate(I70,Trigger),"--")</f>
        <v>--</v>
      </c>
      <c r="P70" s="103" t="str">
        <f>IFERROR(_xll.qlRateHelperPillarDate(I70,Trigger),"--")</f>
        <v>--</v>
      </c>
      <c r="R70" s="4" t="str">
        <f t="shared" si="17"/>
        <v/>
      </c>
      <c r="S70" s="4" t="e">
        <v>#N/A</v>
      </c>
      <c r="T70" s="4" t="str">
        <f>IFERROR(_xll.qlRateHelperQuoteName(S70,Trigger),"")</f>
        <v/>
      </c>
      <c r="U70" s="73" t="str">
        <f>IFERROR(_xll.qlRateHelperRate(S70,Trigger),"")</f>
        <v/>
      </c>
      <c r="V70" s="108" t="str">
        <f>IF(ISERROR(_xll.qlSwapRateHelperSpread($S70)),IF(ISERROR(_xll.qlFuturesRateHelperConvexityAdjustment($S70)),"",_xll.qlFuturesRateHelperConvexityAdjustment($S70)),_xll.qlSwapRateHelperSpread($S70))</f>
        <v/>
      </c>
      <c r="W70" s="5" t="str">
        <f>IFERROR(_xll.qlRateHelperEarliestDate(S70,Trigger),"")</f>
        <v/>
      </c>
      <c r="X70" s="5" t="str">
        <f>IFERROR(_xll.qlRateHelperPillarDate(S70,Trigger),"")</f>
        <v/>
      </c>
      <c r="Y70" s="81" t="e">
        <v>#N/A</v>
      </c>
    </row>
    <row r="71" spans="1:25" ht="11.25" customHeight="1" x14ac:dyDescent="0.2">
      <c r="A71" s="62" t="s">
        <v>156</v>
      </c>
      <c r="B71" s="63" t="s">
        <v>43</v>
      </c>
      <c r="C71" s="64">
        <v>1</v>
      </c>
      <c r="D71" s="65" t="str">
        <f t="shared" si="16"/>
        <v>Aonia</v>
      </c>
      <c r="E71" s="66" t="str">
        <f t="shared" si="15"/>
        <v>AUDMTOIS5M_Quote</v>
      </c>
      <c r="F71" s="67"/>
      <c r="H71" s="10" t="str">
        <f t="shared" si="13"/>
        <v>MTOIS</v>
      </c>
      <c r="I71" s="98" t="str">
        <f t="shared" si="14"/>
        <v>--</v>
      </c>
      <c r="J71" s="144" t="str">
        <f>IFERROR(_xll.qlRateHelperQuoteName(I71,Trigger),"--")</f>
        <v>--</v>
      </c>
      <c r="K71" s="102" t="str">
        <f>IFERROR(_xll.qlRateHelperQuoteValue($I71,Trigger),"--")</f>
        <v>--</v>
      </c>
      <c r="L71" s="101" t="b">
        <v>0</v>
      </c>
      <c r="M71" s="98">
        <v>50</v>
      </c>
      <c r="N71" s="98">
        <v>1</v>
      </c>
      <c r="O71" s="103" t="str">
        <f>IFERROR(_xll.qlRateHelperEarliestDate(I71,Trigger),"--")</f>
        <v>--</v>
      </c>
      <c r="P71" s="103" t="str">
        <f>IFERROR(_xll.qlRateHelperPillarDate(I71,Trigger),"--")</f>
        <v>--</v>
      </c>
      <c r="R71" s="4" t="str">
        <f t="shared" si="17"/>
        <v/>
      </c>
      <c r="S71" s="4" t="e">
        <v>#N/A</v>
      </c>
      <c r="T71" s="4" t="str">
        <f>IFERROR(_xll.qlRateHelperQuoteName(S71,Trigger),"")</f>
        <v/>
      </c>
      <c r="U71" s="73" t="str">
        <f>IFERROR(_xll.qlRateHelperRate(S71,Trigger),"")</f>
        <v/>
      </c>
      <c r="V71" s="108" t="str">
        <f>IF(ISERROR(_xll.qlSwapRateHelperSpread($S71)),IF(ISERROR(_xll.qlFuturesRateHelperConvexityAdjustment($S71)),"",_xll.qlFuturesRateHelperConvexityAdjustment($S71)),_xll.qlSwapRateHelperSpread($S71))</f>
        <v/>
      </c>
      <c r="W71" s="5" t="str">
        <f>IFERROR(_xll.qlRateHelperEarliestDate(S71,Trigger),"")</f>
        <v/>
      </c>
      <c r="X71" s="5" t="str">
        <f>IFERROR(_xll.qlRateHelperPillarDate(S71,Trigger),"")</f>
        <v/>
      </c>
      <c r="Y71" s="81" t="e">
        <v>#N/A</v>
      </c>
    </row>
    <row r="72" spans="1:25" ht="11.25" customHeight="1" x14ac:dyDescent="0.2">
      <c r="A72" s="62" t="s">
        <v>156</v>
      </c>
      <c r="B72" s="63" t="s">
        <v>3</v>
      </c>
      <c r="C72" s="64">
        <v>1</v>
      </c>
      <c r="D72" s="65" t="str">
        <f t="shared" si="16"/>
        <v>Aonia</v>
      </c>
      <c r="E72" s="66" t="str">
        <f t="shared" si="15"/>
        <v>AUDMTOIS6M_Quote</v>
      </c>
      <c r="F72" s="67"/>
      <c r="H72" s="10" t="str">
        <f t="shared" si="13"/>
        <v>MTOIS</v>
      </c>
      <c r="I72" s="98" t="str">
        <f t="shared" si="14"/>
        <v>--</v>
      </c>
      <c r="J72" s="144" t="str">
        <f>IFERROR(_xll.qlRateHelperQuoteName(I72,Trigger),"--")</f>
        <v>--</v>
      </c>
      <c r="K72" s="102" t="str">
        <f>IFERROR(_xll.qlRateHelperQuoteValue($I72,Trigger),"--")</f>
        <v>--</v>
      </c>
      <c r="L72" s="101" t="b">
        <v>0</v>
      </c>
      <c r="M72" s="98">
        <v>50</v>
      </c>
      <c r="N72" s="98">
        <v>1</v>
      </c>
      <c r="O72" s="103" t="str">
        <f>IFERROR(_xll.qlRateHelperEarliestDate(I72,Trigger),"--")</f>
        <v>--</v>
      </c>
      <c r="P72" s="103" t="str">
        <f>IFERROR(_xll.qlRateHelperPillarDate(I72,Trigger),"--")</f>
        <v>--</v>
      </c>
      <c r="R72" s="4" t="str">
        <f t="shared" si="17"/>
        <v/>
      </c>
      <c r="S72" s="4" t="e">
        <v>#N/A</v>
      </c>
      <c r="T72" s="4" t="str">
        <f>IFERROR(_xll.qlRateHelperQuoteName(S72,Trigger),"")</f>
        <v/>
      </c>
      <c r="U72" s="73" t="str">
        <f>IFERROR(_xll.qlRateHelperRate(S72,Trigger),"")</f>
        <v/>
      </c>
      <c r="V72" s="108" t="str">
        <f>IF(ISERROR(_xll.qlSwapRateHelperSpread($S72)),IF(ISERROR(_xll.qlFuturesRateHelperConvexityAdjustment($S72)),"",_xll.qlFuturesRateHelperConvexityAdjustment($S72)),_xll.qlSwapRateHelperSpread($S72))</f>
        <v/>
      </c>
      <c r="W72" s="5" t="str">
        <f>IFERROR(_xll.qlRateHelperEarliestDate(S72,Trigger),"")</f>
        <v/>
      </c>
      <c r="X72" s="5" t="str">
        <f>IFERROR(_xll.qlRateHelperPillarDate(S72,Trigger),"")</f>
        <v/>
      </c>
      <c r="Y72" s="81" t="e">
        <v>#N/A</v>
      </c>
    </row>
    <row r="73" spans="1:25" ht="11.25" customHeight="1" x14ac:dyDescent="0.2">
      <c r="A73" s="62" t="s">
        <v>156</v>
      </c>
      <c r="B73" s="63" t="s">
        <v>44</v>
      </c>
      <c r="C73" s="64">
        <v>1</v>
      </c>
      <c r="D73" s="65" t="str">
        <f t="shared" si="16"/>
        <v>Aonia</v>
      </c>
      <c r="E73" s="66" t="str">
        <f t="shared" si="15"/>
        <v>AUDMTOIS7M_Quote</v>
      </c>
      <c r="F73" s="67"/>
      <c r="H73" s="10" t="str">
        <f t="shared" si="13"/>
        <v>MTOIS</v>
      </c>
      <c r="I73" s="98" t="str">
        <f t="shared" si="14"/>
        <v>--</v>
      </c>
      <c r="J73" s="144" t="str">
        <f>IFERROR(_xll.qlRateHelperQuoteName(I73,Trigger),"--")</f>
        <v>--</v>
      </c>
      <c r="K73" s="102" t="str">
        <f>IFERROR(_xll.qlRateHelperQuoteValue($I73,Trigger),"--")</f>
        <v>--</v>
      </c>
      <c r="L73" s="101" t="b">
        <v>0</v>
      </c>
      <c r="M73" s="98">
        <v>50</v>
      </c>
      <c r="N73" s="98">
        <v>1</v>
      </c>
      <c r="O73" s="103" t="str">
        <f>IFERROR(_xll.qlRateHelperEarliestDate(I73,Trigger),"--")</f>
        <v>--</v>
      </c>
      <c r="P73" s="103" t="str">
        <f>IFERROR(_xll.qlRateHelperPillarDate(I73,Trigger),"--")</f>
        <v>--</v>
      </c>
      <c r="R73" s="4" t="str">
        <f t="shared" si="17"/>
        <v/>
      </c>
      <c r="S73" s="4" t="e">
        <v>#N/A</v>
      </c>
      <c r="T73" s="4" t="str">
        <f>IFERROR(_xll.qlRateHelperQuoteName(S73,Trigger),"")</f>
        <v/>
      </c>
      <c r="U73" s="73" t="str">
        <f>IFERROR(_xll.qlRateHelperRate(S73,Trigger),"")</f>
        <v/>
      </c>
      <c r="V73" s="108" t="str">
        <f>IF(ISERROR(_xll.qlSwapRateHelperSpread($S73)),IF(ISERROR(_xll.qlFuturesRateHelperConvexityAdjustment($S73)),"",_xll.qlFuturesRateHelperConvexityAdjustment($S73)),_xll.qlSwapRateHelperSpread($S73))</f>
        <v/>
      </c>
      <c r="W73" s="5" t="str">
        <f>IFERROR(_xll.qlRateHelperEarliestDate(S73,Trigger),"")</f>
        <v/>
      </c>
      <c r="X73" s="5" t="str">
        <f>IFERROR(_xll.qlRateHelperPillarDate(S73,Trigger),"")</f>
        <v/>
      </c>
      <c r="Y73" s="81" t="e">
        <v>#N/A</v>
      </c>
    </row>
    <row r="74" spans="1:25" ht="11.25" customHeight="1" x14ac:dyDescent="0.2">
      <c r="A74" s="62" t="s">
        <v>156</v>
      </c>
      <c r="B74" s="63" t="s">
        <v>45</v>
      </c>
      <c r="C74" s="64">
        <v>1</v>
      </c>
      <c r="D74" s="65" t="str">
        <f t="shared" si="16"/>
        <v>Aonia</v>
      </c>
      <c r="E74" s="66" t="str">
        <f t="shared" si="15"/>
        <v>AUDMTOIS8M_Quote</v>
      </c>
      <c r="F74" s="67"/>
      <c r="H74" s="10" t="str">
        <f t="shared" si="13"/>
        <v>MTOIS</v>
      </c>
      <c r="I74" s="98" t="str">
        <f t="shared" si="14"/>
        <v>obj_0021e#0001</v>
      </c>
      <c r="J74" s="144" t="str">
        <f>IFERROR(_xll.qlRateHelperQuoteName(I74,Trigger),"--")</f>
        <v>AUDMTOIS1Y_Quote</v>
      </c>
      <c r="K74" s="102">
        <f>IFERROR(_xll.qlRateHelperQuoteValue($I74,Trigger),"--")</f>
        <v>1.9030000000000002E-2</v>
      </c>
      <c r="L74" s="101" t="b">
        <v>1</v>
      </c>
      <c r="M74" s="98">
        <v>50</v>
      </c>
      <c r="N74" s="98">
        <v>1</v>
      </c>
      <c r="O74" s="103">
        <f>IFERROR(_xll.qlRateHelperEarliestDate(I74,Trigger),"--")</f>
        <v>42356</v>
      </c>
      <c r="P74" s="103">
        <f>IFERROR(_xll.qlRateHelperPillarDate(I74,Trigger),"--")</f>
        <v>42723</v>
      </c>
      <c r="R74" s="4" t="str">
        <f t="shared" si="17"/>
        <v/>
      </c>
      <c r="S74" s="4" t="e">
        <v>#N/A</v>
      </c>
      <c r="T74" s="4" t="str">
        <f>IFERROR(_xll.qlRateHelperQuoteName(S74,Trigger),"")</f>
        <v/>
      </c>
      <c r="U74" s="73" t="str">
        <f>IFERROR(_xll.qlRateHelperRate(S74,Trigger),"")</f>
        <v/>
      </c>
      <c r="V74" s="108" t="str">
        <f>IF(ISERROR(_xll.qlSwapRateHelperSpread($S74)),IF(ISERROR(_xll.qlFuturesRateHelperConvexityAdjustment($S74)),"",_xll.qlFuturesRateHelperConvexityAdjustment($S74)),_xll.qlSwapRateHelperSpread($S74))</f>
        <v/>
      </c>
      <c r="W74" s="5" t="str">
        <f>IFERROR(_xll.qlRateHelperEarliestDate(S74,Trigger),"")</f>
        <v/>
      </c>
      <c r="X74" s="5" t="str">
        <f>IFERROR(_xll.qlRateHelperPillarDate(S74,Trigger),"")</f>
        <v/>
      </c>
      <c r="Y74" s="81" t="e">
        <v>#N/A</v>
      </c>
    </row>
    <row r="75" spans="1:25" ht="11.25" customHeight="1" x14ac:dyDescent="0.2">
      <c r="A75" s="62" t="s">
        <v>156</v>
      </c>
      <c r="B75" s="63" t="s">
        <v>46</v>
      </c>
      <c r="C75" s="64">
        <v>1</v>
      </c>
      <c r="D75" s="65" t="str">
        <f t="shared" si="16"/>
        <v>Aonia</v>
      </c>
      <c r="E75" s="66" t="str">
        <f t="shared" si="15"/>
        <v>AUDMTOIS9M_Quote</v>
      </c>
      <c r="F75" s="67"/>
      <c r="H75" s="10" t="str">
        <f t="shared" si="13"/>
        <v>MTOIS</v>
      </c>
      <c r="I75" s="98" t="str">
        <f t="shared" si="14"/>
        <v>--</v>
      </c>
      <c r="J75" s="144" t="str">
        <f>IFERROR(_xll.qlRateHelperQuoteName(I75,Trigger),"--")</f>
        <v>--</v>
      </c>
      <c r="K75" s="102" t="str">
        <f>IFERROR(_xll.qlRateHelperQuoteValue($I75,Trigger),"--")</f>
        <v>--</v>
      </c>
      <c r="L75" s="101" t="b">
        <v>0</v>
      </c>
      <c r="M75" s="98">
        <v>50</v>
      </c>
      <c r="N75" s="98">
        <v>1</v>
      </c>
      <c r="O75" s="103" t="str">
        <f>IFERROR(_xll.qlRateHelperEarliestDate(I75,Trigger),"--")</f>
        <v>--</v>
      </c>
      <c r="P75" s="103" t="str">
        <f>IFERROR(_xll.qlRateHelperPillarDate(I75,Trigger),"--")</f>
        <v>--</v>
      </c>
      <c r="R75" s="4" t="str">
        <f t="shared" si="17"/>
        <v/>
      </c>
      <c r="S75" s="4" t="e">
        <v>#N/A</v>
      </c>
      <c r="T75" s="4" t="str">
        <f>IFERROR(_xll.qlRateHelperQuoteName(S75,Trigger),"")</f>
        <v/>
      </c>
      <c r="U75" s="73" t="str">
        <f>IFERROR(_xll.qlRateHelperRate(S75,Trigger),"")</f>
        <v/>
      </c>
      <c r="V75" s="108" t="str">
        <f>IF(ISERROR(_xll.qlSwapRateHelperSpread($S75)),IF(ISERROR(_xll.qlFuturesRateHelperConvexityAdjustment($S75)),"",_xll.qlFuturesRateHelperConvexityAdjustment($S75)),_xll.qlSwapRateHelperSpread($S75))</f>
        <v/>
      </c>
      <c r="W75" s="5" t="str">
        <f>IFERROR(_xll.qlRateHelperEarliestDate(S75,Trigger),"")</f>
        <v/>
      </c>
      <c r="X75" s="5" t="str">
        <f>IFERROR(_xll.qlRateHelperPillarDate(S75,Trigger),"")</f>
        <v/>
      </c>
      <c r="Y75" s="81" t="e">
        <v>#N/A</v>
      </c>
    </row>
    <row r="76" spans="1:25" ht="11.25" customHeight="1" x14ac:dyDescent="0.2">
      <c r="A76" s="62" t="s">
        <v>156</v>
      </c>
      <c r="B76" s="63" t="s">
        <v>47</v>
      </c>
      <c r="C76" s="64">
        <v>1</v>
      </c>
      <c r="D76" s="65" t="str">
        <f t="shared" si="16"/>
        <v>Aonia</v>
      </c>
      <c r="E76" s="66" t="str">
        <f t="shared" si="15"/>
        <v>AUDMTOIS10M_Quote</v>
      </c>
      <c r="F76" s="67"/>
      <c r="H76" s="10" t="str">
        <f t="shared" si="13"/>
        <v>MTOIS</v>
      </c>
      <c r="I76" s="98" t="str">
        <f t="shared" si="14"/>
        <v>--</v>
      </c>
      <c r="J76" s="144" t="str">
        <f>IFERROR(_xll.qlRateHelperQuoteName(I76,Trigger),"--")</f>
        <v>--</v>
      </c>
      <c r="K76" s="102" t="str">
        <f>IFERROR(_xll.qlRateHelperQuoteValue($I76,Trigger),"--")</f>
        <v>--</v>
      </c>
      <c r="L76" s="101" t="b">
        <v>0</v>
      </c>
      <c r="M76" s="98">
        <v>50</v>
      </c>
      <c r="N76" s="98">
        <v>1</v>
      </c>
      <c r="O76" s="103" t="str">
        <f>IFERROR(_xll.qlRateHelperEarliestDate(I76,Trigger),"--")</f>
        <v>--</v>
      </c>
      <c r="P76" s="103" t="str">
        <f>IFERROR(_xll.qlRateHelperPillarDate(I76,Trigger),"--")</f>
        <v>--</v>
      </c>
      <c r="R76" s="4" t="str">
        <f t="shared" si="17"/>
        <v/>
      </c>
      <c r="S76" s="4" t="e">
        <v>#N/A</v>
      </c>
      <c r="T76" s="4" t="str">
        <f>IFERROR(_xll.qlRateHelperQuoteName(S76,Trigger),"")</f>
        <v/>
      </c>
      <c r="U76" s="73" t="str">
        <f>IFERROR(_xll.qlRateHelperRate(S76,Trigger),"")</f>
        <v/>
      </c>
      <c r="V76" s="108" t="str">
        <f>IF(ISERROR(_xll.qlSwapRateHelperSpread($S76)),IF(ISERROR(_xll.qlFuturesRateHelperConvexityAdjustment($S76)),"",_xll.qlFuturesRateHelperConvexityAdjustment($S76)),_xll.qlSwapRateHelperSpread($S76))</f>
        <v/>
      </c>
      <c r="W76" s="5" t="str">
        <f>IFERROR(_xll.qlRateHelperEarliestDate(S76,Trigger),"")</f>
        <v/>
      </c>
      <c r="X76" s="5" t="str">
        <f>IFERROR(_xll.qlRateHelperPillarDate(S76,Trigger),"")</f>
        <v/>
      </c>
      <c r="Y76" s="81" t="e">
        <v>#N/A</v>
      </c>
    </row>
    <row r="77" spans="1:25" ht="11.25" customHeight="1" x14ac:dyDescent="0.2">
      <c r="A77" s="62" t="s">
        <v>156</v>
      </c>
      <c r="B77" s="63" t="s">
        <v>48</v>
      </c>
      <c r="C77" s="64">
        <v>1</v>
      </c>
      <c r="D77" s="65" t="str">
        <f t="shared" si="16"/>
        <v>Aonia</v>
      </c>
      <c r="E77" s="66" t="str">
        <f t="shared" si="15"/>
        <v>AUDMTOIS11M_Quote</v>
      </c>
      <c r="F77" s="67"/>
      <c r="H77" s="10" t="str">
        <f t="shared" si="13"/>
        <v>MTOIS</v>
      </c>
      <c r="I77" s="98" t="str">
        <f t="shared" si="14"/>
        <v>--</v>
      </c>
      <c r="J77" s="144" t="str">
        <f>IFERROR(_xll.qlRateHelperQuoteName(I77,Trigger),"--")</f>
        <v>--</v>
      </c>
      <c r="K77" s="102" t="str">
        <f>IFERROR(_xll.qlRateHelperQuoteValue($I77,Trigger),"--")</f>
        <v>--</v>
      </c>
      <c r="L77" s="101" t="b">
        <v>0</v>
      </c>
      <c r="M77" s="98">
        <v>50</v>
      </c>
      <c r="N77" s="98">
        <v>1</v>
      </c>
      <c r="O77" s="103" t="str">
        <f>IFERROR(_xll.qlRateHelperEarliestDate(I77,Trigger),"--")</f>
        <v>--</v>
      </c>
      <c r="P77" s="103" t="str">
        <f>IFERROR(_xll.qlRateHelperPillarDate(I77,Trigger),"--")</f>
        <v>--</v>
      </c>
      <c r="R77" s="4" t="str">
        <f t="shared" si="17"/>
        <v/>
      </c>
      <c r="S77" s="4" t="e">
        <v>#N/A</v>
      </c>
      <c r="T77" s="4" t="str">
        <f>IFERROR(_xll.qlRateHelperQuoteName(S77,Trigger),"")</f>
        <v/>
      </c>
      <c r="U77" s="73" t="str">
        <f>IFERROR(_xll.qlRateHelperRate(S77,Trigger),"")</f>
        <v/>
      </c>
      <c r="V77" s="108" t="str">
        <f>IF(ISERROR(_xll.qlSwapRateHelperSpread($S77)),IF(ISERROR(_xll.qlFuturesRateHelperConvexityAdjustment($S77)),"",_xll.qlFuturesRateHelperConvexityAdjustment($S77)),_xll.qlSwapRateHelperSpread($S77))</f>
        <v/>
      </c>
      <c r="W77" s="5" t="str">
        <f>IFERROR(_xll.qlRateHelperEarliestDate(S77,Trigger),"")</f>
        <v/>
      </c>
      <c r="X77" s="5" t="str">
        <f>IFERROR(_xll.qlRateHelperPillarDate(S77,Trigger),"")</f>
        <v/>
      </c>
      <c r="Y77" s="81" t="e">
        <v>#N/A</v>
      </c>
    </row>
    <row r="78" spans="1:25" ht="11.25" customHeight="1" x14ac:dyDescent="0.2">
      <c r="A78" s="62" t="s">
        <v>156</v>
      </c>
      <c r="B78" s="63" t="s">
        <v>27</v>
      </c>
      <c r="C78" s="64">
        <v>1</v>
      </c>
      <c r="D78" s="65" t="str">
        <f t="shared" si="16"/>
        <v>Aonia</v>
      </c>
      <c r="E78" s="66" t="str">
        <f t="shared" si="15"/>
        <v>AUDMTOIS1Y_Quote</v>
      </c>
      <c r="F78" s="67" t="str">
        <f>_xll.qlOISRateHelper(,C78,B78,E78,$D78,,Permanent,Trigger,ObjectOverwrite)</f>
        <v>obj_0021e#0001</v>
      </c>
      <c r="H78" s="10" t="str">
        <f t="shared" si="13"/>
        <v>MTOIS</v>
      </c>
      <c r="I78" s="98" t="str">
        <f t="shared" si="14"/>
        <v>--</v>
      </c>
      <c r="J78" s="144" t="str">
        <f>IFERROR(_xll.qlRateHelperQuoteName(I78,Trigger),"--")</f>
        <v>--</v>
      </c>
      <c r="K78" s="102" t="str">
        <f>IFERROR(_xll.qlRateHelperQuoteValue($I78,Trigger),"--")</f>
        <v>--</v>
      </c>
      <c r="L78" s="101" t="b">
        <v>0</v>
      </c>
      <c r="M78" s="98">
        <v>50</v>
      </c>
      <c r="N78" s="98">
        <v>1</v>
      </c>
      <c r="O78" s="103" t="str">
        <f>IFERROR(_xll.qlRateHelperEarliestDate(I78,Trigger),"--")</f>
        <v>--</v>
      </c>
      <c r="P78" s="103" t="str">
        <f>IFERROR(_xll.qlRateHelperPillarDate(I78,Trigger),"--")</f>
        <v>--</v>
      </c>
      <c r="R78" s="4" t="str">
        <f t="shared" si="17"/>
        <v/>
      </c>
      <c r="S78" s="4" t="e">
        <v>#N/A</v>
      </c>
      <c r="T78" s="4" t="str">
        <f>IFERROR(_xll.qlRateHelperQuoteName(S78,Trigger),"")</f>
        <v/>
      </c>
      <c r="U78" s="73" t="str">
        <f>IFERROR(_xll.qlRateHelperRate(S78,Trigger),"")</f>
        <v/>
      </c>
      <c r="V78" s="108" t="str">
        <f>IF(ISERROR(_xll.qlSwapRateHelperSpread($S78)),IF(ISERROR(_xll.qlFuturesRateHelperConvexityAdjustment($S78)),"",_xll.qlFuturesRateHelperConvexityAdjustment($S78)),_xll.qlSwapRateHelperSpread($S78))</f>
        <v/>
      </c>
      <c r="W78" s="5" t="str">
        <f>IFERROR(_xll.qlRateHelperEarliestDate(S78,Trigger),"")</f>
        <v/>
      </c>
      <c r="X78" s="5" t="str">
        <f>IFERROR(_xll.qlRateHelperPillarDate(S78,Trigger),"")</f>
        <v/>
      </c>
      <c r="Y78" s="81" t="e">
        <v>#N/A</v>
      </c>
    </row>
    <row r="79" spans="1:25" ht="11.25" customHeight="1" x14ac:dyDescent="0.2">
      <c r="A79" s="62" t="s">
        <v>156</v>
      </c>
      <c r="B79" s="63" t="s">
        <v>138</v>
      </c>
      <c r="C79" s="64">
        <v>1</v>
      </c>
      <c r="D79" s="65" t="str">
        <f t="shared" si="16"/>
        <v>Aonia</v>
      </c>
      <c r="E79" s="66" t="str">
        <f t="shared" si="15"/>
        <v>AUDMTOIS13M_Quote</v>
      </c>
      <c r="F79" s="67"/>
      <c r="H79" s="10" t="str">
        <f t="shared" si="13"/>
        <v>MTOIS</v>
      </c>
      <c r="I79" s="98" t="str">
        <f t="shared" si="14"/>
        <v>--</v>
      </c>
      <c r="J79" s="144" t="str">
        <f>IFERROR(_xll.qlRateHelperQuoteName(I79,Trigger),"--")</f>
        <v>--</v>
      </c>
      <c r="K79" s="102" t="str">
        <f>IFERROR(_xll.qlRateHelperQuoteValue($I79,Trigger),"--")</f>
        <v>--</v>
      </c>
      <c r="L79" s="101" t="b">
        <v>0</v>
      </c>
      <c r="M79" s="98">
        <v>50</v>
      </c>
      <c r="N79" s="98">
        <v>1</v>
      </c>
      <c r="O79" s="103" t="str">
        <f>IFERROR(_xll.qlRateHelperEarliestDate(I79,Trigger),"--")</f>
        <v>--</v>
      </c>
      <c r="P79" s="103" t="str">
        <f>IFERROR(_xll.qlRateHelperPillarDate(I79,Trigger),"--")</f>
        <v>--</v>
      </c>
      <c r="R79" s="4" t="str">
        <f t="shared" si="17"/>
        <v/>
      </c>
      <c r="S79" s="4" t="e">
        <v>#N/A</v>
      </c>
      <c r="T79" s="4" t="str">
        <f>IFERROR(_xll.qlRateHelperQuoteName(S79,Trigger),"")</f>
        <v/>
      </c>
      <c r="U79" s="73" t="str">
        <f>IFERROR(_xll.qlRateHelperRate(S79,Trigger),"")</f>
        <v/>
      </c>
      <c r="V79" s="108" t="str">
        <f>IF(ISERROR(_xll.qlSwapRateHelperSpread($S79)),IF(ISERROR(_xll.qlFuturesRateHelperConvexityAdjustment($S79)),"",_xll.qlFuturesRateHelperConvexityAdjustment($S79)),_xll.qlSwapRateHelperSpread($S79))</f>
        <v/>
      </c>
      <c r="W79" s="5" t="str">
        <f>IFERROR(_xll.qlRateHelperEarliestDate(S79,Trigger),"")</f>
        <v/>
      </c>
      <c r="X79" s="5" t="str">
        <f>IFERROR(_xll.qlRateHelperPillarDate(S79,Trigger),"")</f>
        <v/>
      </c>
      <c r="Y79" s="81" t="e">
        <v>#N/A</v>
      </c>
    </row>
    <row r="80" spans="1:25" ht="11.25" customHeight="1" x14ac:dyDescent="0.2">
      <c r="A80" s="62" t="s">
        <v>156</v>
      </c>
      <c r="B80" s="63" t="s">
        <v>139</v>
      </c>
      <c r="C80" s="64">
        <v>1</v>
      </c>
      <c r="D80" s="65" t="str">
        <f t="shared" si="16"/>
        <v>Aonia</v>
      </c>
      <c r="E80" s="66" t="str">
        <f t="shared" si="15"/>
        <v>AUDMTOIS14M_Quote</v>
      </c>
      <c r="F80" s="67"/>
      <c r="H80" s="10" t="str">
        <f t="shared" si="13"/>
        <v>MTOIS</v>
      </c>
      <c r="I80" s="98" t="str">
        <f t="shared" si="14"/>
        <v>obj_0022b#0001</v>
      </c>
      <c r="J80" s="144" t="str">
        <f>IFERROR(_xll.qlRateHelperQuoteName(I80,Trigger),"--")</f>
        <v>AUDMTOIS18M_Quote</v>
      </c>
      <c r="K80" s="102">
        <f>IFERROR(_xll.qlRateHelperQuoteValue($I80,Trigger),"--")</f>
        <v>1.8849999999999999E-2</v>
      </c>
      <c r="L80" s="101" t="b">
        <v>1</v>
      </c>
      <c r="M80" s="98">
        <v>50</v>
      </c>
      <c r="N80" s="98">
        <v>1</v>
      </c>
      <c r="O80" s="103">
        <f>IFERROR(_xll.qlRateHelperEarliestDate(I80,Trigger),"--")</f>
        <v>42356</v>
      </c>
      <c r="P80" s="103">
        <f>IFERROR(_xll.qlRateHelperPillarDate(I80,Trigger),"--")</f>
        <v>42905</v>
      </c>
      <c r="R80" s="4" t="str">
        <f t="shared" si="17"/>
        <v/>
      </c>
      <c r="S80" s="4" t="e">
        <v>#N/A</v>
      </c>
      <c r="T80" s="4" t="str">
        <f>IFERROR(_xll.qlRateHelperQuoteName(S80,Trigger),"")</f>
        <v/>
      </c>
      <c r="U80" s="73" t="str">
        <f>IFERROR(_xll.qlRateHelperRate(S80,Trigger),"")</f>
        <v/>
      </c>
      <c r="V80" s="108" t="str">
        <f>IF(ISERROR(_xll.qlSwapRateHelperSpread($S80)),IF(ISERROR(_xll.qlFuturesRateHelperConvexityAdjustment($S80)),"",_xll.qlFuturesRateHelperConvexityAdjustment($S80)),_xll.qlSwapRateHelperSpread($S80))</f>
        <v/>
      </c>
      <c r="W80" s="5" t="str">
        <f>IFERROR(_xll.qlRateHelperEarliestDate(S80,Trigger),"")</f>
        <v/>
      </c>
      <c r="X80" s="5" t="str">
        <f>IFERROR(_xll.qlRateHelperPillarDate(S80,Trigger),"")</f>
        <v/>
      </c>
      <c r="Y80" s="81" t="e">
        <v>#N/A</v>
      </c>
    </row>
    <row r="81" spans="1:25" x14ac:dyDescent="0.2">
      <c r="A81" s="62" t="s">
        <v>156</v>
      </c>
      <c r="B81" s="63" t="s">
        <v>49</v>
      </c>
      <c r="C81" s="64">
        <v>1</v>
      </c>
      <c r="D81" s="65" t="str">
        <f t="shared" si="16"/>
        <v>Aonia</v>
      </c>
      <c r="E81" s="66" t="str">
        <f t="shared" si="15"/>
        <v>AUDMTOIS15M_Quote</v>
      </c>
      <c r="F81" s="67"/>
      <c r="H81" s="10" t="str">
        <f t="shared" si="13"/>
        <v>MTOIS</v>
      </c>
      <c r="I81" s="98" t="str">
        <f t="shared" si="14"/>
        <v>--</v>
      </c>
      <c r="J81" s="144" t="str">
        <f>IFERROR(_xll.qlRateHelperQuoteName(I81,Trigger),"--")</f>
        <v>--</v>
      </c>
      <c r="K81" s="102" t="str">
        <f>IFERROR(_xll.qlRateHelperQuoteValue($I81,Trigger),"--")</f>
        <v>--</v>
      </c>
      <c r="L81" s="101" t="b">
        <v>0</v>
      </c>
      <c r="M81" s="98">
        <v>50</v>
      </c>
      <c r="N81" s="98">
        <v>1</v>
      </c>
      <c r="O81" s="103" t="str">
        <f>IFERROR(_xll.qlRateHelperEarliestDate(I81,Trigger),"--")</f>
        <v>--</v>
      </c>
      <c r="P81" s="103" t="str">
        <f>IFERROR(_xll.qlRateHelperPillarDate(I81,Trigger),"--")</f>
        <v>--</v>
      </c>
      <c r="R81" s="4" t="str">
        <f t="shared" si="17"/>
        <v/>
      </c>
      <c r="S81" s="4" t="e">
        <v>#N/A</v>
      </c>
      <c r="T81" s="4" t="str">
        <f>IFERROR(_xll.qlRateHelperQuoteName(S81,Trigger),"")</f>
        <v/>
      </c>
      <c r="U81" s="73" t="str">
        <f>IFERROR(_xll.qlRateHelperRate(S81,Trigger),"")</f>
        <v/>
      </c>
      <c r="V81" s="108" t="str">
        <f>IF(ISERROR(_xll.qlSwapRateHelperSpread($S81)),IF(ISERROR(_xll.qlFuturesRateHelperConvexityAdjustment($S81)),"",_xll.qlFuturesRateHelperConvexityAdjustment($S81)),_xll.qlSwapRateHelperSpread($S81))</f>
        <v/>
      </c>
      <c r="W81" s="5" t="str">
        <f>IFERROR(_xll.qlRateHelperEarliestDate(S81,Trigger),"")</f>
        <v/>
      </c>
      <c r="X81" s="5" t="str">
        <f>IFERROR(_xll.qlRateHelperPillarDate(S81,Trigger),"")</f>
        <v/>
      </c>
      <c r="Y81" s="81" t="e">
        <v>#N/A</v>
      </c>
    </row>
    <row r="82" spans="1:25" x14ac:dyDescent="0.2">
      <c r="A82" s="62" t="s">
        <v>156</v>
      </c>
      <c r="B82" s="63" t="s">
        <v>140</v>
      </c>
      <c r="C82" s="64">
        <v>1</v>
      </c>
      <c r="D82" s="65" t="str">
        <f t="shared" si="16"/>
        <v>Aonia</v>
      </c>
      <c r="E82" s="66" t="str">
        <f t="shared" si="15"/>
        <v>AUDMTOIS16M_Quote</v>
      </c>
      <c r="F82" s="67"/>
      <c r="H82" s="10" t="str">
        <f t="shared" si="13"/>
        <v>MTOIS</v>
      </c>
      <c r="I82" s="98" t="str">
        <f t="shared" si="14"/>
        <v>--</v>
      </c>
      <c r="J82" s="144" t="str">
        <f>IFERROR(_xll.qlRateHelperQuoteName(I82,Trigger),"--")</f>
        <v>--</v>
      </c>
      <c r="K82" s="102" t="str">
        <f>IFERROR(_xll.qlRateHelperQuoteValue($I82,Trigger),"--")</f>
        <v>--</v>
      </c>
      <c r="L82" s="101" t="b">
        <v>0</v>
      </c>
      <c r="M82" s="98">
        <v>50</v>
      </c>
      <c r="N82" s="98">
        <v>1</v>
      </c>
      <c r="O82" s="103" t="str">
        <f>IFERROR(_xll.qlRateHelperEarliestDate(I82,Trigger),"--")</f>
        <v>--</v>
      </c>
      <c r="P82" s="103" t="str">
        <f>IFERROR(_xll.qlRateHelperPillarDate(I82,Trigger),"--")</f>
        <v>--</v>
      </c>
      <c r="R82" s="4" t="str">
        <f t="shared" si="17"/>
        <v/>
      </c>
      <c r="S82" s="4" t="e">
        <v>#N/A</v>
      </c>
      <c r="T82" s="4" t="str">
        <f>IFERROR(_xll.qlRateHelperQuoteName(S82,Trigger),"")</f>
        <v/>
      </c>
      <c r="U82" s="73" t="str">
        <f>IFERROR(_xll.qlRateHelperRate(S82,Trigger),"")</f>
        <v/>
      </c>
      <c r="V82" s="108" t="str">
        <f>IF(ISERROR(_xll.qlSwapRateHelperSpread($S82)),IF(ISERROR(_xll.qlFuturesRateHelperConvexityAdjustment($S82)),"",_xll.qlFuturesRateHelperConvexityAdjustment($S82)),_xll.qlSwapRateHelperSpread($S82))</f>
        <v/>
      </c>
      <c r="W82" s="5" t="str">
        <f>IFERROR(_xll.qlRateHelperEarliestDate(S82,Trigger),"")</f>
        <v/>
      </c>
      <c r="X82" s="5" t="str">
        <f>IFERROR(_xll.qlRateHelperPillarDate(S82,Trigger),"")</f>
        <v/>
      </c>
      <c r="Y82" s="81" t="e">
        <v>#N/A</v>
      </c>
    </row>
    <row r="83" spans="1:25" x14ac:dyDescent="0.2">
      <c r="A83" s="62" t="s">
        <v>156</v>
      </c>
      <c r="B83" s="63" t="s">
        <v>141</v>
      </c>
      <c r="C83" s="64">
        <v>1</v>
      </c>
      <c r="D83" s="65" t="str">
        <f t="shared" si="16"/>
        <v>Aonia</v>
      </c>
      <c r="E83" s="66" t="str">
        <f t="shared" si="15"/>
        <v>AUDMTOIS17M_Quote</v>
      </c>
      <c r="F83" s="67"/>
      <c r="H83" s="10" t="str">
        <f t="shared" si="13"/>
        <v>MTOIS</v>
      </c>
      <c r="I83" s="98" t="str">
        <f t="shared" si="14"/>
        <v>--</v>
      </c>
      <c r="J83" s="144" t="str">
        <f>IFERROR(_xll.qlRateHelperQuoteName(I83,Trigger),"--")</f>
        <v>--</v>
      </c>
      <c r="K83" s="102" t="str">
        <f>IFERROR(_xll.qlRateHelperQuoteValue($I83,Trigger),"--")</f>
        <v>--</v>
      </c>
      <c r="L83" s="101" t="b">
        <v>0</v>
      </c>
      <c r="M83" s="98">
        <v>50</v>
      </c>
      <c r="N83" s="98">
        <v>1</v>
      </c>
      <c r="O83" s="103" t="str">
        <f>IFERROR(_xll.qlRateHelperEarliestDate(I83,Trigger),"--")</f>
        <v>--</v>
      </c>
      <c r="P83" s="103" t="str">
        <f>IFERROR(_xll.qlRateHelperPillarDate(I83,Trigger),"--")</f>
        <v>--</v>
      </c>
      <c r="R83" s="4" t="str">
        <f t="shared" si="17"/>
        <v/>
      </c>
      <c r="S83" s="4" t="e">
        <v>#N/A</v>
      </c>
      <c r="T83" s="4" t="str">
        <f>IFERROR(_xll.qlRateHelperQuoteName(S83,Trigger),"")</f>
        <v/>
      </c>
      <c r="U83" s="73" t="str">
        <f>IFERROR(_xll.qlRateHelperRate(S83,Trigger),"")</f>
        <v/>
      </c>
      <c r="V83" s="108" t="str">
        <f>IF(ISERROR(_xll.qlSwapRateHelperSpread($S83)),IF(ISERROR(_xll.qlFuturesRateHelperConvexityAdjustment($S83)),"",_xll.qlFuturesRateHelperConvexityAdjustment($S83)),_xll.qlSwapRateHelperSpread($S83))</f>
        <v/>
      </c>
      <c r="W83" s="5" t="str">
        <f>IFERROR(_xll.qlRateHelperEarliestDate(S83,Trigger),"")</f>
        <v/>
      </c>
      <c r="X83" s="5" t="str">
        <f>IFERROR(_xll.qlRateHelperPillarDate(S83,Trigger),"")</f>
        <v/>
      </c>
      <c r="Y83" s="81" t="e">
        <v>#N/A</v>
      </c>
    </row>
    <row r="84" spans="1:25" x14ac:dyDescent="0.2">
      <c r="A84" s="62" t="s">
        <v>156</v>
      </c>
      <c r="B84" s="63" t="s">
        <v>50</v>
      </c>
      <c r="C84" s="64">
        <v>1</v>
      </c>
      <c r="D84" s="65" t="str">
        <f t="shared" si="16"/>
        <v>Aonia</v>
      </c>
      <c r="E84" s="66" t="str">
        <f t="shared" si="15"/>
        <v>AUDMTOIS18M_Quote</v>
      </c>
      <c r="F84" s="67" t="str">
        <f>_xll.qlOISRateHelper(,C84,B84,E84,$D84,,Permanent,Trigger,ObjectOverwrite)</f>
        <v>obj_0022b#0001</v>
      </c>
      <c r="H84" s="10" t="str">
        <f t="shared" si="13"/>
        <v>MTOIS</v>
      </c>
      <c r="I84" s="98" t="str">
        <f t="shared" si="14"/>
        <v>--</v>
      </c>
      <c r="J84" s="144" t="str">
        <f>IFERROR(_xll.qlRateHelperQuoteName(I84,Trigger),"--")</f>
        <v>--</v>
      </c>
      <c r="K84" s="102" t="str">
        <f>IFERROR(_xll.qlRateHelperQuoteValue($I84,Trigger),"--")</f>
        <v>--</v>
      </c>
      <c r="L84" s="101" t="b">
        <v>0</v>
      </c>
      <c r="M84" s="98">
        <v>50</v>
      </c>
      <c r="N84" s="98">
        <v>1</v>
      </c>
      <c r="O84" s="103" t="str">
        <f>IFERROR(_xll.qlRateHelperEarliestDate(I84,Trigger),"--")</f>
        <v>--</v>
      </c>
      <c r="P84" s="103" t="str">
        <f>IFERROR(_xll.qlRateHelperPillarDate(I84,Trigger),"--")</f>
        <v>--</v>
      </c>
      <c r="R84" s="4" t="str">
        <f t="shared" si="17"/>
        <v/>
      </c>
      <c r="S84" s="4" t="e">
        <v>#N/A</v>
      </c>
      <c r="T84" s="4" t="str">
        <f>IFERROR(_xll.qlRateHelperQuoteName(S84,Trigger),"")</f>
        <v/>
      </c>
      <c r="U84" s="73" t="str">
        <f>IFERROR(_xll.qlRateHelperRate(S84,Trigger),"")</f>
        <v/>
      </c>
      <c r="V84" s="108" t="str">
        <f>IF(ISERROR(_xll.qlSwapRateHelperSpread($S84)),IF(ISERROR(_xll.qlFuturesRateHelperConvexityAdjustment($S84)),"",_xll.qlFuturesRateHelperConvexityAdjustment($S84)),_xll.qlSwapRateHelperSpread($S84))</f>
        <v/>
      </c>
      <c r="W84" s="5" t="str">
        <f>IFERROR(_xll.qlRateHelperEarliestDate(S84,Trigger),"")</f>
        <v/>
      </c>
      <c r="X84" s="5" t="str">
        <f>IFERROR(_xll.qlRateHelperPillarDate(S84,Trigger),"")</f>
        <v/>
      </c>
      <c r="Y84" s="81" t="e">
        <v>#N/A</v>
      </c>
    </row>
    <row r="85" spans="1:25" x14ac:dyDescent="0.2">
      <c r="A85" s="62" t="s">
        <v>156</v>
      </c>
      <c r="B85" s="63" t="s">
        <v>142</v>
      </c>
      <c r="C85" s="64">
        <v>1</v>
      </c>
      <c r="D85" s="65" t="str">
        <f t="shared" si="16"/>
        <v>Aonia</v>
      </c>
      <c r="E85" s="66" t="str">
        <f t="shared" si="15"/>
        <v>AUDMTOIS19M_Quote</v>
      </c>
      <c r="F85" s="67"/>
      <c r="H85" s="10" t="str">
        <f t="shared" si="13"/>
        <v>MTOIS</v>
      </c>
      <c r="I85" s="98" t="str">
        <f t="shared" si="14"/>
        <v>--</v>
      </c>
      <c r="J85" s="144" t="str">
        <f>IFERROR(_xll.qlRateHelperQuoteName(I85,Trigger),"--")</f>
        <v>--</v>
      </c>
      <c r="K85" s="102" t="str">
        <f>IFERROR(_xll.qlRateHelperQuoteValue($I85,Trigger),"--")</f>
        <v>--</v>
      </c>
      <c r="L85" s="101" t="b">
        <v>0</v>
      </c>
      <c r="M85" s="98">
        <v>50</v>
      </c>
      <c r="N85" s="98">
        <v>1</v>
      </c>
      <c r="O85" s="103" t="str">
        <f>IFERROR(_xll.qlRateHelperEarliestDate(I85,Trigger),"--")</f>
        <v>--</v>
      </c>
      <c r="P85" s="103" t="str">
        <f>IFERROR(_xll.qlRateHelperPillarDate(I85,Trigger),"--")</f>
        <v>--</v>
      </c>
      <c r="R85" s="4" t="str">
        <f t="shared" si="17"/>
        <v/>
      </c>
      <c r="S85" s="4" t="e">
        <v>#N/A</v>
      </c>
      <c r="T85" s="4" t="str">
        <f>IFERROR(_xll.qlRateHelperQuoteName(S85,Trigger),"")</f>
        <v/>
      </c>
      <c r="U85" s="73" t="str">
        <f>IFERROR(_xll.qlRateHelperRate(S85,Trigger),"")</f>
        <v/>
      </c>
      <c r="V85" s="108" t="str">
        <f>IF(ISERROR(_xll.qlSwapRateHelperSpread($S85)),IF(ISERROR(_xll.qlFuturesRateHelperConvexityAdjustment($S85)),"",_xll.qlFuturesRateHelperConvexityAdjustment($S85)),_xll.qlSwapRateHelperSpread($S85))</f>
        <v/>
      </c>
      <c r="W85" s="5" t="str">
        <f>IFERROR(_xll.qlRateHelperEarliestDate(S85,Trigger),"")</f>
        <v/>
      </c>
      <c r="X85" s="5" t="str">
        <f>IFERROR(_xll.qlRateHelperPillarDate(S85,Trigger),"")</f>
        <v/>
      </c>
      <c r="Y85" s="81" t="e">
        <v>#N/A</v>
      </c>
    </row>
    <row r="86" spans="1:25" x14ac:dyDescent="0.2">
      <c r="A86" s="62" t="s">
        <v>156</v>
      </c>
      <c r="B86" s="63" t="s">
        <v>143</v>
      </c>
      <c r="C86" s="64">
        <v>1</v>
      </c>
      <c r="D86" s="65" t="str">
        <f t="shared" si="16"/>
        <v>Aonia</v>
      </c>
      <c r="E86" s="66" t="str">
        <f t="shared" si="15"/>
        <v>AUDMTOIS20M_Quote</v>
      </c>
      <c r="F86" s="67"/>
      <c r="H86" s="10" t="str">
        <f t="shared" si="13"/>
        <v>MTOIS</v>
      </c>
      <c r="I86" s="98" t="str">
        <f t="shared" si="14"/>
        <v>obj_0021b#0001</v>
      </c>
      <c r="J86" s="144" t="str">
        <f>IFERROR(_xll.qlRateHelperQuoteName(I86,Trigger),"--")</f>
        <v>AUDMTOIS2Y_Quote</v>
      </c>
      <c r="K86" s="102">
        <f>IFERROR(_xll.qlRateHelperQuoteValue($I86,Trigger),"--")</f>
        <v>1.9100000000000002E-2</v>
      </c>
      <c r="L86" s="101" t="b">
        <v>1</v>
      </c>
      <c r="M86" s="98">
        <v>50</v>
      </c>
      <c r="N86" s="98">
        <v>1</v>
      </c>
      <c r="O86" s="103">
        <f>IFERROR(_xll.qlRateHelperEarliestDate(I86,Trigger),"--")</f>
        <v>42356</v>
      </c>
      <c r="P86" s="103">
        <f>IFERROR(_xll.qlRateHelperPillarDate(I86,Trigger),"--")</f>
        <v>43087</v>
      </c>
      <c r="R86" s="4" t="str">
        <f t="shared" si="17"/>
        <v/>
      </c>
      <c r="S86" s="4" t="e">
        <v>#N/A</v>
      </c>
      <c r="T86" s="4" t="str">
        <f>IFERROR(_xll.qlRateHelperQuoteName(S86,Trigger),"")</f>
        <v/>
      </c>
      <c r="U86" s="73" t="str">
        <f>IFERROR(_xll.qlRateHelperRate(S86,Trigger),"")</f>
        <v/>
      </c>
      <c r="V86" s="108" t="str">
        <f>IF(ISERROR(_xll.qlSwapRateHelperSpread($S86)),IF(ISERROR(_xll.qlFuturesRateHelperConvexityAdjustment($S86)),"",_xll.qlFuturesRateHelperConvexityAdjustment($S86)),_xll.qlSwapRateHelperSpread($S86))</f>
        <v/>
      </c>
      <c r="W86" s="5" t="str">
        <f>IFERROR(_xll.qlRateHelperEarliestDate(S86,Trigger),"")</f>
        <v/>
      </c>
      <c r="X86" s="5" t="str">
        <f>IFERROR(_xll.qlRateHelperPillarDate(S86,Trigger),"")</f>
        <v/>
      </c>
      <c r="Y86" s="81" t="e">
        <v>#N/A</v>
      </c>
    </row>
    <row r="87" spans="1:25" x14ac:dyDescent="0.2">
      <c r="A87" s="62" t="s">
        <v>156</v>
      </c>
      <c r="B87" s="63" t="s">
        <v>51</v>
      </c>
      <c r="C87" s="64">
        <v>1</v>
      </c>
      <c r="D87" s="65" t="str">
        <f t="shared" si="16"/>
        <v>Aonia</v>
      </c>
      <c r="E87" s="66" t="str">
        <f t="shared" si="15"/>
        <v>AUDMTOIS21M_Quote</v>
      </c>
      <c r="F87" s="67"/>
      <c r="H87" s="10" t="str">
        <f t="shared" si="13"/>
        <v>MTOIS</v>
      </c>
      <c r="I87" s="98" t="str">
        <f t="shared" si="14"/>
        <v>--</v>
      </c>
      <c r="J87" s="144" t="str">
        <f>IFERROR(_xll.qlRateHelperQuoteName(I87,Trigger),"--")</f>
        <v>--</v>
      </c>
      <c r="K87" s="102" t="str">
        <f>IFERROR(_xll.qlRateHelperQuoteValue($I87,Trigger),"--")</f>
        <v>--</v>
      </c>
      <c r="L87" s="101" t="b">
        <v>0</v>
      </c>
      <c r="M87" s="98">
        <v>50</v>
      </c>
      <c r="N87" s="98">
        <v>1</v>
      </c>
      <c r="O87" s="103" t="str">
        <f>IFERROR(_xll.qlRateHelperEarliestDate(I87,Trigger),"--")</f>
        <v>--</v>
      </c>
      <c r="P87" s="103" t="str">
        <f>IFERROR(_xll.qlRateHelperPillarDate(I87,Trigger),"--")</f>
        <v>--</v>
      </c>
      <c r="R87" s="4" t="str">
        <f t="shared" si="17"/>
        <v/>
      </c>
      <c r="S87" s="4" t="e">
        <v>#N/A</v>
      </c>
      <c r="T87" s="4" t="str">
        <f>IFERROR(_xll.qlRateHelperQuoteName(S87,Trigger),"")</f>
        <v/>
      </c>
      <c r="U87" s="73" t="str">
        <f>IFERROR(_xll.qlRateHelperRate(S87,Trigger),"")</f>
        <v/>
      </c>
      <c r="V87" s="108" t="str">
        <f>IF(ISERROR(_xll.qlSwapRateHelperSpread($S87)),IF(ISERROR(_xll.qlFuturesRateHelperConvexityAdjustment($S87)),"",_xll.qlFuturesRateHelperConvexityAdjustment($S87)),_xll.qlSwapRateHelperSpread($S87))</f>
        <v/>
      </c>
      <c r="W87" s="5" t="str">
        <f>IFERROR(_xll.qlRateHelperEarliestDate(S87,Trigger),"")</f>
        <v/>
      </c>
      <c r="X87" s="5" t="str">
        <f>IFERROR(_xll.qlRateHelperPillarDate(S87,Trigger),"")</f>
        <v/>
      </c>
      <c r="Y87" s="81" t="e">
        <v>#N/A</v>
      </c>
    </row>
    <row r="88" spans="1:25" x14ac:dyDescent="0.2">
      <c r="A88" s="62" t="s">
        <v>156</v>
      </c>
      <c r="B88" s="63" t="s">
        <v>144</v>
      </c>
      <c r="C88" s="64">
        <v>1</v>
      </c>
      <c r="D88" s="65" t="str">
        <f t="shared" si="16"/>
        <v>Aonia</v>
      </c>
      <c r="E88" s="66" t="str">
        <f t="shared" si="15"/>
        <v>AUDMTOIS22M_Quote</v>
      </c>
      <c r="F88" s="67"/>
      <c r="H88" s="10" t="str">
        <f t="shared" si="13"/>
        <v>MTOIS</v>
      </c>
      <c r="I88" s="98" t="str">
        <f t="shared" si="14"/>
        <v>--</v>
      </c>
      <c r="J88" s="144" t="str">
        <f>IFERROR(_xll.qlRateHelperQuoteName(I88,Trigger),"--")</f>
        <v>--</v>
      </c>
      <c r="K88" s="102" t="str">
        <f>IFERROR(_xll.qlRateHelperQuoteValue($I88,Trigger),"--")</f>
        <v>--</v>
      </c>
      <c r="L88" s="101" t="b">
        <v>0</v>
      </c>
      <c r="M88" s="98">
        <v>50</v>
      </c>
      <c r="N88" s="98">
        <v>1</v>
      </c>
      <c r="O88" s="103" t="str">
        <f>IFERROR(_xll.qlRateHelperEarliestDate(I88,Trigger),"--")</f>
        <v>--</v>
      </c>
      <c r="P88" s="103" t="str">
        <f>IFERROR(_xll.qlRateHelperPillarDate(I88,Trigger),"--")</f>
        <v>--</v>
      </c>
      <c r="R88" s="4" t="str">
        <f t="shared" si="17"/>
        <v/>
      </c>
      <c r="S88" s="4" t="e">
        <v>#N/A</v>
      </c>
      <c r="T88" s="4" t="str">
        <f>IFERROR(_xll.qlRateHelperQuoteName(S88,Trigger),"")</f>
        <v/>
      </c>
      <c r="U88" s="73" t="str">
        <f>IFERROR(_xll.qlRateHelperRate(S88,Trigger),"")</f>
        <v/>
      </c>
      <c r="V88" s="108" t="str">
        <f>IF(ISERROR(_xll.qlSwapRateHelperSpread($S88)),IF(ISERROR(_xll.qlFuturesRateHelperConvexityAdjustment($S88)),"",_xll.qlFuturesRateHelperConvexityAdjustment($S88)),_xll.qlSwapRateHelperSpread($S88))</f>
        <v/>
      </c>
      <c r="W88" s="5" t="str">
        <f>IFERROR(_xll.qlRateHelperEarliestDate(S88,Trigger),"")</f>
        <v/>
      </c>
      <c r="X88" s="5" t="str">
        <f>IFERROR(_xll.qlRateHelperPillarDate(S88,Trigger),"")</f>
        <v/>
      </c>
      <c r="Y88" s="81" t="e">
        <v>#N/A</v>
      </c>
    </row>
    <row r="89" spans="1:25" x14ac:dyDescent="0.2">
      <c r="A89" s="62" t="s">
        <v>156</v>
      </c>
      <c r="B89" s="63" t="s">
        <v>145</v>
      </c>
      <c r="C89" s="64">
        <v>1</v>
      </c>
      <c r="D89" s="65" t="str">
        <f t="shared" si="16"/>
        <v>Aonia</v>
      </c>
      <c r="E89" s="66" t="str">
        <f t="shared" si="15"/>
        <v>AUDMTOIS23M_Quote</v>
      </c>
      <c r="F89" s="67"/>
      <c r="H89" s="10" t="str">
        <f t="shared" si="13"/>
        <v>MTOIS</v>
      </c>
      <c r="I89" s="98" t="str">
        <f t="shared" si="14"/>
        <v>--</v>
      </c>
      <c r="J89" s="144" t="str">
        <f>IFERROR(_xll.qlRateHelperQuoteName(I89,Trigger),"--")</f>
        <v>--</v>
      </c>
      <c r="K89" s="102" t="str">
        <f>IFERROR(_xll.qlRateHelperQuoteValue($I89,Trigger),"--")</f>
        <v>--</v>
      </c>
      <c r="L89" s="101" t="b">
        <v>0</v>
      </c>
      <c r="M89" s="98">
        <v>50</v>
      </c>
      <c r="N89" s="98">
        <v>1</v>
      </c>
      <c r="O89" s="103" t="str">
        <f>IFERROR(_xll.qlRateHelperEarliestDate(I89,Trigger),"--")</f>
        <v>--</v>
      </c>
      <c r="P89" s="103" t="str">
        <f>IFERROR(_xll.qlRateHelperPillarDate(I89,Trigger),"--")</f>
        <v>--</v>
      </c>
      <c r="R89" s="4" t="str">
        <f t="shared" si="17"/>
        <v/>
      </c>
      <c r="S89" s="4" t="e">
        <v>#N/A</v>
      </c>
      <c r="T89" s="4" t="str">
        <f>IFERROR(_xll.qlRateHelperQuoteName(S89,Trigger),"")</f>
        <v/>
      </c>
      <c r="U89" s="73" t="str">
        <f>IFERROR(_xll.qlRateHelperRate(S89,Trigger),"")</f>
        <v/>
      </c>
      <c r="V89" s="108" t="str">
        <f>IF(ISERROR(_xll.qlSwapRateHelperSpread($S89)),IF(ISERROR(_xll.qlFuturesRateHelperConvexityAdjustment($S89)),"",_xll.qlFuturesRateHelperConvexityAdjustment($S89)),_xll.qlSwapRateHelperSpread($S89))</f>
        <v/>
      </c>
      <c r="W89" s="5" t="str">
        <f>IFERROR(_xll.qlRateHelperEarliestDate(S89,Trigger),"")</f>
        <v/>
      </c>
      <c r="X89" s="5" t="str">
        <f>IFERROR(_xll.qlRateHelperPillarDate(S89,Trigger),"")</f>
        <v/>
      </c>
      <c r="Y89" s="81" t="e">
        <v>#N/A</v>
      </c>
    </row>
    <row r="90" spans="1:25" x14ac:dyDescent="0.2">
      <c r="A90" s="62" t="s">
        <v>156</v>
      </c>
      <c r="B90" s="63" t="s">
        <v>52</v>
      </c>
      <c r="C90" s="64">
        <v>1</v>
      </c>
      <c r="D90" s="65" t="str">
        <f t="shared" si="16"/>
        <v>Aonia</v>
      </c>
      <c r="E90" s="66" t="str">
        <f t="shared" si="15"/>
        <v>AUDMTOIS2Y_Quote</v>
      </c>
      <c r="F90" s="67" t="str">
        <f>_xll.qlOISRateHelper(,C90,B90,E90,$D90,,Permanent,Trigger,ObjectOverwrite)</f>
        <v>obj_0021b#0001</v>
      </c>
      <c r="H90" s="10" t="str">
        <f t="shared" si="13"/>
        <v>MTOIS</v>
      </c>
      <c r="I90" s="98" t="str">
        <f t="shared" si="14"/>
        <v>obj_0021d#0001</v>
      </c>
      <c r="J90" s="144" t="str">
        <f>IFERROR(_xll.qlRateHelperQuoteName(I90,Trigger),"--")</f>
        <v>AUDMTOIS3Y_Quote</v>
      </c>
      <c r="K90" s="102">
        <f>IFERROR(_xll.qlRateHelperQuoteValue($I90,Trigger),"--")</f>
        <v>2.0049999999999998E-2</v>
      </c>
      <c r="L90" s="101" t="b">
        <v>1</v>
      </c>
      <c r="M90" s="98">
        <v>50</v>
      </c>
      <c r="N90" s="98">
        <v>1</v>
      </c>
      <c r="O90" s="103">
        <f>IFERROR(_xll.qlRateHelperEarliestDate(I90,Trigger),"--")</f>
        <v>42356</v>
      </c>
      <c r="P90" s="103">
        <f>IFERROR(_xll.qlRateHelperPillarDate(I90,Trigger),"--")</f>
        <v>43452</v>
      </c>
      <c r="R90" s="4" t="str">
        <f t="shared" si="17"/>
        <v/>
      </c>
      <c r="S90" s="4" t="e">
        <v>#N/A</v>
      </c>
      <c r="T90" s="4" t="str">
        <f>IFERROR(_xll.qlRateHelperQuoteName(S90,Trigger),"")</f>
        <v/>
      </c>
      <c r="U90" s="73" t="str">
        <f>IFERROR(_xll.qlRateHelperRate(S90,Trigger),"")</f>
        <v/>
      </c>
      <c r="V90" s="108" t="str">
        <f>IF(ISERROR(_xll.qlSwapRateHelperSpread($S90)),IF(ISERROR(_xll.qlFuturesRateHelperConvexityAdjustment($S90)),"",_xll.qlFuturesRateHelperConvexityAdjustment($S90)),_xll.qlSwapRateHelperSpread($S90))</f>
        <v/>
      </c>
      <c r="W90" s="5" t="str">
        <f>IFERROR(_xll.qlRateHelperEarliestDate(S90,Trigger),"")</f>
        <v/>
      </c>
      <c r="X90" s="5" t="str">
        <f>IFERROR(_xll.qlRateHelperPillarDate(S90,Trigger),"")</f>
        <v/>
      </c>
      <c r="Y90" s="81" t="e">
        <v>#N/A</v>
      </c>
    </row>
    <row r="91" spans="1:25" x14ac:dyDescent="0.2">
      <c r="A91" s="62" t="s">
        <v>156</v>
      </c>
      <c r="B91" s="63" t="s">
        <v>146</v>
      </c>
      <c r="C91" s="64">
        <v>1</v>
      </c>
      <c r="D91" s="65" t="str">
        <f t="shared" si="16"/>
        <v>Aonia</v>
      </c>
      <c r="E91" s="66" t="str">
        <f t="shared" si="15"/>
        <v>AUDMTOIS27M_Quote</v>
      </c>
      <c r="F91" s="67"/>
      <c r="H91" s="10" t="str">
        <f t="shared" si="13"/>
        <v>MTOIS</v>
      </c>
      <c r="I91" s="98" t="str">
        <f t="shared" si="14"/>
        <v>--</v>
      </c>
      <c r="J91" s="144" t="str">
        <f>IFERROR(_xll.qlRateHelperQuoteName(I91,Trigger),"--")</f>
        <v>--</v>
      </c>
      <c r="K91" s="102" t="str">
        <f>IFERROR(_xll.qlRateHelperQuoteValue($I91,Trigger),"--")</f>
        <v>--</v>
      </c>
      <c r="L91" s="101" t="b">
        <v>0</v>
      </c>
      <c r="M91" s="98">
        <v>50</v>
      </c>
      <c r="N91" s="98">
        <v>1</v>
      </c>
      <c r="O91" s="103" t="str">
        <f>IFERROR(_xll.qlRateHelperEarliestDate(I91,Trigger),"--")</f>
        <v>--</v>
      </c>
      <c r="P91" s="103" t="str">
        <f>IFERROR(_xll.qlRateHelperPillarDate(I91,Trigger),"--")</f>
        <v>--</v>
      </c>
      <c r="R91" s="4" t="str">
        <f t="shared" si="17"/>
        <v/>
      </c>
      <c r="S91" s="4" t="e">
        <v>#N/A</v>
      </c>
      <c r="T91" s="4" t="str">
        <f>IFERROR(_xll.qlRateHelperQuoteName(S91,Trigger),"")</f>
        <v/>
      </c>
      <c r="U91" s="73" t="str">
        <f>IFERROR(_xll.qlRateHelperRate(S91,Trigger),"")</f>
        <v/>
      </c>
      <c r="V91" s="108" t="str">
        <f>IF(ISERROR(_xll.qlSwapRateHelperSpread($S91)),IF(ISERROR(_xll.qlFuturesRateHelperConvexityAdjustment($S91)),"",_xll.qlFuturesRateHelperConvexityAdjustment($S91)),_xll.qlSwapRateHelperSpread($S91))</f>
        <v/>
      </c>
      <c r="W91" s="5" t="str">
        <f>IFERROR(_xll.qlRateHelperEarliestDate(S91,Trigger),"")</f>
        <v/>
      </c>
      <c r="X91" s="5" t="str">
        <f>IFERROR(_xll.qlRateHelperPillarDate(S91,Trigger),"")</f>
        <v/>
      </c>
      <c r="Y91" s="81" t="e">
        <v>#N/A</v>
      </c>
    </row>
    <row r="92" spans="1:25" x14ac:dyDescent="0.2">
      <c r="A92" s="62" t="s">
        <v>156</v>
      </c>
      <c r="B92" s="63" t="s">
        <v>147</v>
      </c>
      <c r="C92" s="64">
        <v>1</v>
      </c>
      <c r="D92" s="65" t="str">
        <f t="shared" si="16"/>
        <v>Aonia</v>
      </c>
      <c r="E92" s="66" t="str">
        <f t="shared" si="15"/>
        <v>AUDMTOIS30M_Quote</v>
      </c>
      <c r="F92" s="67"/>
      <c r="H92" s="10" t="str">
        <f t="shared" ref="H92:H113" si="18">A96</f>
        <v>MTOIS</v>
      </c>
      <c r="I92" s="98" t="str">
        <f t="shared" si="14"/>
        <v>--</v>
      </c>
      <c r="J92" s="144" t="str">
        <f>IFERROR(_xll.qlRateHelperQuoteName(I92,Trigger),"--")</f>
        <v>--</v>
      </c>
      <c r="K92" s="102" t="str">
        <f>IFERROR(_xll.qlRateHelperQuoteValue($I92,Trigger),"--")</f>
        <v>--</v>
      </c>
      <c r="L92" s="101" t="b">
        <v>0</v>
      </c>
      <c r="M92" s="98">
        <v>50</v>
      </c>
      <c r="N92" s="98">
        <v>1</v>
      </c>
      <c r="O92" s="103" t="str">
        <f>IFERROR(_xll.qlRateHelperEarliestDate(I92,Trigger),"--")</f>
        <v>--</v>
      </c>
      <c r="P92" s="103" t="str">
        <f>IFERROR(_xll.qlRateHelperPillarDate(I92,Trigger),"--")</f>
        <v>--</v>
      </c>
      <c r="R92" s="4" t="str">
        <f t="shared" si="17"/>
        <v/>
      </c>
      <c r="S92" s="4" t="e">
        <v>#N/A</v>
      </c>
      <c r="T92" s="4" t="str">
        <f>IFERROR(_xll.qlRateHelperQuoteName(S92,Trigger),"")</f>
        <v/>
      </c>
      <c r="U92" s="73" t="str">
        <f>IFERROR(_xll.qlRateHelperRate(S92,Trigger),"")</f>
        <v/>
      </c>
      <c r="V92" s="108" t="str">
        <f>IF(ISERROR(_xll.qlSwapRateHelperSpread($S92)),IF(ISERROR(_xll.qlFuturesRateHelperConvexityAdjustment($S92)),"",_xll.qlFuturesRateHelperConvexityAdjustment($S92)),_xll.qlSwapRateHelperSpread($S92))</f>
        <v/>
      </c>
      <c r="W92" s="5" t="str">
        <f>IFERROR(_xll.qlRateHelperEarliestDate(S92,Trigger),"")</f>
        <v/>
      </c>
      <c r="X92" s="5" t="str">
        <f>IFERROR(_xll.qlRateHelperPillarDate(S92,Trigger),"")</f>
        <v/>
      </c>
      <c r="Y92" s="81" t="e">
        <v>#N/A</v>
      </c>
    </row>
    <row r="93" spans="1:25" x14ac:dyDescent="0.2">
      <c r="A93" s="62" t="s">
        <v>156</v>
      </c>
      <c r="B93" s="63" t="s">
        <v>148</v>
      </c>
      <c r="C93" s="64">
        <v>1</v>
      </c>
      <c r="D93" s="65" t="str">
        <f t="shared" si="16"/>
        <v>Aonia</v>
      </c>
      <c r="E93" s="66" t="str">
        <f t="shared" si="15"/>
        <v>AUDMTOIS33M_Quote</v>
      </c>
      <c r="F93" s="67"/>
      <c r="H93" s="10" t="str">
        <f t="shared" si="18"/>
        <v>MTOIS</v>
      </c>
      <c r="I93" s="98" t="str">
        <f t="shared" si="14"/>
        <v>--</v>
      </c>
      <c r="J93" s="144" t="str">
        <f>IFERROR(_xll.qlRateHelperQuoteName(I93,Trigger),"--")</f>
        <v>--</v>
      </c>
      <c r="K93" s="102" t="str">
        <f>IFERROR(_xll.qlRateHelperQuoteValue($I93,Trigger),"--")</f>
        <v>--</v>
      </c>
      <c r="L93" s="101" t="b">
        <v>0</v>
      </c>
      <c r="M93" s="98">
        <v>50</v>
      </c>
      <c r="N93" s="98">
        <v>1</v>
      </c>
      <c r="O93" s="103" t="str">
        <f>IFERROR(_xll.qlRateHelperEarliestDate(I93,Trigger),"--")</f>
        <v>--</v>
      </c>
      <c r="P93" s="103" t="str">
        <f>IFERROR(_xll.qlRateHelperPillarDate(I93,Trigger),"--")</f>
        <v>--</v>
      </c>
      <c r="R93" s="4" t="str">
        <f t="shared" si="17"/>
        <v/>
      </c>
      <c r="S93" s="4" t="e">
        <v>#N/A</v>
      </c>
      <c r="T93" s="4" t="str">
        <f>IFERROR(_xll.qlRateHelperQuoteName(S93,Trigger),"")</f>
        <v/>
      </c>
      <c r="U93" s="73" t="str">
        <f>IFERROR(_xll.qlRateHelperRate(S93,Trigger),"")</f>
        <v/>
      </c>
      <c r="V93" s="108" t="str">
        <f>IF(ISERROR(_xll.qlSwapRateHelperSpread($S93)),IF(ISERROR(_xll.qlFuturesRateHelperConvexityAdjustment($S93)),"",_xll.qlFuturesRateHelperConvexityAdjustment($S93)),_xll.qlSwapRateHelperSpread($S93))</f>
        <v/>
      </c>
      <c r="W93" s="5" t="str">
        <f>IFERROR(_xll.qlRateHelperEarliestDate(S93,Trigger),"")</f>
        <v/>
      </c>
      <c r="X93" s="5" t="str">
        <f>IFERROR(_xll.qlRateHelperPillarDate(S93,Trigger),"")</f>
        <v/>
      </c>
      <c r="Y93" s="81" t="e">
        <v>#N/A</v>
      </c>
    </row>
    <row r="94" spans="1:25" x14ac:dyDescent="0.2">
      <c r="A94" s="62" t="s">
        <v>156</v>
      </c>
      <c r="B94" s="63" t="s">
        <v>53</v>
      </c>
      <c r="C94" s="64">
        <v>1</v>
      </c>
      <c r="D94" s="65" t="str">
        <f t="shared" si="16"/>
        <v>Aonia</v>
      </c>
      <c r="E94" s="66" t="str">
        <f t="shared" si="15"/>
        <v>AUDMTOIS3Y_Quote</v>
      </c>
      <c r="F94" s="67" t="str">
        <f>_xll.qlOISRateHelper(,C94,B94,E94,$D94,,Permanent,Trigger,ObjectOverwrite)</f>
        <v>obj_0021d#0001</v>
      </c>
      <c r="H94" s="10" t="str">
        <f t="shared" si="18"/>
        <v>MTOIS</v>
      </c>
      <c r="I94" s="98" t="str">
        <f t="shared" si="14"/>
        <v>obj_00228#0001</v>
      </c>
      <c r="J94" s="144" t="str">
        <f>IFERROR(_xll.qlRateHelperQuoteName(I94,Trigger),"--")</f>
        <v>AUDMTOIS4Y_Quote</v>
      </c>
      <c r="K94" s="102">
        <f>IFERROR(_xll.qlRateHelperQuoteValue($I94,Trigger),"--")</f>
        <v>2.12E-2</v>
      </c>
      <c r="L94" s="101" t="b">
        <v>1</v>
      </c>
      <c r="M94" s="98">
        <v>50</v>
      </c>
      <c r="N94" s="98">
        <v>1</v>
      </c>
      <c r="O94" s="103">
        <f>IFERROR(_xll.qlRateHelperEarliestDate(I94,Trigger),"--")</f>
        <v>42356</v>
      </c>
      <c r="P94" s="103">
        <f>IFERROR(_xll.qlRateHelperPillarDate(I94,Trigger),"--")</f>
        <v>43817</v>
      </c>
      <c r="R94" s="4" t="str">
        <f t="shared" si="17"/>
        <v/>
      </c>
      <c r="S94" s="4" t="e">
        <v>#N/A</v>
      </c>
      <c r="T94" s="4" t="str">
        <f>IFERROR(_xll.qlRateHelperQuoteName(S94,Trigger),"")</f>
        <v/>
      </c>
      <c r="U94" s="73" t="str">
        <f>IFERROR(_xll.qlRateHelperRate(S94,Trigger),"")</f>
        <v/>
      </c>
      <c r="V94" s="108" t="str">
        <f>IF(ISERROR(_xll.qlSwapRateHelperSpread($S94)),IF(ISERROR(_xll.qlFuturesRateHelperConvexityAdjustment($S94)),"",_xll.qlFuturesRateHelperConvexityAdjustment($S94)),_xll.qlSwapRateHelperSpread($S94))</f>
        <v/>
      </c>
      <c r="W94" s="5" t="str">
        <f>IFERROR(_xll.qlRateHelperEarliestDate(S94,Trigger),"")</f>
        <v/>
      </c>
      <c r="X94" s="5" t="str">
        <f>IFERROR(_xll.qlRateHelperPillarDate(S94,Trigger),"")</f>
        <v/>
      </c>
      <c r="Y94" s="81" t="e">
        <v>#N/A</v>
      </c>
    </row>
    <row r="95" spans="1:25" x14ac:dyDescent="0.2">
      <c r="A95" s="62" t="s">
        <v>156</v>
      </c>
      <c r="B95" s="63" t="s">
        <v>149</v>
      </c>
      <c r="C95" s="64">
        <v>1</v>
      </c>
      <c r="D95" s="65" t="str">
        <f t="shared" si="16"/>
        <v>Aonia</v>
      </c>
      <c r="E95" s="66" t="str">
        <f t="shared" si="15"/>
        <v>AUDMTOIS39M_Quote</v>
      </c>
      <c r="F95" s="67"/>
      <c r="H95" s="10" t="str">
        <f t="shared" si="18"/>
        <v>MTOIS</v>
      </c>
      <c r="I95" s="98" t="str">
        <f t="shared" si="14"/>
        <v>--</v>
      </c>
      <c r="J95" s="144" t="str">
        <f>IFERROR(_xll.qlRateHelperQuoteName(I95,Trigger),"--")</f>
        <v>--</v>
      </c>
      <c r="K95" s="102" t="str">
        <f>IFERROR(_xll.qlRateHelperQuoteValue($I95,Trigger),"--")</f>
        <v>--</v>
      </c>
      <c r="L95" s="101" t="b">
        <v>0</v>
      </c>
      <c r="M95" s="98">
        <v>50</v>
      </c>
      <c r="N95" s="98">
        <v>1</v>
      </c>
      <c r="O95" s="103" t="str">
        <f>IFERROR(_xll.qlRateHelperEarliestDate(I95,Trigger),"--")</f>
        <v>--</v>
      </c>
      <c r="P95" s="103" t="str">
        <f>IFERROR(_xll.qlRateHelperPillarDate(I95,Trigger),"--")</f>
        <v>--</v>
      </c>
      <c r="R95" s="4" t="str">
        <f t="shared" si="17"/>
        <v/>
      </c>
      <c r="S95" s="4" t="e">
        <v>#N/A</v>
      </c>
      <c r="T95" s="4" t="str">
        <f>IFERROR(_xll.qlRateHelperQuoteName(S95,Trigger),"")</f>
        <v/>
      </c>
      <c r="U95" s="73" t="str">
        <f>IFERROR(_xll.qlRateHelperRate(S95,Trigger),"")</f>
        <v/>
      </c>
      <c r="V95" s="108" t="str">
        <f>IF(ISERROR(_xll.qlSwapRateHelperSpread($S95)),IF(ISERROR(_xll.qlFuturesRateHelperConvexityAdjustment($S95)),"",_xll.qlFuturesRateHelperConvexityAdjustment($S95)),_xll.qlSwapRateHelperSpread($S95))</f>
        <v/>
      </c>
      <c r="W95" s="5" t="str">
        <f>IFERROR(_xll.qlRateHelperEarliestDate(S95,Trigger),"")</f>
        <v/>
      </c>
      <c r="X95" s="5" t="str">
        <f>IFERROR(_xll.qlRateHelperPillarDate(S95,Trigger),"")</f>
        <v/>
      </c>
      <c r="Y95" s="81" t="e">
        <v>#N/A</v>
      </c>
    </row>
    <row r="96" spans="1:25" x14ac:dyDescent="0.2">
      <c r="A96" s="62" t="s">
        <v>156</v>
      </c>
      <c r="B96" s="63" t="s">
        <v>150</v>
      </c>
      <c r="C96" s="64">
        <v>1</v>
      </c>
      <c r="D96" s="65" t="str">
        <f t="shared" si="16"/>
        <v>Aonia</v>
      </c>
      <c r="E96" s="66" t="str">
        <f t="shared" ref="E96:E117" si="19">Currency&amp;$D$62&amp;IF($B96="1W","SW",$B96)&amp;QuoteSuffix</f>
        <v>AUDMTOIS42M_Quote</v>
      </c>
      <c r="F96" s="67"/>
      <c r="H96" s="10" t="str">
        <f t="shared" si="18"/>
        <v>MTOIS</v>
      </c>
      <c r="I96" s="98" t="str">
        <f t="shared" si="14"/>
        <v>--</v>
      </c>
      <c r="J96" s="144" t="str">
        <f>IFERROR(_xll.qlRateHelperQuoteName(I96,Trigger),"--")</f>
        <v>--</v>
      </c>
      <c r="K96" s="102" t="str">
        <f>IFERROR(_xll.qlRateHelperQuoteValue($I96,Trigger),"--")</f>
        <v>--</v>
      </c>
      <c r="L96" s="101" t="b">
        <v>0</v>
      </c>
      <c r="M96" s="98">
        <v>50</v>
      </c>
      <c r="N96" s="98">
        <v>1</v>
      </c>
      <c r="O96" s="103" t="str">
        <f>IFERROR(_xll.qlRateHelperEarliestDate(I96,Trigger),"--")</f>
        <v>--</v>
      </c>
      <c r="P96" s="103" t="str">
        <f>IFERROR(_xll.qlRateHelperPillarDate(I96,Trigger),"--")</f>
        <v>--</v>
      </c>
      <c r="R96" s="4" t="str">
        <f t="shared" si="17"/>
        <v/>
      </c>
      <c r="S96" s="4" t="e">
        <v>#N/A</v>
      </c>
      <c r="T96" s="4" t="str">
        <f>IFERROR(_xll.qlRateHelperQuoteName(S96,Trigger),"")</f>
        <v/>
      </c>
      <c r="U96" s="73" t="str">
        <f>IFERROR(_xll.qlRateHelperRate(S96,Trigger),"")</f>
        <v/>
      </c>
      <c r="V96" s="108" t="str">
        <f>IF(ISERROR(_xll.qlSwapRateHelperSpread($S96)),IF(ISERROR(_xll.qlFuturesRateHelperConvexityAdjustment($S96)),"",_xll.qlFuturesRateHelperConvexityAdjustment($S96)),_xll.qlSwapRateHelperSpread($S96))</f>
        <v/>
      </c>
      <c r="W96" s="5" t="str">
        <f>IFERROR(_xll.qlRateHelperEarliestDate(S96,Trigger),"")</f>
        <v/>
      </c>
      <c r="X96" s="5" t="str">
        <f>IFERROR(_xll.qlRateHelperPillarDate(S96,Trigger),"")</f>
        <v/>
      </c>
      <c r="Y96" s="81" t="e">
        <v>#N/A</v>
      </c>
    </row>
    <row r="97" spans="1:25" x14ac:dyDescent="0.2">
      <c r="A97" s="62" t="s">
        <v>156</v>
      </c>
      <c r="B97" s="63" t="s">
        <v>151</v>
      </c>
      <c r="C97" s="64">
        <v>1</v>
      </c>
      <c r="D97" s="65" t="str">
        <f t="shared" si="16"/>
        <v>Aonia</v>
      </c>
      <c r="E97" s="66" t="str">
        <f t="shared" si="19"/>
        <v>AUDMTOIS45M_Quote</v>
      </c>
      <c r="F97" s="67"/>
      <c r="H97" s="10" t="str">
        <f t="shared" si="18"/>
        <v>MTOIS</v>
      </c>
      <c r="I97" s="98" t="str">
        <f t="shared" si="14"/>
        <v>--</v>
      </c>
      <c r="J97" s="144" t="str">
        <f>IFERROR(_xll.qlRateHelperQuoteName(I97,Trigger),"--")</f>
        <v>--</v>
      </c>
      <c r="K97" s="102" t="str">
        <f>IFERROR(_xll.qlRateHelperQuoteValue($I97,Trigger),"--")</f>
        <v>--</v>
      </c>
      <c r="L97" s="101" t="b">
        <v>0</v>
      </c>
      <c r="M97" s="98">
        <v>50</v>
      </c>
      <c r="N97" s="98">
        <v>1</v>
      </c>
      <c r="O97" s="103" t="str">
        <f>IFERROR(_xll.qlRateHelperEarliestDate(I97,Trigger),"--")</f>
        <v>--</v>
      </c>
      <c r="P97" s="103" t="str">
        <f>IFERROR(_xll.qlRateHelperPillarDate(I97,Trigger),"--")</f>
        <v>--</v>
      </c>
      <c r="R97" s="4" t="str">
        <f t="shared" si="17"/>
        <v/>
      </c>
      <c r="S97" s="4" t="e">
        <v>#N/A</v>
      </c>
      <c r="T97" s="4" t="str">
        <f>IFERROR(_xll.qlRateHelperQuoteName(S97,Trigger),"")</f>
        <v/>
      </c>
      <c r="U97" s="73" t="str">
        <f>IFERROR(_xll.qlRateHelperRate(S97,Trigger),"")</f>
        <v/>
      </c>
      <c r="V97" s="108" t="str">
        <f>IF(ISERROR(_xll.qlSwapRateHelperSpread($S97)),IF(ISERROR(_xll.qlFuturesRateHelperConvexityAdjustment($S97)),"",_xll.qlFuturesRateHelperConvexityAdjustment($S97)),_xll.qlSwapRateHelperSpread($S97))</f>
        <v/>
      </c>
      <c r="W97" s="5" t="str">
        <f>IFERROR(_xll.qlRateHelperEarliestDate(S97,Trigger),"")</f>
        <v/>
      </c>
      <c r="X97" s="5" t="str">
        <f>IFERROR(_xll.qlRateHelperPillarDate(S97,Trigger),"")</f>
        <v/>
      </c>
      <c r="Y97" s="81" t="e">
        <v>#N/A</v>
      </c>
    </row>
    <row r="98" spans="1:25" x14ac:dyDescent="0.2">
      <c r="A98" s="62" t="s">
        <v>156</v>
      </c>
      <c r="B98" s="63" t="s">
        <v>54</v>
      </c>
      <c r="C98" s="64">
        <v>1</v>
      </c>
      <c r="D98" s="65" t="str">
        <f t="shared" si="16"/>
        <v>Aonia</v>
      </c>
      <c r="E98" s="66" t="str">
        <f t="shared" si="19"/>
        <v>AUDMTOIS4Y_Quote</v>
      </c>
      <c r="F98" s="67" t="str">
        <f>_xll.qlOISRateHelper(,C98,B98,E98,$D98,,Permanent,Trigger,ObjectOverwrite)</f>
        <v>obj_00228#0001</v>
      </c>
      <c r="H98" s="10" t="str">
        <f t="shared" si="18"/>
        <v>MTOIS</v>
      </c>
      <c r="I98" s="98" t="str">
        <f t="shared" si="14"/>
        <v>obj_00230#0001</v>
      </c>
      <c r="J98" s="144" t="str">
        <f>IFERROR(_xll.qlRateHelperQuoteName(I98,Trigger),"--")</f>
        <v>AUDMTOIS5Y_Quote</v>
      </c>
      <c r="K98" s="102">
        <f>IFERROR(_xll.qlRateHelperQuoteValue($I98,Trigger),"--")</f>
        <v>2.2499999999999999E-2</v>
      </c>
      <c r="L98" s="101" t="b">
        <v>1</v>
      </c>
      <c r="M98" s="98">
        <v>50</v>
      </c>
      <c r="N98" s="98">
        <v>1</v>
      </c>
      <c r="O98" s="103">
        <f>IFERROR(_xll.qlRateHelperEarliestDate(I98,Trigger),"--")</f>
        <v>42356</v>
      </c>
      <c r="P98" s="103">
        <f>IFERROR(_xll.qlRateHelperPillarDate(I98,Trigger),"--")</f>
        <v>44183</v>
      </c>
      <c r="R98" s="4" t="str">
        <f t="shared" si="17"/>
        <v/>
      </c>
      <c r="S98" s="4" t="e">
        <v>#N/A</v>
      </c>
      <c r="T98" s="4" t="str">
        <f>IFERROR(_xll.qlRateHelperQuoteName(S98,Trigger),"")</f>
        <v/>
      </c>
      <c r="U98" s="73" t="str">
        <f>IFERROR(_xll.qlRateHelperRate(S98,Trigger),"")</f>
        <v/>
      </c>
      <c r="V98" s="108" t="str">
        <f>IF(ISERROR(_xll.qlSwapRateHelperSpread($S98)),IF(ISERROR(_xll.qlFuturesRateHelperConvexityAdjustment($S98)),"",_xll.qlFuturesRateHelperConvexityAdjustment($S98)),_xll.qlSwapRateHelperSpread($S98))</f>
        <v/>
      </c>
      <c r="W98" s="5" t="str">
        <f>IFERROR(_xll.qlRateHelperEarliestDate(S98,Trigger),"")</f>
        <v/>
      </c>
      <c r="X98" s="5" t="str">
        <f>IFERROR(_xll.qlRateHelperPillarDate(S98,Trigger),"")</f>
        <v/>
      </c>
      <c r="Y98" s="81" t="e">
        <v>#N/A</v>
      </c>
    </row>
    <row r="99" spans="1:25" x14ac:dyDescent="0.2">
      <c r="A99" s="62" t="s">
        <v>156</v>
      </c>
      <c r="B99" s="63" t="s">
        <v>152</v>
      </c>
      <c r="C99" s="64">
        <v>1</v>
      </c>
      <c r="D99" s="65" t="str">
        <f t="shared" si="16"/>
        <v>Aonia</v>
      </c>
      <c r="E99" s="66" t="str">
        <f t="shared" si="19"/>
        <v>AUDMTOIS51M_Quote</v>
      </c>
      <c r="F99" s="67"/>
      <c r="H99" s="10" t="str">
        <f t="shared" si="18"/>
        <v>MTOIS</v>
      </c>
      <c r="I99" s="98" t="str">
        <f t="shared" si="14"/>
        <v>obj_00227#0001</v>
      </c>
      <c r="J99" s="144" t="str">
        <f>IFERROR(_xll.qlRateHelperQuoteName(I99,Trigger),"--")</f>
        <v>AUDMTOIS6Y_Quote</v>
      </c>
      <c r="K99" s="102">
        <f>IFERROR(_xll.qlRateHelperQuoteValue($I99,Trigger),"--")</f>
        <v>2.3730000000000001E-2</v>
      </c>
      <c r="L99" s="101" t="b">
        <v>1</v>
      </c>
      <c r="M99" s="98">
        <v>50</v>
      </c>
      <c r="N99" s="98">
        <v>1</v>
      </c>
      <c r="O99" s="103">
        <f>IFERROR(_xll.qlRateHelperEarliestDate(I99,Trigger),"--")</f>
        <v>42356</v>
      </c>
      <c r="P99" s="103">
        <f>IFERROR(_xll.qlRateHelperPillarDate(I99,Trigger),"--")</f>
        <v>44550</v>
      </c>
      <c r="R99" s="4" t="str">
        <f t="shared" si="17"/>
        <v/>
      </c>
      <c r="S99" s="4" t="e">
        <v>#N/A</v>
      </c>
      <c r="T99" s="4" t="str">
        <f>IFERROR(_xll.qlRateHelperQuoteName(S99,Trigger),"")</f>
        <v/>
      </c>
      <c r="U99" s="73" t="str">
        <f>IFERROR(_xll.qlRateHelperRate(S99,Trigger),"")</f>
        <v/>
      </c>
      <c r="V99" s="108" t="str">
        <f>IF(ISERROR(_xll.qlSwapRateHelperSpread($S99)),IF(ISERROR(_xll.qlFuturesRateHelperConvexityAdjustment($S99)),"",_xll.qlFuturesRateHelperConvexityAdjustment($S99)),_xll.qlSwapRateHelperSpread($S99))</f>
        <v/>
      </c>
      <c r="W99" s="5" t="str">
        <f>IFERROR(_xll.qlRateHelperEarliestDate(S99,Trigger),"")</f>
        <v/>
      </c>
      <c r="X99" s="5" t="str">
        <f>IFERROR(_xll.qlRateHelperPillarDate(S99,Trigger),"")</f>
        <v/>
      </c>
      <c r="Y99" s="81" t="e">
        <v>#N/A</v>
      </c>
    </row>
    <row r="100" spans="1:25" x14ac:dyDescent="0.2">
      <c r="A100" s="62" t="s">
        <v>156</v>
      </c>
      <c r="B100" s="63" t="s">
        <v>153</v>
      </c>
      <c r="C100" s="64">
        <v>1</v>
      </c>
      <c r="D100" s="65" t="str">
        <f t="shared" si="16"/>
        <v>Aonia</v>
      </c>
      <c r="E100" s="66" t="str">
        <f t="shared" si="19"/>
        <v>AUDMTOIS54M_Quote</v>
      </c>
      <c r="F100" s="67"/>
      <c r="H100" s="10" t="str">
        <f t="shared" si="18"/>
        <v>MTOIS</v>
      </c>
      <c r="I100" s="98" t="str">
        <f t="shared" si="14"/>
        <v>obj_0021f#0001</v>
      </c>
      <c r="J100" s="144" t="str">
        <f>IFERROR(_xll.qlRateHelperQuoteName(I100,Trigger),"--")</f>
        <v>AUDMTOIS7Y_Quote</v>
      </c>
      <c r="K100" s="102">
        <f>IFERROR(_xll.qlRateHelperQuoteValue($I100,Trigger),"--")</f>
        <v>2.4929999999999997E-2</v>
      </c>
      <c r="L100" s="101" t="b">
        <v>1</v>
      </c>
      <c r="M100" s="98">
        <v>50</v>
      </c>
      <c r="N100" s="98">
        <v>1</v>
      </c>
      <c r="O100" s="103">
        <f>IFERROR(_xll.qlRateHelperEarliestDate(I100,Trigger),"--")</f>
        <v>42356</v>
      </c>
      <c r="P100" s="103">
        <f>IFERROR(_xll.qlRateHelperPillarDate(I100,Trigger),"--")</f>
        <v>44914</v>
      </c>
      <c r="R100" s="4" t="str">
        <f t="shared" si="17"/>
        <v/>
      </c>
      <c r="S100" s="4" t="e">
        <v>#N/A</v>
      </c>
      <c r="T100" s="4" t="str">
        <f>IFERROR(_xll.qlRateHelperQuoteName(S100,Trigger),"")</f>
        <v/>
      </c>
      <c r="U100" s="73" t="str">
        <f>IFERROR(_xll.qlRateHelperRate(S100,Trigger),"")</f>
        <v/>
      </c>
      <c r="V100" s="108" t="str">
        <f>IF(ISERROR(_xll.qlSwapRateHelperSpread($S100)),IF(ISERROR(_xll.qlFuturesRateHelperConvexityAdjustment($S100)),"",_xll.qlFuturesRateHelperConvexityAdjustment($S100)),_xll.qlSwapRateHelperSpread($S100))</f>
        <v/>
      </c>
      <c r="W100" s="5" t="str">
        <f>IFERROR(_xll.qlRateHelperEarliestDate(S100,Trigger),"")</f>
        <v/>
      </c>
      <c r="X100" s="5" t="str">
        <f>IFERROR(_xll.qlRateHelperPillarDate(S100,Trigger),"")</f>
        <v/>
      </c>
      <c r="Y100" s="81" t="e">
        <v>#N/A</v>
      </c>
    </row>
    <row r="101" spans="1:25" x14ac:dyDescent="0.2">
      <c r="A101" s="62" t="s">
        <v>156</v>
      </c>
      <c r="B101" s="63" t="s">
        <v>154</v>
      </c>
      <c r="C101" s="64">
        <v>1</v>
      </c>
      <c r="D101" s="65" t="str">
        <f t="shared" si="16"/>
        <v>Aonia</v>
      </c>
      <c r="E101" s="66" t="str">
        <f t="shared" si="19"/>
        <v>AUDMTOIS57M_Quote</v>
      </c>
      <c r="F101" s="67"/>
      <c r="H101" s="10" t="str">
        <f t="shared" si="18"/>
        <v>MTOIS</v>
      </c>
      <c r="I101" s="98" t="str">
        <f t="shared" si="14"/>
        <v>obj_00229#0001</v>
      </c>
      <c r="J101" s="144" t="str">
        <f>IFERROR(_xll.qlRateHelperQuoteName(I101,Trigger),"--")</f>
        <v>AUDMTOIS8Y_Quote</v>
      </c>
      <c r="K101" s="102">
        <f>IFERROR(_xll.qlRateHelperQuoteValue($I101,Trigger),"--")</f>
        <v>2.5750000000000002E-2</v>
      </c>
      <c r="L101" s="101" t="b">
        <v>1</v>
      </c>
      <c r="M101" s="98">
        <v>50</v>
      </c>
      <c r="N101" s="98">
        <v>1</v>
      </c>
      <c r="O101" s="103">
        <f>IFERROR(_xll.qlRateHelperEarliestDate(I101,Trigger),"--")</f>
        <v>42356</v>
      </c>
      <c r="P101" s="103">
        <f>IFERROR(_xll.qlRateHelperPillarDate(I101,Trigger),"--")</f>
        <v>45278</v>
      </c>
      <c r="R101" s="4" t="str">
        <f t="shared" si="17"/>
        <v/>
      </c>
      <c r="S101" s="4" t="e">
        <v>#N/A</v>
      </c>
      <c r="T101" s="4" t="str">
        <f>IFERROR(_xll.qlRateHelperQuoteName(S101,Trigger),"")</f>
        <v/>
      </c>
      <c r="U101" s="73" t="str">
        <f>IFERROR(_xll.qlRateHelperRate(S101,Trigger),"")</f>
        <v/>
      </c>
      <c r="V101" s="108" t="str">
        <f>IF(ISERROR(_xll.qlSwapRateHelperSpread($S101)),IF(ISERROR(_xll.qlFuturesRateHelperConvexityAdjustment($S101)),"",_xll.qlFuturesRateHelperConvexityAdjustment($S101)),_xll.qlSwapRateHelperSpread($S101))</f>
        <v/>
      </c>
      <c r="W101" s="5" t="str">
        <f>IFERROR(_xll.qlRateHelperEarliestDate(S101,Trigger),"")</f>
        <v/>
      </c>
      <c r="X101" s="5" t="str">
        <f>IFERROR(_xll.qlRateHelperPillarDate(S101,Trigger),"")</f>
        <v/>
      </c>
      <c r="Y101" s="81" t="e">
        <v>#N/A</v>
      </c>
    </row>
    <row r="102" spans="1:25" x14ac:dyDescent="0.2">
      <c r="A102" s="62" t="s">
        <v>156</v>
      </c>
      <c r="B102" s="63" t="s">
        <v>55</v>
      </c>
      <c r="C102" s="64">
        <v>1</v>
      </c>
      <c r="D102" s="65" t="str">
        <f t="shared" si="16"/>
        <v>Aonia</v>
      </c>
      <c r="E102" s="66" t="str">
        <f t="shared" si="19"/>
        <v>AUDMTOIS5Y_Quote</v>
      </c>
      <c r="F102" s="67" t="str">
        <f>_xll.qlOISRateHelper(,C102,B102,E102,$D102,,Permanent,Trigger,ObjectOverwrite)</f>
        <v>obj_00230#0001</v>
      </c>
      <c r="H102" s="10" t="str">
        <f t="shared" si="18"/>
        <v>MTOIS</v>
      </c>
      <c r="I102" s="98" t="str">
        <f t="shared" si="14"/>
        <v>obj_0022f#0001</v>
      </c>
      <c r="J102" s="144" t="str">
        <f>IFERROR(_xll.qlRateHelperQuoteName(I102,Trigger),"--")</f>
        <v>AUDMTOIS9Y_Quote</v>
      </c>
      <c r="K102" s="102">
        <f>IFERROR(_xll.qlRateHelperQuoteValue($I102,Trigger),"--")</f>
        <v>2.6600000000000002E-2</v>
      </c>
      <c r="L102" s="101" t="b">
        <v>1</v>
      </c>
      <c r="M102" s="98">
        <v>50</v>
      </c>
      <c r="N102" s="98">
        <v>1</v>
      </c>
      <c r="O102" s="103">
        <f>IFERROR(_xll.qlRateHelperEarliestDate(I102,Trigger),"--")</f>
        <v>42356</v>
      </c>
      <c r="P102" s="103">
        <f>IFERROR(_xll.qlRateHelperPillarDate(I102,Trigger),"--")</f>
        <v>45644</v>
      </c>
      <c r="R102" s="4" t="str">
        <f t="shared" si="17"/>
        <v/>
      </c>
      <c r="S102" s="4" t="e">
        <v>#N/A</v>
      </c>
      <c r="T102" s="4" t="str">
        <f>IFERROR(_xll.qlRateHelperQuoteName(S102,Trigger),"")</f>
        <v/>
      </c>
      <c r="U102" s="73" t="str">
        <f>IFERROR(_xll.qlRateHelperRate(S102,Trigger),"")</f>
        <v/>
      </c>
      <c r="V102" s="108" t="str">
        <f>IF(ISERROR(_xll.qlSwapRateHelperSpread($S102)),IF(ISERROR(_xll.qlFuturesRateHelperConvexityAdjustment($S102)),"",_xll.qlFuturesRateHelperConvexityAdjustment($S102)),_xll.qlSwapRateHelperSpread($S102))</f>
        <v/>
      </c>
      <c r="W102" s="5" t="str">
        <f>IFERROR(_xll.qlRateHelperEarliestDate(S102,Trigger),"")</f>
        <v/>
      </c>
      <c r="X102" s="5" t="str">
        <f>IFERROR(_xll.qlRateHelperPillarDate(S102,Trigger),"")</f>
        <v/>
      </c>
      <c r="Y102" s="81" t="e">
        <v>#N/A</v>
      </c>
    </row>
    <row r="103" spans="1:25" x14ac:dyDescent="0.2">
      <c r="A103" s="62" t="s">
        <v>156</v>
      </c>
      <c r="B103" s="63" t="s">
        <v>56</v>
      </c>
      <c r="C103" s="64">
        <v>1</v>
      </c>
      <c r="D103" s="65" t="str">
        <f t="shared" si="16"/>
        <v>Aonia</v>
      </c>
      <c r="E103" s="66" t="str">
        <f t="shared" si="19"/>
        <v>AUDMTOIS6Y_Quote</v>
      </c>
      <c r="F103" s="67" t="str">
        <f>_xll.qlOISRateHelper(,C103,B103,E103,$D103,,Permanent,Trigger,ObjectOverwrite)</f>
        <v>obj_00227#0001</v>
      </c>
      <c r="H103" s="10" t="str">
        <f t="shared" si="18"/>
        <v>MTOIS</v>
      </c>
      <c r="I103" s="98" t="str">
        <f t="shared" si="14"/>
        <v>obj_00225#0001</v>
      </c>
      <c r="J103" s="144" t="str">
        <f>IFERROR(_xll.qlRateHelperQuoteName(I103,Trigger),"--")</f>
        <v>AUDMTOIS10Y_Quote</v>
      </c>
      <c r="K103" s="102">
        <f>IFERROR(_xll.qlRateHelperQuoteValue($I103,Trigger),"--")</f>
        <v>2.743E-2</v>
      </c>
      <c r="L103" s="101" t="b">
        <v>1</v>
      </c>
      <c r="M103" s="98">
        <v>50</v>
      </c>
      <c r="N103" s="98">
        <v>1</v>
      </c>
      <c r="O103" s="103">
        <f>IFERROR(_xll.qlRateHelperEarliestDate(I103,Trigger),"--")</f>
        <v>42356</v>
      </c>
      <c r="P103" s="103">
        <f>IFERROR(_xll.qlRateHelperPillarDate(I103,Trigger),"--")</f>
        <v>46009</v>
      </c>
      <c r="R103" s="4" t="str">
        <f t="shared" si="17"/>
        <v/>
      </c>
      <c r="S103" s="4" t="e">
        <v>#N/A</v>
      </c>
      <c r="T103" s="4" t="str">
        <f>IFERROR(_xll.qlRateHelperQuoteName(S103,Trigger),"")</f>
        <v/>
      </c>
      <c r="U103" s="73" t="str">
        <f>IFERROR(_xll.qlRateHelperRate(S103,Trigger),"")</f>
        <v/>
      </c>
      <c r="V103" s="108" t="str">
        <f>IF(ISERROR(_xll.qlSwapRateHelperSpread($S103)),IF(ISERROR(_xll.qlFuturesRateHelperConvexityAdjustment($S103)),"",_xll.qlFuturesRateHelperConvexityAdjustment($S103)),_xll.qlSwapRateHelperSpread($S103))</f>
        <v/>
      </c>
      <c r="W103" s="5" t="str">
        <f>IFERROR(_xll.qlRateHelperEarliestDate(S103,Trigger),"")</f>
        <v/>
      </c>
      <c r="X103" s="5" t="str">
        <f>IFERROR(_xll.qlRateHelperPillarDate(S103,Trigger),"")</f>
        <v/>
      </c>
      <c r="Y103" s="81" t="e">
        <v>#N/A</v>
      </c>
    </row>
    <row r="104" spans="1:25" x14ac:dyDescent="0.2">
      <c r="A104" s="62" t="s">
        <v>156</v>
      </c>
      <c r="B104" s="63" t="s">
        <v>57</v>
      </c>
      <c r="C104" s="64">
        <v>1</v>
      </c>
      <c r="D104" s="65" t="str">
        <f t="shared" si="16"/>
        <v>Aonia</v>
      </c>
      <c r="E104" s="66" t="str">
        <f t="shared" si="19"/>
        <v>AUDMTOIS7Y_Quote</v>
      </c>
      <c r="F104" s="67" t="str">
        <f>_xll.qlOISRateHelper(,C104,B104,E104,$D104,,Permanent,Trigger,ObjectOverwrite)</f>
        <v>obj_0021f#0001</v>
      </c>
      <c r="H104" s="10" t="str">
        <f t="shared" si="18"/>
        <v>MTOIS</v>
      </c>
      <c r="I104" s="98" t="str">
        <f t="shared" si="14"/>
        <v>obj_0022a#0001</v>
      </c>
      <c r="J104" s="144" t="str">
        <f>IFERROR(_xll.qlRateHelperQuoteName(I104,Trigger),"--")</f>
        <v>AUDMTOIS12Y_Quote</v>
      </c>
      <c r="K104" s="102">
        <f>IFERROR(_xll.qlRateHelperQuoteValue($I104,Trigger),"--")</f>
        <v>2.878E-2</v>
      </c>
      <c r="L104" s="101" t="b">
        <v>1</v>
      </c>
      <c r="M104" s="98">
        <v>50</v>
      </c>
      <c r="N104" s="98">
        <v>1</v>
      </c>
      <c r="O104" s="103">
        <f>IFERROR(_xll.qlRateHelperEarliestDate(I104,Trigger),"--")</f>
        <v>42356</v>
      </c>
      <c r="P104" s="103">
        <f>IFERROR(_xll.qlRateHelperPillarDate(I104,Trigger),"--")</f>
        <v>46741</v>
      </c>
      <c r="R104" s="4" t="str">
        <f t="shared" si="17"/>
        <v/>
      </c>
      <c r="S104" s="4" t="e">
        <v>#N/A</v>
      </c>
      <c r="T104" s="4" t="str">
        <f>IFERROR(_xll.qlRateHelperQuoteName(S104,Trigger),"")</f>
        <v/>
      </c>
      <c r="U104" s="73" t="str">
        <f>IFERROR(_xll.qlRateHelperRate(S104,Trigger),"")</f>
        <v/>
      </c>
      <c r="V104" s="108" t="str">
        <f>IF(ISERROR(_xll.qlSwapRateHelperSpread($S104)),IF(ISERROR(_xll.qlFuturesRateHelperConvexityAdjustment($S104)),"",_xll.qlFuturesRateHelperConvexityAdjustment($S104)),_xll.qlSwapRateHelperSpread($S104))</f>
        <v/>
      </c>
      <c r="W104" s="5" t="str">
        <f>IFERROR(_xll.qlRateHelperEarliestDate(S104,Trigger),"")</f>
        <v/>
      </c>
      <c r="X104" s="5" t="str">
        <f>IFERROR(_xll.qlRateHelperPillarDate(S104,Trigger),"")</f>
        <v/>
      </c>
      <c r="Y104" s="81" t="e">
        <v>#N/A</v>
      </c>
    </row>
    <row r="105" spans="1:25" x14ac:dyDescent="0.2">
      <c r="A105" s="62" t="s">
        <v>156</v>
      </c>
      <c r="B105" s="63" t="s">
        <v>58</v>
      </c>
      <c r="C105" s="64">
        <v>1</v>
      </c>
      <c r="D105" s="65" t="str">
        <f t="shared" si="16"/>
        <v>Aonia</v>
      </c>
      <c r="E105" s="66" t="str">
        <f t="shared" si="19"/>
        <v>AUDMTOIS8Y_Quote</v>
      </c>
      <c r="F105" s="67" t="str">
        <f>_xll.qlOISRateHelper(,C105,B105,E105,$D105,,Permanent,Trigger,ObjectOverwrite)</f>
        <v>obj_00229#0001</v>
      </c>
      <c r="H105" s="10" t="str">
        <f t="shared" si="18"/>
        <v>MTOIS</v>
      </c>
      <c r="I105" s="98" t="str">
        <f t="shared" si="14"/>
        <v>obj_0021c#0001</v>
      </c>
      <c r="J105" s="144" t="str">
        <f>IFERROR(_xll.qlRateHelperQuoteName(I105,Trigger),"--")</f>
        <v>AUDMTOIS15Y_Quote</v>
      </c>
      <c r="K105" s="102">
        <f>IFERROR(_xll.qlRateHelperQuoteValue($I105,Trigger),"--")</f>
        <v>3.0249999999999999E-2</v>
      </c>
      <c r="L105" s="101" t="b">
        <v>1</v>
      </c>
      <c r="M105" s="98">
        <v>50</v>
      </c>
      <c r="N105" s="98">
        <v>1</v>
      </c>
      <c r="O105" s="103">
        <f>IFERROR(_xll.qlRateHelperEarliestDate(I105,Trigger),"--")</f>
        <v>42356</v>
      </c>
      <c r="P105" s="103">
        <f>IFERROR(_xll.qlRateHelperPillarDate(I105,Trigger),"--")</f>
        <v>47835</v>
      </c>
      <c r="R105" s="4" t="str">
        <f t="shared" si="17"/>
        <v/>
      </c>
      <c r="S105" s="4" t="e">
        <v>#N/A</v>
      </c>
      <c r="T105" s="4" t="str">
        <f>IFERROR(_xll.qlRateHelperQuoteName(S105,Trigger),"")</f>
        <v/>
      </c>
      <c r="U105" s="73" t="str">
        <f>IFERROR(_xll.qlRateHelperRate(S105,Trigger),"")</f>
        <v/>
      </c>
      <c r="V105" s="108" t="str">
        <f>IF(ISERROR(_xll.qlSwapRateHelperSpread($S105)),IF(ISERROR(_xll.qlFuturesRateHelperConvexityAdjustment($S105)),"",_xll.qlFuturesRateHelperConvexityAdjustment($S105)),_xll.qlSwapRateHelperSpread($S105))</f>
        <v/>
      </c>
      <c r="W105" s="5" t="str">
        <f>IFERROR(_xll.qlRateHelperEarliestDate(S105,Trigger),"")</f>
        <v/>
      </c>
      <c r="X105" s="5" t="str">
        <f>IFERROR(_xll.qlRateHelperPillarDate(S105,Trigger),"")</f>
        <v/>
      </c>
      <c r="Y105" s="81" t="e">
        <v>#N/A</v>
      </c>
    </row>
    <row r="106" spans="1:25" x14ac:dyDescent="0.2">
      <c r="A106" s="62" t="s">
        <v>156</v>
      </c>
      <c r="B106" s="63" t="s">
        <v>59</v>
      </c>
      <c r="C106" s="64">
        <v>1</v>
      </c>
      <c r="D106" s="65" t="str">
        <f t="shared" si="16"/>
        <v>Aonia</v>
      </c>
      <c r="E106" s="66" t="str">
        <f t="shared" si="19"/>
        <v>AUDMTOIS9Y_Quote</v>
      </c>
      <c r="F106" s="67" t="str">
        <f>_xll.qlOISRateHelper(,C106,B106,E106,$D106,,Permanent,Trigger,ObjectOverwrite)</f>
        <v>obj_0022f#0001</v>
      </c>
      <c r="H106" s="10" t="str">
        <f t="shared" si="18"/>
        <v>MTOIS</v>
      </c>
      <c r="I106" s="98" t="str">
        <f t="shared" si="14"/>
        <v>obj_0022d#0001</v>
      </c>
      <c r="J106" s="144" t="str">
        <f>IFERROR(_xll.qlRateHelperQuoteName(I106,Trigger),"--")</f>
        <v>AUDMTOIS20Y_Quote</v>
      </c>
      <c r="K106" s="102">
        <f>IFERROR(_xll.qlRateHelperQuoteValue($I106,Trigger),"--")</f>
        <v>3.1850000000000003E-2</v>
      </c>
      <c r="L106" s="101" t="b">
        <v>1</v>
      </c>
      <c r="M106" s="98">
        <v>50</v>
      </c>
      <c r="N106" s="98">
        <v>1</v>
      </c>
      <c r="O106" s="103">
        <f>IFERROR(_xll.qlRateHelperEarliestDate(I106,Trigger),"--")</f>
        <v>42356</v>
      </c>
      <c r="P106" s="103">
        <f>IFERROR(_xll.qlRateHelperPillarDate(I106,Trigger),"--")</f>
        <v>49661</v>
      </c>
      <c r="R106" s="4" t="str">
        <f t="shared" si="17"/>
        <v/>
      </c>
      <c r="S106" s="4" t="e">
        <v>#N/A</v>
      </c>
      <c r="T106" s="4" t="str">
        <f>IFERROR(_xll.qlRateHelperQuoteName(S106,Trigger),"")</f>
        <v/>
      </c>
      <c r="U106" s="73" t="str">
        <f>IFERROR(_xll.qlRateHelperRate(S106,Trigger),"")</f>
        <v/>
      </c>
      <c r="V106" s="108" t="str">
        <f>IF(ISERROR(_xll.qlSwapRateHelperSpread($S106)),IF(ISERROR(_xll.qlFuturesRateHelperConvexityAdjustment($S106)),"",_xll.qlFuturesRateHelperConvexityAdjustment($S106)),_xll.qlSwapRateHelperSpread($S106))</f>
        <v/>
      </c>
      <c r="W106" s="5" t="str">
        <f>IFERROR(_xll.qlRateHelperEarliestDate(S106,Trigger),"")</f>
        <v/>
      </c>
      <c r="X106" s="5" t="str">
        <f>IFERROR(_xll.qlRateHelperPillarDate(S106,Trigger),"")</f>
        <v/>
      </c>
      <c r="Y106" s="81" t="e">
        <v>#N/A</v>
      </c>
    </row>
    <row r="107" spans="1:25" x14ac:dyDescent="0.2">
      <c r="A107" s="62" t="s">
        <v>156</v>
      </c>
      <c r="B107" s="63" t="s">
        <v>60</v>
      </c>
      <c r="C107" s="64">
        <v>1</v>
      </c>
      <c r="D107" s="65" t="str">
        <f t="shared" si="16"/>
        <v>Aonia</v>
      </c>
      <c r="E107" s="66" t="str">
        <f t="shared" si="19"/>
        <v>AUDMTOIS10Y_Quote</v>
      </c>
      <c r="F107" s="67" t="str">
        <f>_xll.qlOISRateHelper(,C107,B107,E107,$D107,,Permanent,Trigger,ObjectOverwrite)</f>
        <v>obj_00225#0001</v>
      </c>
      <c r="H107" s="10" t="str">
        <f t="shared" si="18"/>
        <v>MTOIS</v>
      </c>
      <c r="I107" s="98" t="str">
        <f t="shared" si="14"/>
        <v>obj_00226#0001</v>
      </c>
      <c r="J107" s="144" t="str">
        <f>IFERROR(_xll.qlRateHelperQuoteName(I107,Trigger),"--")</f>
        <v>AUDMTOIS25Y_Quote</v>
      </c>
      <c r="K107" s="102">
        <f>IFERROR(_xll.qlRateHelperQuoteValue($I107,Trigger),"--")</f>
        <v>3.2329999999999998E-2</v>
      </c>
      <c r="L107" s="101" t="b">
        <v>1</v>
      </c>
      <c r="M107" s="98">
        <v>50</v>
      </c>
      <c r="N107" s="98">
        <v>1</v>
      </c>
      <c r="O107" s="103">
        <f>IFERROR(_xll.qlRateHelperEarliestDate(I107,Trigger),"--")</f>
        <v>42356</v>
      </c>
      <c r="P107" s="103">
        <f>IFERROR(_xll.qlRateHelperPillarDate(I107,Trigger),"--")</f>
        <v>51488</v>
      </c>
      <c r="R107" s="4" t="str">
        <f t="shared" si="17"/>
        <v/>
      </c>
      <c r="S107" s="4" t="e">
        <v>#N/A</v>
      </c>
      <c r="T107" s="4" t="str">
        <f>IFERROR(_xll.qlRateHelperQuoteName(S107,Trigger),"")</f>
        <v/>
      </c>
      <c r="U107" s="73" t="str">
        <f>IFERROR(_xll.qlRateHelperRate(S107,Trigger),"")</f>
        <v/>
      </c>
      <c r="V107" s="108" t="str">
        <f>IF(ISERROR(_xll.qlSwapRateHelperSpread($S107)),IF(ISERROR(_xll.qlFuturesRateHelperConvexityAdjustment($S107)),"",_xll.qlFuturesRateHelperConvexityAdjustment($S107)),_xll.qlSwapRateHelperSpread($S107))</f>
        <v/>
      </c>
      <c r="W107" s="5" t="str">
        <f>IFERROR(_xll.qlRateHelperEarliestDate(S107,Trigger),"")</f>
        <v/>
      </c>
      <c r="X107" s="5" t="str">
        <f>IFERROR(_xll.qlRateHelperPillarDate(S107,Trigger),"")</f>
        <v/>
      </c>
      <c r="Y107" s="81" t="e">
        <v>#N/A</v>
      </c>
    </row>
    <row r="108" spans="1:25" x14ac:dyDescent="0.2">
      <c r="A108" s="62" t="s">
        <v>156</v>
      </c>
      <c r="B108" s="63" t="s">
        <v>61</v>
      </c>
      <c r="C108" s="64">
        <v>1</v>
      </c>
      <c r="D108" s="65" t="str">
        <f t="shared" si="16"/>
        <v>Aonia</v>
      </c>
      <c r="E108" s="66" t="str">
        <f t="shared" si="19"/>
        <v>AUDMTOIS12Y_Quote</v>
      </c>
      <c r="F108" s="67" t="str">
        <f>_xll.qlOISRateHelper(,C108,B108,E108,$D108,,Permanent,Trigger,ObjectOverwrite)</f>
        <v>obj_0022a#0001</v>
      </c>
      <c r="H108" s="10" t="str">
        <f t="shared" si="18"/>
        <v>MTOIS</v>
      </c>
      <c r="I108" s="98" t="str">
        <f t="shared" si="14"/>
        <v>--</v>
      </c>
      <c r="J108" s="144" t="str">
        <f>IFERROR(_xll.qlRateHelperQuoteName(I108,Trigger),"--")</f>
        <v>--</v>
      </c>
      <c r="K108" s="102" t="str">
        <f>IFERROR(_xll.qlRateHelperQuoteValue($I108,Trigger),"--")</f>
        <v>--</v>
      </c>
      <c r="L108" s="101" t="b">
        <v>0</v>
      </c>
      <c r="M108" s="98">
        <v>50</v>
      </c>
      <c r="N108" s="98">
        <v>1</v>
      </c>
      <c r="O108" s="103" t="str">
        <f>IFERROR(_xll.qlRateHelperEarliestDate(I108,Trigger),"--")</f>
        <v>--</v>
      </c>
      <c r="P108" s="103" t="str">
        <f>IFERROR(_xll.qlRateHelperPillarDate(I108,Trigger),"--")</f>
        <v>--</v>
      </c>
      <c r="R108" s="4" t="str">
        <f t="shared" si="17"/>
        <v/>
      </c>
      <c r="S108" s="4" t="e">
        <v>#N/A</v>
      </c>
      <c r="T108" s="4" t="str">
        <f>IFERROR(_xll.qlRateHelperQuoteName(S108,Trigger),"")</f>
        <v/>
      </c>
      <c r="U108" s="73" t="str">
        <f>IFERROR(_xll.qlRateHelperRate(S108,Trigger),"")</f>
        <v/>
      </c>
      <c r="V108" s="108" t="str">
        <f>IF(ISERROR(_xll.qlSwapRateHelperSpread($S108)),IF(ISERROR(_xll.qlFuturesRateHelperConvexityAdjustment($S108)),"",_xll.qlFuturesRateHelperConvexityAdjustment($S108)),_xll.qlSwapRateHelperSpread($S108))</f>
        <v/>
      </c>
      <c r="W108" s="5" t="str">
        <f>IFERROR(_xll.qlRateHelperEarliestDate(S108,Trigger),"")</f>
        <v/>
      </c>
      <c r="X108" s="5" t="str">
        <f>IFERROR(_xll.qlRateHelperPillarDate(S108,Trigger),"")</f>
        <v/>
      </c>
      <c r="Y108" s="81" t="e">
        <v>#N/A</v>
      </c>
    </row>
    <row r="109" spans="1:25" x14ac:dyDescent="0.2">
      <c r="A109" s="62" t="s">
        <v>156</v>
      </c>
      <c r="B109" s="63" t="s">
        <v>62</v>
      </c>
      <c r="C109" s="64">
        <v>1</v>
      </c>
      <c r="D109" s="65" t="str">
        <f t="shared" si="16"/>
        <v>Aonia</v>
      </c>
      <c r="E109" s="66" t="str">
        <f t="shared" si="19"/>
        <v>AUDMTOIS15Y_Quote</v>
      </c>
      <c r="F109" s="67" t="str">
        <f>_xll.qlOISRateHelper(,C109,B109,E109,$D109,,Permanent,Trigger,ObjectOverwrite)</f>
        <v>obj_0021c#0001</v>
      </c>
      <c r="H109" s="10" t="str">
        <f t="shared" si="18"/>
        <v>MTOIS</v>
      </c>
      <c r="I109" s="98" t="str">
        <f t="shared" si="14"/>
        <v>obj_00219#0001</v>
      </c>
      <c r="J109" s="144" t="str">
        <f>IFERROR(_xll.qlRateHelperQuoteName(I109,Trigger),"--")</f>
        <v>AUDMTOIS30Y_Quote</v>
      </c>
      <c r="K109" s="102">
        <f>IFERROR(_xll.qlRateHelperQuoteValue($I109,Trigger),"--")</f>
        <v>3.2199999999999999E-2</v>
      </c>
      <c r="L109" s="101" t="b">
        <v>1</v>
      </c>
      <c r="M109" s="98">
        <v>50</v>
      </c>
      <c r="N109" s="98">
        <v>1</v>
      </c>
      <c r="O109" s="103">
        <f>IFERROR(_xll.qlRateHelperEarliestDate(I109,Trigger),"--")</f>
        <v>42356</v>
      </c>
      <c r="P109" s="103">
        <f>IFERROR(_xll.qlRateHelperPillarDate(I109,Trigger),"--")</f>
        <v>53314</v>
      </c>
      <c r="R109" s="4" t="str">
        <f t="shared" si="17"/>
        <v/>
      </c>
      <c r="S109" s="4" t="e">
        <v>#N/A</v>
      </c>
      <c r="T109" s="4" t="str">
        <f>IFERROR(_xll.qlRateHelperQuoteName(S109,Trigger),"")</f>
        <v/>
      </c>
      <c r="U109" s="73" t="str">
        <f>IFERROR(_xll.qlRateHelperRate(S109,Trigger),"")</f>
        <v/>
      </c>
      <c r="V109" s="108" t="str">
        <f>IF(ISERROR(_xll.qlSwapRateHelperSpread($S109)),IF(ISERROR(_xll.qlFuturesRateHelperConvexityAdjustment($S109)),"",_xll.qlFuturesRateHelperConvexityAdjustment($S109)),_xll.qlSwapRateHelperSpread($S109))</f>
        <v/>
      </c>
      <c r="W109" s="5" t="str">
        <f>IFERROR(_xll.qlRateHelperEarliestDate(S109,Trigger),"")</f>
        <v/>
      </c>
      <c r="X109" s="5" t="str">
        <f>IFERROR(_xll.qlRateHelperPillarDate(S109,Trigger),"")</f>
        <v/>
      </c>
      <c r="Y109" s="81" t="e">
        <v>#N/A</v>
      </c>
    </row>
    <row r="110" spans="1:25" x14ac:dyDescent="0.2">
      <c r="A110" s="62" t="s">
        <v>156</v>
      </c>
      <c r="B110" s="63" t="s">
        <v>63</v>
      </c>
      <c r="C110" s="64">
        <v>1</v>
      </c>
      <c r="D110" s="65" t="str">
        <f t="shared" si="16"/>
        <v>Aonia</v>
      </c>
      <c r="E110" s="66" t="str">
        <f t="shared" si="19"/>
        <v>AUDMTOIS20Y_Quote</v>
      </c>
      <c r="F110" s="67" t="str">
        <f>_xll.qlOISRateHelper(,C110,B110,E110,$D110,,Permanent,Trigger,ObjectOverwrite)</f>
        <v>obj_0022d#0001</v>
      </c>
      <c r="H110" s="10" t="str">
        <f t="shared" si="18"/>
        <v>MTOIS</v>
      </c>
      <c r="I110" s="98" t="str">
        <f t="shared" si="14"/>
        <v>--</v>
      </c>
      <c r="J110" s="144" t="str">
        <f>IFERROR(_xll.qlRateHelperQuoteName(I110,Trigger),"--")</f>
        <v>--</v>
      </c>
      <c r="K110" s="102" t="str">
        <f>IFERROR(_xll.qlRateHelperQuoteValue($I110,Trigger),"--")</f>
        <v>--</v>
      </c>
      <c r="L110" s="101" t="b">
        <v>0</v>
      </c>
      <c r="M110" s="98">
        <v>50</v>
      </c>
      <c r="N110" s="98">
        <v>1</v>
      </c>
      <c r="O110" s="103" t="str">
        <f>IFERROR(_xll.qlRateHelperEarliestDate(I110,Trigger),"--")</f>
        <v>--</v>
      </c>
      <c r="P110" s="103" t="str">
        <f>IFERROR(_xll.qlRateHelperPillarDate(I110,Trigger),"--")</f>
        <v>--</v>
      </c>
      <c r="R110" s="4" t="str">
        <f t="shared" si="17"/>
        <v/>
      </c>
      <c r="S110" s="4" t="e">
        <v>#N/A</v>
      </c>
      <c r="T110" s="4" t="str">
        <f>IFERROR(_xll.qlRateHelperQuoteName(S110,Trigger),"")</f>
        <v/>
      </c>
      <c r="U110" s="73" t="str">
        <f>IFERROR(_xll.qlRateHelperRate(S110,Trigger),"")</f>
        <v/>
      </c>
      <c r="V110" s="108" t="str">
        <f>IF(ISERROR(_xll.qlSwapRateHelperSpread($S110)),IF(ISERROR(_xll.qlFuturesRateHelperConvexityAdjustment($S110)),"",_xll.qlFuturesRateHelperConvexityAdjustment($S110)),_xll.qlSwapRateHelperSpread($S110))</f>
        <v/>
      </c>
      <c r="W110" s="5" t="str">
        <f>IFERROR(_xll.qlRateHelperEarliestDate(S110,Trigger),"")</f>
        <v/>
      </c>
      <c r="X110" s="5" t="str">
        <f>IFERROR(_xll.qlRateHelperPillarDate(S110,Trigger),"")</f>
        <v/>
      </c>
      <c r="Y110" s="81" t="e">
        <v>#N/A</v>
      </c>
    </row>
    <row r="111" spans="1:25" x14ac:dyDescent="0.2">
      <c r="A111" s="62" t="s">
        <v>156</v>
      </c>
      <c r="B111" s="63" t="s">
        <v>64</v>
      </c>
      <c r="C111" s="64">
        <v>1</v>
      </c>
      <c r="D111" s="65" t="str">
        <f t="shared" si="16"/>
        <v>Aonia</v>
      </c>
      <c r="E111" s="66" t="str">
        <f t="shared" si="19"/>
        <v>AUDMTOIS25Y_Quote</v>
      </c>
      <c r="F111" s="67" t="str">
        <f>_xll.qlOISRateHelper(,C111,B111,E111,$D111,,Permanent,Trigger,ObjectOverwrite)</f>
        <v>obj_00226#0001</v>
      </c>
      <c r="H111" s="10" t="str">
        <f t="shared" si="18"/>
        <v>MTOIS</v>
      </c>
      <c r="I111" s="98" t="str">
        <f t="shared" si="14"/>
        <v>--</v>
      </c>
      <c r="J111" s="144" t="str">
        <f>IFERROR(_xll.qlRateHelperQuoteName(I111,Trigger),"--")</f>
        <v>--</v>
      </c>
      <c r="K111" s="102" t="str">
        <f>IFERROR(_xll.qlRateHelperQuoteValue($I111,Trigger),"--")</f>
        <v>--</v>
      </c>
      <c r="L111" s="101" t="b">
        <v>0</v>
      </c>
      <c r="M111" s="98">
        <v>50</v>
      </c>
      <c r="N111" s="98">
        <v>1</v>
      </c>
      <c r="O111" s="103" t="str">
        <f>IFERROR(_xll.qlRateHelperEarliestDate(I111,Trigger),"--")</f>
        <v>--</v>
      </c>
      <c r="P111" s="103" t="str">
        <f>IFERROR(_xll.qlRateHelperPillarDate(I111,Trigger),"--")</f>
        <v>--</v>
      </c>
      <c r="R111" s="4" t="str">
        <f t="shared" si="17"/>
        <v/>
      </c>
      <c r="S111" s="4" t="e">
        <v>#N/A</v>
      </c>
      <c r="T111" s="4" t="str">
        <f>IFERROR(_xll.qlRateHelperQuoteName(S111,Trigger),"")</f>
        <v/>
      </c>
      <c r="U111" s="73" t="str">
        <f>IFERROR(_xll.qlRateHelperRate(S111,Trigger),"")</f>
        <v/>
      </c>
      <c r="V111" s="108" t="str">
        <f>IF(ISERROR(_xll.qlSwapRateHelperSpread($S111)),IF(ISERROR(_xll.qlFuturesRateHelperConvexityAdjustment($S111)),"",_xll.qlFuturesRateHelperConvexityAdjustment($S111)),_xll.qlSwapRateHelperSpread($S111))</f>
        <v/>
      </c>
      <c r="W111" s="5" t="str">
        <f>IFERROR(_xll.qlRateHelperEarliestDate(S111,Trigger),"")</f>
        <v/>
      </c>
      <c r="X111" s="5" t="str">
        <f>IFERROR(_xll.qlRateHelperPillarDate(S111,Trigger),"")</f>
        <v/>
      </c>
      <c r="Y111" s="81" t="e">
        <v>#N/A</v>
      </c>
    </row>
    <row r="112" spans="1:25" x14ac:dyDescent="0.2">
      <c r="A112" s="62" t="s">
        <v>156</v>
      </c>
      <c r="B112" s="63" t="s">
        <v>65</v>
      </c>
      <c r="C112" s="64">
        <v>1</v>
      </c>
      <c r="D112" s="65" t="str">
        <f t="shared" si="16"/>
        <v>Aonia</v>
      </c>
      <c r="E112" s="66" t="str">
        <f t="shared" si="19"/>
        <v>AUDMTOIS27Y_Quote</v>
      </c>
      <c r="F112" s="67"/>
      <c r="H112" s="10" t="str">
        <f t="shared" si="18"/>
        <v>MTOIS</v>
      </c>
      <c r="I112" s="98" t="str">
        <f t="shared" si="14"/>
        <v>--</v>
      </c>
      <c r="J112" s="144" t="str">
        <f>IFERROR(_xll.qlRateHelperQuoteName(I112,Trigger),"--")</f>
        <v>--</v>
      </c>
      <c r="K112" s="102" t="str">
        <f>IFERROR(_xll.qlRateHelperQuoteValue($I112,Trigger),"--")</f>
        <v>--</v>
      </c>
      <c r="L112" s="101" t="b">
        <v>0</v>
      </c>
      <c r="M112" s="98">
        <v>50</v>
      </c>
      <c r="N112" s="98">
        <v>1</v>
      </c>
      <c r="O112" s="103" t="str">
        <f>IFERROR(_xll.qlRateHelperEarliestDate(I112,Trigger),"--")</f>
        <v>--</v>
      </c>
      <c r="P112" s="103" t="str">
        <f>IFERROR(_xll.qlRateHelperPillarDate(I112,Trigger),"--")</f>
        <v>--</v>
      </c>
      <c r="R112" s="4" t="str">
        <f t="shared" si="17"/>
        <v/>
      </c>
      <c r="S112" s="4" t="e">
        <v>#N/A</v>
      </c>
      <c r="T112" s="4" t="str">
        <f>IFERROR(_xll.qlRateHelperQuoteName(S112,Trigger),"")</f>
        <v/>
      </c>
      <c r="U112" s="73" t="str">
        <f>IFERROR(_xll.qlRateHelperRate(S112,Trigger),"")</f>
        <v/>
      </c>
      <c r="V112" s="108" t="str">
        <f>IF(ISERROR(_xll.qlSwapRateHelperSpread($S112)),IF(ISERROR(_xll.qlFuturesRateHelperConvexityAdjustment($S112)),"",_xll.qlFuturesRateHelperConvexityAdjustment($S112)),_xll.qlSwapRateHelperSpread($S112))</f>
        <v/>
      </c>
      <c r="W112" s="5" t="str">
        <f>IFERROR(_xll.qlRateHelperEarliestDate(S112,Trigger),"")</f>
        <v/>
      </c>
      <c r="X112" s="5" t="str">
        <f>IFERROR(_xll.qlRateHelperPillarDate(S112,Trigger),"")</f>
        <v/>
      </c>
      <c r="Y112" s="81" t="e">
        <v>#N/A</v>
      </c>
    </row>
    <row r="113" spans="1:25" x14ac:dyDescent="0.2">
      <c r="A113" s="62" t="s">
        <v>156</v>
      </c>
      <c r="B113" s="63" t="s">
        <v>66</v>
      </c>
      <c r="C113" s="64">
        <v>1</v>
      </c>
      <c r="D113" s="65" t="str">
        <f t="shared" si="16"/>
        <v>Aonia</v>
      </c>
      <c r="E113" s="66" t="str">
        <f t="shared" si="19"/>
        <v>AUDMTOIS30Y_Quote</v>
      </c>
      <c r="F113" s="67" t="str">
        <f>_xll.qlOISRateHelper(,C113,B113,E113,$D113,,Permanent,Trigger,ObjectOverwrite)</f>
        <v>obj_00219#0001</v>
      </c>
      <c r="H113" s="11" t="str">
        <f t="shared" si="18"/>
        <v>MTOIS</v>
      </c>
      <c r="I113" s="99" t="str">
        <f t="shared" si="14"/>
        <v>--</v>
      </c>
      <c r="J113" s="145" t="str">
        <f>IFERROR(_xll.qlRateHelperQuoteName(I113,Trigger),"--")</f>
        <v>--</v>
      </c>
      <c r="K113" s="105" t="str">
        <f>IFERROR(_xll.qlRateHelperQuoteValue($I113,Trigger),"--")</f>
        <v>--</v>
      </c>
      <c r="L113" s="104" t="b">
        <v>0</v>
      </c>
      <c r="M113" s="99">
        <v>50</v>
      </c>
      <c r="N113" s="99">
        <v>1</v>
      </c>
      <c r="O113" s="106" t="str">
        <f>IFERROR(_xll.qlRateHelperEarliestDate(I113,Trigger),"--")</f>
        <v>--</v>
      </c>
      <c r="P113" s="106" t="str">
        <f>IFERROR(_xll.qlRateHelperPillarDate(I113,Trigger),"--")</f>
        <v>--</v>
      </c>
      <c r="R113" s="6" t="str">
        <f t="shared" si="17"/>
        <v/>
      </c>
      <c r="S113" s="6" t="e">
        <v>#N/A</v>
      </c>
      <c r="T113" s="6" t="str">
        <f>IFERROR(_xll.qlRateHelperQuoteName(S113,Trigger),"")</f>
        <v/>
      </c>
      <c r="U113" s="83" t="str">
        <f>IFERROR(_xll.qlRateHelperRate(S113,Trigger),"")</f>
        <v/>
      </c>
      <c r="V113" s="109" t="str">
        <f>IF(ISERROR(_xll.qlSwapRateHelperSpread($S113)),IF(ISERROR(_xll.qlFuturesRateHelperConvexityAdjustment($S113)),"",_xll.qlFuturesRateHelperConvexityAdjustment($S113)),_xll.qlSwapRateHelperSpread($S113))</f>
        <v/>
      </c>
      <c r="W113" s="12" t="str">
        <f>IFERROR(_xll.qlRateHelperEarliestDate(S113,Trigger),"")</f>
        <v/>
      </c>
      <c r="X113" s="12" t="str">
        <f>IFERROR(_xll.qlRateHelperPillarDate(S113,Trigger),"")</f>
        <v/>
      </c>
      <c r="Y113" s="82" t="e">
        <v>#N/A</v>
      </c>
    </row>
    <row r="114" spans="1:25" x14ac:dyDescent="0.2">
      <c r="A114" s="62" t="s">
        <v>156</v>
      </c>
      <c r="B114" s="63" t="s">
        <v>67</v>
      </c>
      <c r="C114" s="64">
        <v>1</v>
      </c>
      <c r="D114" s="65" t="str">
        <f t="shared" si="16"/>
        <v>Aonia</v>
      </c>
      <c r="E114" s="66" t="str">
        <f t="shared" si="19"/>
        <v>AUDMTOIS35Y_Quote</v>
      </c>
      <c r="F114" s="67"/>
    </row>
    <row r="115" spans="1:25" x14ac:dyDescent="0.2">
      <c r="A115" s="62" t="s">
        <v>156</v>
      </c>
      <c r="B115" s="63" t="s">
        <v>68</v>
      </c>
      <c r="C115" s="64">
        <v>1</v>
      </c>
      <c r="D115" s="65" t="str">
        <f t="shared" si="16"/>
        <v>Aonia</v>
      </c>
      <c r="E115" s="66" t="str">
        <f t="shared" si="19"/>
        <v>AUDMTOIS40Y_Quote</v>
      </c>
      <c r="F115" s="67"/>
    </row>
    <row r="116" spans="1:25" x14ac:dyDescent="0.2">
      <c r="A116" s="62" t="s">
        <v>156</v>
      </c>
      <c r="B116" s="63" t="s">
        <v>155</v>
      </c>
      <c r="C116" s="64">
        <v>1</v>
      </c>
      <c r="D116" s="65" t="str">
        <f t="shared" si="16"/>
        <v>Aonia</v>
      </c>
      <c r="E116" s="66" t="str">
        <f t="shared" si="19"/>
        <v>AUDMTOIS45Y_Quote</v>
      </c>
      <c r="F116" s="67"/>
    </row>
    <row r="117" spans="1:25" x14ac:dyDescent="0.2">
      <c r="A117" s="1" t="s">
        <v>156</v>
      </c>
      <c r="B117" s="8" t="s">
        <v>69</v>
      </c>
      <c r="C117" s="7">
        <v>1</v>
      </c>
      <c r="D117" s="9" t="str">
        <f t="shared" si="16"/>
        <v>Aonia</v>
      </c>
      <c r="E117" s="2" t="str">
        <f t="shared" si="19"/>
        <v>AUDMTOIS50Y_Quote</v>
      </c>
      <c r="F117" s="3"/>
    </row>
  </sheetData>
  <dataValidations count="1"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19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9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30.710937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1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"_SYNTH"&amp;$G$1</f>
        <v>_SYNTH3M</v>
      </c>
      <c r="I1" s="191"/>
      <c r="L1" s="70" t="s">
        <v>24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AUD3M</v>
      </c>
      <c r="W1" s="69"/>
      <c r="X1" s="69"/>
      <c r="Y1" s="72"/>
      <c r="Z1" s="72"/>
      <c r="AA1" s="69"/>
      <c r="AB1" s="69"/>
      <c r="AC1" s="76" t="s">
        <v>31</v>
      </c>
    </row>
    <row r="2" spans="1:38" ht="21.75" customHeight="1" x14ac:dyDescent="0.2">
      <c r="A2" s="68" t="s">
        <v>8</v>
      </c>
      <c r="B2" s="68" t="s">
        <v>28</v>
      </c>
      <c r="C2" s="68" t="s">
        <v>94</v>
      </c>
      <c r="D2" s="68" t="s">
        <v>132</v>
      </c>
      <c r="E2" s="68" t="s">
        <v>33</v>
      </c>
      <c r="F2" s="68" t="s">
        <v>118</v>
      </c>
      <c r="G2" s="68" t="s">
        <v>4</v>
      </c>
      <c r="H2" s="68" t="s">
        <v>1</v>
      </c>
      <c r="I2" s="68"/>
      <c r="J2" s="68" t="s">
        <v>24</v>
      </c>
      <c r="L2" s="77" t="s">
        <v>8</v>
      </c>
      <c r="M2" s="77" t="s">
        <v>24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22</v>
      </c>
      <c r="T2" s="77" t="s">
        <v>78</v>
      </c>
      <c r="U2" s="97"/>
      <c r="V2" s="77" t="s">
        <v>8</v>
      </c>
      <c r="W2" s="77" t="s">
        <v>24</v>
      </c>
      <c r="X2" s="77" t="s">
        <v>81</v>
      </c>
      <c r="Y2" s="79" t="s">
        <v>23</v>
      </c>
      <c r="Z2" s="79" t="s">
        <v>86</v>
      </c>
      <c r="AA2" s="77" t="s">
        <v>22</v>
      </c>
      <c r="AB2" s="77" t="s">
        <v>78</v>
      </c>
      <c r="AC2" s="80">
        <f t="array" ref="AC2:AC111">_xll.qlPiecewiseYieldCurveData(YieldCurve_3M,Trigger)</f>
        <v>1</v>
      </c>
      <c r="AD2" s="175"/>
      <c r="AF2" s="176" t="s">
        <v>87</v>
      </c>
      <c r="AG2" s="177"/>
      <c r="AH2" s="177"/>
      <c r="AI2" s="177"/>
      <c r="AJ2" s="178"/>
    </row>
    <row r="3" spans="1:38" ht="11.25" customHeight="1" x14ac:dyDescent="0.2">
      <c r="A3" s="56" t="s">
        <v>26</v>
      </c>
      <c r="B3" s="57" t="s">
        <v>74</v>
      </c>
      <c r="C3" s="59" t="s">
        <v>75</v>
      </c>
      <c r="D3" s="59" t="b">
        <v>1</v>
      </c>
      <c r="E3" s="58" t="s">
        <v>158</v>
      </c>
      <c r="F3" s="59" t="s">
        <v>159</v>
      </c>
      <c r="G3" s="58" t="str">
        <f>_xll.qlIborIndex(,FamilyName,C3,0,Currency,Calendar,E3,D3,F3,,Permanent,Trigger,ObjectOverwrite)</f>
        <v>obj_00220#0001</v>
      </c>
      <c r="H3" s="154" t="str">
        <f t="shared" ref="H3:H9" si="0">Currency&amp;$B3&amp;"D"&amp;$H$1&amp;QuoteSuffix</f>
        <v>AUDSND_SYNTH3M_Quote</v>
      </c>
      <c r="I3" s="128"/>
      <c r="J3" s="61" t="str">
        <f>_xll.qlDepositRateHelper(,H3,G3,Permanent,Trigger,ObjectOverwrite)</f>
        <v>obj_00272#0001</v>
      </c>
      <c r="K3" s="52"/>
      <c r="L3" s="71" t="str">
        <f>A3</f>
        <v>Dp</v>
      </c>
      <c r="M3" s="130" t="str">
        <f>IF(ISBLANK(J3),"--",J3)</f>
        <v>obj_00272#0001</v>
      </c>
      <c r="N3" s="143" t="str">
        <f>IFERROR(_xll.qlRateHelperQuoteName(M3,Trigger),"--")</f>
        <v>AUDSND_SYNTH3M_Quote</v>
      </c>
      <c r="O3" s="132">
        <f>IFERROR(_xll.qlRateHelperQuoteValue($M3,Trigger),"--")</f>
        <v>2.3116000000000001E-2</v>
      </c>
      <c r="P3" s="131" t="b">
        <v>1</v>
      </c>
      <c r="Q3" s="130">
        <v>10</v>
      </c>
      <c r="R3" s="130">
        <v>1</v>
      </c>
      <c r="S3" s="133">
        <f>IFERROR(_xll.qlRateHelperEarliestDate(M3,Trigger),"--")</f>
        <v>42355</v>
      </c>
      <c r="T3" s="133">
        <f>IFERROR(_xll.qlRateHelperPillarDate(M3,Trigger),"--")</f>
        <v>42356</v>
      </c>
      <c r="V3" s="4" t="str">
        <f>IFERROR(INDEX($L$3:$L$111,MATCH(X3,$N$3:$N$111,0),1),"")</f>
        <v>Dp</v>
      </c>
      <c r="W3" s="4" t="str">
        <f t="array" ref="W3:W111">_xll.qlRateHelperSelection(_xll.ohFilter(RateHelpers,IncludeFlag),_xll.ohFilter(Priority,IncludeFlag),$AJ$3,$AJ$4,$AJ$5,$AJ$6,_xll.ohFilter(MinDistance,IncludeFlag),Trigger)</f>
        <v>obj_00272</v>
      </c>
      <c r="X3" s="4" t="str">
        <f>IFERROR(_xll.qlRateHelperQuoteName(W3,Trigger),"")</f>
        <v>AUDSND_SYNTH3M_Quote</v>
      </c>
      <c r="Y3" s="73">
        <f>IFERROR(_xll.qlRateHelperRate(W3,Trigger),"")</f>
        <v>2.3116000000000001E-2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42355</v>
      </c>
      <c r="AB3" s="5">
        <f>IFERROR(_xll.qlRateHelperPillarDate(W3,Trigger),"")</f>
        <v>42356</v>
      </c>
      <c r="AC3" s="81">
        <v>0.99993667250377638</v>
      </c>
      <c r="AD3" s="175"/>
      <c r="AF3" s="111" t="s">
        <v>88</v>
      </c>
      <c r="AJ3" s="112">
        <v>3</v>
      </c>
    </row>
    <row r="4" spans="1:38" ht="11.25" customHeight="1" x14ac:dyDescent="0.2">
      <c r="A4" s="62" t="s">
        <v>26</v>
      </c>
      <c r="B4" s="63" t="s">
        <v>93</v>
      </c>
      <c r="C4" s="65" t="s">
        <v>38</v>
      </c>
      <c r="D4" s="65" t="b">
        <v>1</v>
      </c>
      <c r="E4" s="64" t="s">
        <v>158</v>
      </c>
      <c r="F4" s="65" t="s">
        <v>159</v>
      </c>
      <c r="G4" s="64" t="str">
        <f>_xll.qlIborIndex(,FamilyName,C4,0,Currency,Calendar,E4,D4,F4,,Permanent,Trigger,ObjectOverwrite)</f>
        <v>obj_00218#0001</v>
      </c>
      <c r="H4" s="120" t="str">
        <f t="shared" si="0"/>
        <v>AUDSWD_SYNTH3M_Quote</v>
      </c>
      <c r="I4" s="122"/>
      <c r="J4" s="67" t="str">
        <f>_xll.qlDepositRateHelper(,H4,G4,Permanent,Trigger,ObjectOverwrite)</f>
        <v>obj_00261#0001</v>
      </c>
      <c r="K4" s="51"/>
      <c r="L4" s="10" t="str">
        <f t="shared" ref="L4:L9" si="1">A4</f>
        <v>Dp</v>
      </c>
      <c r="M4" s="98" t="str">
        <f t="shared" ref="M4:M9" si="2">IF(ISBLANK(J4),"--",J4)</f>
        <v>obj_00261#0001</v>
      </c>
      <c r="N4" s="144" t="str">
        <f>IFERROR(_xll.qlRateHelperQuoteName(M4,Trigger),"--")</f>
        <v>AUDSWD_SYNTH3M_Quote</v>
      </c>
      <c r="O4" s="102">
        <f>IFERROR(_xll.qlRateHelperQuoteValue($M4,Trigger),"--")</f>
        <v>2.3122E-2</v>
      </c>
      <c r="P4" s="101" t="b">
        <v>1</v>
      </c>
      <c r="Q4" s="98">
        <v>10</v>
      </c>
      <c r="R4" s="98">
        <v>1</v>
      </c>
      <c r="S4" s="103">
        <f>IFERROR(_xll.qlRateHelperEarliestDate(M4,Trigger),"--")</f>
        <v>42355</v>
      </c>
      <c r="T4" s="103">
        <f>IFERROR(_xll.qlRateHelperPillarDate(M4,Trigger),"--")</f>
        <v>42362</v>
      </c>
      <c r="V4" s="4" t="str">
        <f t="shared" ref="V4:V67" si="3">IFERROR(INDEX($L$3:$L$111,MATCH(X4,$N$3:$N$111,0),1),"")</f>
        <v>Dp</v>
      </c>
      <c r="W4" s="4" t="str">
        <v>obj_00261</v>
      </c>
      <c r="X4" s="4" t="str">
        <f>IFERROR(_xll.qlRateHelperQuoteName(W4,Trigger),"")</f>
        <v>AUDSWD_SYNTH3M_Quote</v>
      </c>
      <c r="Y4" s="73">
        <f>IFERROR(_xll.qlRateHelperRate(W4,Trigger),"")</f>
        <v>2.3122E-2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42355</v>
      </c>
      <c r="AB4" s="5">
        <f>IFERROR(_xll.qlRateHelperPillarDate(W4,Trigger),"")</f>
        <v>42362</v>
      </c>
      <c r="AC4" s="81">
        <v>0.99955676093155132</v>
      </c>
      <c r="AD4" s="175"/>
      <c r="AF4" s="111" t="s">
        <v>89</v>
      </c>
      <c r="AJ4" s="112">
        <v>0</v>
      </c>
    </row>
    <row r="5" spans="1:38" ht="11.25" customHeight="1" x14ac:dyDescent="0.2">
      <c r="A5" s="62" t="s">
        <v>26</v>
      </c>
      <c r="B5" s="63" t="s">
        <v>39</v>
      </c>
      <c r="C5" s="65" t="str">
        <f>B5</f>
        <v>2W</v>
      </c>
      <c r="D5" s="65" t="b">
        <v>1</v>
      </c>
      <c r="E5" s="64" t="s">
        <v>158</v>
      </c>
      <c r="F5" s="65" t="s">
        <v>159</v>
      </c>
      <c r="G5" s="64" t="str">
        <f>_xll.qlIborIndex(,FamilyName,C5,0,Currency,Calendar,E5,D5,F5,,Permanent,Trigger,ObjectOverwrite)</f>
        <v>obj_00260#0001</v>
      </c>
      <c r="H5" s="120" t="str">
        <f t="shared" si="0"/>
        <v>AUD2WD_SYNTH3M_Quote</v>
      </c>
      <c r="I5" s="122"/>
      <c r="J5" s="67" t="str">
        <f>_xll.qlDepositRateHelper(,H5,G5,Permanent,Trigger,ObjectOverwrite)</f>
        <v>obj_0026d#0001</v>
      </c>
      <c r="K5" s="51"/>
      <c r="L5" s="10" t="str">
        <f t="shared" si="1"/>
        <v>Dp</v>
      </c>
      <c r="M5" s="98" t="str">
        <f t="shared" si="2"/>
        <v>obj_0026d#0001</v>
      </c>
      <c r="N5" s="144" t="str">
        <f>IFERROR(_xll.qlRateHelperQuoteName(M5,Trigger),"--")</f>
        <v>AUD2WD_SYNTH3M_Quote</v>
      </c>
      <c r="O5" s="102">
        <f>IFERROR(_xll.qlRateHelperQuoteValue($M5,Trigger),"--")</f>
        <v>2.3127999999999999E-2</v>
      </c>
      <c r="P5" s="101" t="b">
        <v>1</v>
      </c>
      <c r="Q5" s="98">
        <v>10</v>
      </c>
      <c r="R5" s="98">
        <v>1</v>
      </c>
      <c r="S5" s="103">
        <f>IFERROR(_xll.qlRateHelperEarliestDate(M5,Trigger),"--")</f>
        <v>42355</v>
      </c>
      <c r="T5" s="103">
        <f>IFERROR(_xll.qlRateHelperPillarDate(M5,Trigger),"--")</f>
        <v>42369</v>
      </c>
      <c r="V5" s="4" t="str">
        <f t="shared" si="3"/>
        <v>Dp</v>
      </c>
      <c r="W5" s="4" t="str">
        <v>obj_0026d</v>
      </c>
      <c r="X5" s="4" t="str">
        <f>IFERROR(_xll.qlRateHelperQuoteName(W5,Trigger),"")</f>
        <v>AUD2WD_SYNTH3M_Quote</v>
      </c>
      <c r="Y5" s="73">
        <f>IFERROR(_xll.qlRateHelperRate(W5,Trigger),"")</f>
        <v>2.3127999999999999E-2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42355</v>
      </c>
      <c r="AB5" s="5">
        <f>IFERROR(_xll.qlRateHelperPillarDate(W5,Trigger),"")</f>
        <v>42369</v>
      </c>
      <c r="AC5" s="81">
        <v>0.99911368488149288</v>
      </c>
      <c r="AD5" s="175"/>
      <c r="AE5" s="84"/>
      <c r="AF5" s="111" t="s">
        <v>90</v>
      </c>
      <c r="AJ5" s="112">
        <v>2</v>
      </c>
    </row>
    <row r="6" spans="1:38" ht="11.25" customHeight="1" x14ac:dyDescent="0.2">
      <c r="A6" s="1" t="s">
        <v>26</v>
      </c>
      <c r="B6" s="8" t="s">
        <v>40</v>
      </c>
      <c r="C6" s="9" t="str">
        <f t="shared" ref="C6:C9" si="4">B6</f>
        <v>3W</v>
      </c>
      <c r="D6" s="9" t="b">
        <v>1</v>
      </c>
      <c r="E6" s="7" t="s">
        <v>158</v>
      </c>
      <c r="F6" s="9" t="s">
        <v>159</v>
      </c>
      <c r="G6" s="7" t="str">
        <f>_xll.qlIborIndex(,FamilyName,C6,0,Currency,Calendar,E6,D6,F6,,Permanent,Trigger,ObjectOverwrite)</f>
        <v>obj_00262#0001</v>
      </c>
      <c r="H6" s="121" t="str">
        <f t="shared" si="0"/>
        <v>AUD3WD_SYNTH3M_Quote</v>
      </c>
      <c r="I6" s="123"/>
      <c r="J6" s="3" t="str">
        <f>_xll.qlDepositRateHelper(,H6,G6,Permanent,Trigger,ObjectOverwrite)</f>
        <v>obj_00271#0001</v>
      </c>
      <c r="K6" s="51"/>
      <c r="L6" s="10" t="str">
        <f t="shared" si="1"/>
        <v>Dp</v>
      </c>
      <c r="M6" s="98" t="str">
        <f t="shared" si="2"/>
        <v>obj_00271#0001</v>
      </c>
      <c r="N6" s="144" t="str">
        <f>IFERROR(_xll.qlRateHelperQuoteName(M6,Trigger),"--")</f>
        <v>AUD3WD_SYNTH3M_Quote</v>
      </c>
      <c r="O6" s="102">
        <f>IFERROR(_xll.qlRateHelperQuoteValue($M6,Trigger),"--")</f>
        <v>2.3132E-2</v>
      </c>
      <c r="P6" s="101" t="b">
        <v>1</v>
      </c>
      <c r="Q6" s="98">
        <v>10</v>
      </c>
      <c r="R6" s="98">
        <v>1</v>
      </c>
      <c r="S6" s="103">
        <f>IFERROR(_xll.qlRateHelperEarliestDate(M6,Trigger),"--")</f>
        <v>42355</v>
      </c>
      <c r="T6" s="103">
        <f>IFERROR(_xll.qlRateHelperPillarDate(M6,Trigger),"--")</f>
        <v>42376</v>
      </c>
      <c r="V6" s="4" t="str">
        <f t="shared" si="3"/>
        <v>Dp</v>
      </c>
      <c r="W6" s="4" t="str">
        <v>obj_00271</v>
      </c>
      <c r="X6" s="4" t="str">
        <f>IFERROR(_xll.qlRateHelperQuoteName(W6,Trigger),"")</f>
        <v>AUD3WD_SYNTH3M_Quote</v>
      </c>
      <c r="Y6" s="73">
        <f>IFERROR(_xll.qlRateHelperRate(W6,Trigger),"")</f>
        <v>2.3132E-2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42355</v>
      </c>
      <c r="AB6" s="5">
        <f>IFERROR(_xll.qlRateHelperPillarDate(W6,Trigger),"")</f>
        <v>42376</v>
      </c>
      <c r="AC6" s="81">
        <v>0.99867088670143911</v>
      </c>
      <c r="AD6" s="175"/>
      <c r="AF6" s="111" t="s">
        <v>91</v>
      </c>
      <c r="AJ6" s="113" t="s">
        <v>92</v>
      </c>
    </row>
    <row r="7" spans="1:38" ht="11.25" customHeight="1" x14ac:dyDescent="0.2">
      <c r="A7" s="62" t="s">
        <v>26</v>
      </c>
      <c r="B7" s="63" t="s">
        <v>2</v>
      </c>
      <c r="C7" s="65" t="str">
        <f t="shared" si="4"/>
        <v>1M</v>
      </c>
      <c r="D7" s="122"/>
      <c r="E7" s="122"/>
      <c r="F7" s="122"/>
      <c r="G7" s="64" t="str">
        <f>PROPER(Currency)&amp;FamilyName&amp;B7</f>
        <v>AudBBSW1M</v>
      </c>
      <c r="H7" s="120" t="str">
        <f t="shared" si="0"/>
        <v>AUD1MD_SYNTH3M_Quote</v>
      </c>
      <c r="I7" s="122"/>
      <c r="J7" s="67" t="str">
        <f>_xll.qlDepositRateHelper(,H7,G7,Permanent,Trigger,ObjectOverwrite)</f>
        <v>obj_0026e#0001</v>
      </c>
      <c r="K7" s="51"/>
      <c r="L7" s="10" t="str">
        <f t="shared" si="1"/>
        <v>Dp</v>
      </c>
      <c r="M7" s="98" t="str">
        <f t="shared" si="2"/>
        <v>obj_0026e#0001</v>
      </c>
      <c r="N7" s="144" t="str">
        <f>IFERROR(_xll.qlRateHelperQuoteName(M7,Trigger),"--")</f>
        <v>AUD1MD_SYNTH3M_Quote</v>
      </c>
      <c r="O7" s="102">
        <f>IFERROR(_xll.qlRateHelperQuoteValue($M7,Trigger),"--")</f>
        <v>2.3136E-2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42355</v>
      </c>
      <c r="T7" s="103">
        <f>IFERROR(_xll.qlRateHelperPillarDate(M7,Trigger),"--")</f>
        <v>42387</v>
      </c>
      <c r="V7" s="4" t="str">
        <f t="shared" si="3"/>
        <v>Dp</v>
      </c>
      <c r="W7" s="4" t="str">
        <v>obj_0026e</v>
      </c>
      <c r="X7" s="4" t="str">
        <f>IFERROR(_xll.qlRateHelperQuoteName(W7,Trigger),"")</f>
        <v>AUD1MD_SYNTH3M_Quote</v>
      </c>
      <c r="Y7" s="73">
        <f>IFERROR(_xll.qlRateHelperRate(W7,Trigger),"")</f>
        <v>2.3136E-2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42355</v>
      </c>
      <c r="AB7" s="5">
        <f>IFERROR(_xll.qlRateHelperPillarDate(W7,Trigger),"")</f>
        <v>42387</v>
      </c>
      <c r="AC7" s="81">
        <v>0.99797574427883051</v>
      </c>
      <c r="AD7" s="175"/>
    </row>
    <row r="8" spans="1:38" ht="11.25" customHeight="1" x14ac:dyDescent="0.2">
      <c r="A8" s="62" t="s">
        <v>26</v>
      </c>
      <c r="B8" s="63" t="s">
        <v>41</v>
      </c>
      <c r="C8" s="65" t="str">
        <f t="shared" si="4"/>
        <v>2M</v>
      </c>
      <c r="D8" s="122"/>
      <c r="E8" s="122"/>
      <c r="F8" s="122"/>
      <c r="G8" s="64" t="str">
        <f>PROPER(Currency)&amp;FamilyName&amp;B8</f>
        <v>AudBBSW2M</v>
      </c>
      <c r="H8" s="120" t="str">
        <f t="shared" si="0"/>
        <v>AUD2MD_SYNTH3M_Quote</v>
      </c>
      <c r="I8" s="122"/>
      <c r="J8" s="67" t="str">
        <f>_xll.qlDepositRateHelper(,H8,G8,Permanent,Trigger,ObjectOverwrite)</f>
        <v>obj_0026b#0001</v>
      </c>
      <c r="K8" s="51"/>
      <c r="L8" s="10" t="str">
        <f t="shared" si="1"/>
        <v>Dp</v>
      </c>
      <c r="M8" s="98" t="str">
        <f t="shared" si="2"/>
        <v>obj_0026b#0001</v>
      </c>
      <c r="N8" s="144" t="str">
        <f>IFERROR(_xll.qlRateHelperQuoteName(M8,Trigger),"--")</f>
        <v>AUD2MD_SYNTH3M_Quote</v>
      </c>
      <c r="O8" s="102">
        <f>IFERROR(_xll.qlRateHelperQuoteValue($M8,Trigger),"--")</f>
        <v>2.3102000000000001E-2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42355</v>
      </c>
      <c r="T8" s="103">
        <f>IFERROR(_xll.qlRateHelperPillarDate(M8,Trigger),"--")</f>
        <v>42417</v>
      </c>
      <c r="V8" s="4" t="str">
        <f t="shared" si="3"/>
        <v>Dp</v>
      </c>
      <c r="W8" s="4" t="str">
        <v>obj_0026b</v>
      </c>
      <c r="X8" s="4" t="str">
        <f>IFERROR(_xll.qlRateHelperQuoteName(W8,Trigger),"")</f>
        <v>AUD2MD_SYNTH3M_Quote</v>
      </c>
      <c r="Y8" s="73">
        <f>IFERROR(_xll.qlRateHelperRate(W8,Trigger),"")</f>
        <v>2.3102000000000001E-2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42355</v>
      </c>
      <c r="AB8" s="5">
        <f>IFERROR(_xll.qlRateHelperPillarDate(W8,Trigger),"")</f>
        <v>42417</v>
      </c>
      <c r="AC8" s="81">
        <v>0.99609116361688665</v>
      </c>
      <c r="AD8" s="175"/>
    </row>
    <row r="9" spans="1:38" ht="11.25" customHeight="1" x14ac:dyDescent="0.2">
      <c r="A9" s="1" t="s">
        <v>26</v>
      </c>
      <c r="B9" s="8" t="s">
        <v>0</v>
      </c>
      <c r="C9" s="9" t="str">
        <f t="shared" si="4"/>
        <v>3M</v>
      </c>
      <c r="D9" s="123"/>
      <c r="E9" s="123"/>
      <c r="F9" s="123"/>
      <c r="G9" s="7" t="str">
        <f>PROPER(Currency)&amp;FamilyName&amp;B9</f>
        <v>AudBBSW3M</v>
      </c>
      <c r="H9" s="121" t="str">
        <f t="shared" si="0"/>
        <v>AUD3MD_SYNTH3M_Quote</v>
      </c>
      <c r="I9" s="123"/>
      <c r="J9" s="3" t="str">
        <f>_xll.qlDepositRateHelper(,H9,G9,Permanent,Trigger,ObjectOverwrite)</f>
        <v>obj_0026c#0001</v>
      </c>
      <c r="K9" s="51"/>
      <c r="L9" s="11" t="str">
        <f t="shared" si="1"/>
        <v>Dp</v>
      </c>
      <c r="M9" s="99" t="str">
        <f t="shared" si="2"/>
        <v>obj_0026c#0001</v>
      </c>
      <c r="N9" s="145" t="str">
        <f>IFERROR(_xll.qlRateHelperQuoteName(M9,Trigger),"--")</f>
        <v>AUD3MD_SYNTH3M_Quote</v>
      </c>
      <c r="O9" s="105">
        <f>IFERROR(_xll.qlRateHelperQuoteValue($M9,Trigger),"--")</f>
        <v>2.3E-2</v>
      </c>
      <c r="P9" s="104" t="b">
        <v>1</v>
      </c>
      <c r="Q9" s="99">
        <v>10</v>
      </c>
      <c r="R9" s="99">
        <v>1</v>
      </c>
      <c r="S9" s="106">
        <f>IFERROR(_xll.qlRateHelperEarliestDate(M9,Trigger),"--")</f>
        <v>42355</v>
      </c>
      <c r="T9" s="106">
        <f>IFERROR(_xll.qlRateHelperPillarDate(M9,Trigger),"--")</f>
        <v>42446</v>
      </c>
      <c r="V9" s="4" t="str">
        <f t="shared" si="3"/>
        <v>Dp</v>
      </c>
      <c r="W9" s="4" t="str">
        <v>obj_0026c</v>
      </c>
      <c r="X9" s="4" t="str">
        <f>IFERROR(_xll.qlRateHelperQuoteName(W9,Trigger),"")</f>
        <v>AUD3MD_SYNTH3M_Quote</v>
      </c>
      <c r="Y9" s="73">
        <f>IFERROR(_xll.qlRateHelperRate(W9,Trigger),"")</f>
        <v>2.3E-2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42355</v>
      </c>
      <c r="AB9" s="5">
        <f>IFERROR(_xll.qlRateHelperPillarDate(W9,Trigger),"")</f>
        <v>42446</v>
      </c>
      <c r="AC9" s="81">
        <v>0.99429844753236907</v>
      </c>
      <c r="AD9" s="175"/>
      <c r="AG9" s="49" t="s">
        <v>129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0" t="str">
        <f>IF(ISBLANK(J12),"--",J12)</f>
        <v>qlFraRateHelper(,H12,B12&amp;"M",G12,PillarDate,,Permanent,Trigger,ObjectOverwrite)</v>
      </c>
      <c r="N10" s="143" t="str">
        <f>IFERROR(_xll.qlRateHelperQuoteName(M10,Trigger),"--")</f>
        <v>--</v>
      </c>
      <c r="O10" s="132" t="str">
        <f>IFERROR(_xll.qlRateHelperQuoteValue($M10,Trigger),"--")</f>
        <v>--</v>
      </c>
      <c r="P10" s="131" t="b">
        <v>0</v>
      </c>
      <c r="Q10" s="130">
        <v>20</v>
      </c>
      <c r="R10" s="130">
        <v>1</v>
      </c>
      <c r="S10" s="133" t="str">
        <f>IFERROR(_xll.qlRateHelperEarliestDate(M10,Trigger),"--")</f>
        <v>--</v>
      </c>
      <c r="T10" s="133" t="str">
        <f>IFERROR(_xll.qlRateHelperPillarDate(M10,Trigger),"--")</f>
        <v>--</v>
      </c>
      <c r="V10" s="4" t="str">
        <f t="shared" si="3"/>
        <v>FUT</v>
      </c>
      <c r="W10" s="4" t="str">
        <v>obj_00275</v>
      </c>
      <c r="X10" s="4" t="str">
        <f>IFERROR(_xll.qlRateHelperQuoteName(W10,Trigger),"")</f>
        <v>AUDFUT3MH6_Quote</v>
      </c>
      <c r="Y10" s="73">
        <f>IFERROR(_xll.qlRateHelperRate(W10,Trigger),"")</f>
        <v>2.2249999999999992E-2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42440</v>
      </c>
      <c r="AB10" s="5">
        <f>IFERROR(_xll.qlRateHelperPillarDate(W10,Trigger),"")</f>
        <v>42535</v>
      </c>
      <c r="AC10" s="81">
        <v>0.98894010692161727</v>
      </c>
      <c r="AD10" s="175"/>
      <c r="AE10" s="77" t="s">
        <v>123</v>
      </c>
      <c r="AF10" s="77" t="s">
        <v>124</v>
      </c>
      <c r="AG10" s="77" t="s">
        <v>125</v>
      </c>
      <c r="AH10" s="77" t="s">
        <v>133</v>
      </c>
      <c r="AI10" s="77" t="s">
        <v>126</v>
      </c>
      <c r="AJ10" s="77" t="s">
        <v>134</v>
      </c>
      <c r="AK10" s="77" t="s">
        <v>127</v>
      </c>
      <c r="AL10" s="77" t="s">
        <v>128</v>
      </c>
    </row>
    <row r="11" spans="1:38" ht="11.25" customHeight="1" x14ac:dyDescent="0.2">
      <c r="A11" s="68" t="s">
        <v>8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24</v>
      </c>
      <c r="K11" s="51"/>
      <c r="L11" s="10" t="str">
        <f t="shared" ref="L11:L15" si="5">A13</f>
        <v>FRA</v>
      </c>
      <c r="M11" s="98" t="str">
        <f t="shared" ref="M11:M15" si="6">IF(ISBLANK(J13),"--",J13)</f>
        <v>--</v>
      </c>
      <c r="N11" s="144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20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3"/>
        <v>FUT</v>
      </c>
      <c r="W11" s="4" t="str">
        <v>obj_00278</v>
      </c>
      <c r="X11" s="4" t="str">
        <f>IFERROR(_xll.qlRateHelperQuoteName(W11,Trigger),"")</f>
        <v>AUDFUT3MM6_Quote</v>
      </c>
      <c r="Y11" s="73">
        <f>IFERROR(_xll.qlRateHelperRate(W11,Trigger),"")</f>
        <v>2.1649999999999947E-2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42531</v>
      </c>
      <c r="AB11" s="5">
        <f>IFERROR(_xll.qlRateHelperPillarDate(W11,Trigger),"")</f>
        <v>42625</v>
      </c>
      <c r="AC11" s="81">
        <v>0.98369163198087084</v>
      </c>
      <c r="AD11" s="175"/>
      <c r="AE11" s="157">
        <v>1</v>
      </c>
      <c r="AF11" s="158">
        <f>_xll.qlCalendarEndOfMonth(Calendar,Settlementdate,Trigger)</f>
        <v>42369</v>
      </c>
      <c r="AG11" s="157" t="str">
        <f t="shared" ref="AG11:AG23" si="7">Currency&amp;$AG$9&amp;AE11&amp;JumpSuffix&amp;QuoteSuffix</f>
        <v>AUDJump1_SYNTHON_Quote</v>
      </c>
      <c r="AH11" s="179">
        <f>_xll.qlDayCounterYearFraction("actual/360",AF11,_xll.qlCalendarAdvance(Calendar,AF11,"1D",,,Trigger))</f>
        <v>1.1111111111111112E-2</v>
      </c>
      <c r="AI11" s="159" t="e">
        <f>IF(_xll.qlQuoteIsValid(AG11,Trigger),_xll.qlQuoteValue(AG11,Trigger),1)</f>
        <v>#NUM!</v>
      </c>
      <c r="AJ11" s="182" t="e">
        <f>-LN(AI11)/AH11</f>
        <v>#NUM!</v>
      </c>
      <c r="AK11" s="160"/>
      <c r="AL11" s="159" t="str">
        <f>IF(ISBLANK(AK11),AG11,EXP(-AK11*AH11))</f>
        <v>AUDJump1_SYNTHON_Quote</v>
      </c>
    </row>
    <row r="12" spans="1:38" ht="11.25" customHeight="1" x14ac:dyDescent="0.2">
      <c r="A12" s="56" t="s">
        <v>97</v>
      </c>
      <c r="B12" s="114">
        <v>1</v>
      </c>
      <c r="C12" s="59" t="str">
        <f t="shared" ref="C12:C17" si="8">"x"&amp;B12+SUBSTITUTE($G$1,"M","")&amp;"F"</f>
        <v>x4F</v>
      </c>
      <c r="D12" s="122"/>
      <c r="E12" s="122"/>
      <c r="F12" s="122"/>
      <c r="G12" s="58" t="str">
        <f t="shared" ref="G12:G17" si="9">PROPER(Currency)&amp;FamilyName&amp;Tenor</f>
        <v>AudBBSW3M</v>
      </c>
      <c r="H12" s="117" t="str">
        <f t="shared" ref="H12:H14" si="10">Currency&amp;B12&amp;C12&amp;QuoteSuffix</f>
        <v>AUD1x4F_Quote</v>
      </c>
      <c r="I12" s="122"/>
      <c r="J12" s="61" t="s">
        <v>119</v>
      </c>
      <c r="K12" s="51" t="s">
        <v>35</v>
      </c>
      <c r="L12" s="10" t="str">
        <f t="shared" si="5"/>
        <v>FRA</v>
      </c>
      <c r="M12" s="98" t="str">
        <f t="shared" si="6"/>
        <v>--</v>
      </c>
      <c r="N12" s="144" t="str">
        <f>IFERROR(_xll.qlRateHelperQuoteName(M12,Trigger),"--")</f>
        <v>--</v>
      </c>
      <c r="O12" s="102" t="str">
        <f>IFERROR(_xll.qlRateHelperQuoteValue($M12,Trigger),"--")</f>
        <v>--</v>
      </c>
      <c r="P12" s="101" t="b">
        <v>0</v>
      </c>
      <c r="Q12" s="98">
        <v>20</v>
      </c>
      <c r="R12" s="98">
        <v>1</v>
      </c>
      <c r="S12" s="103" t="str">
        <f>IFERROR(_xll.qlRateHelperEarliestDate(M12,Trigger),"--")</f>
        <v>--</v>
      </c>
      <c r="T12" s="103" t="str">
        <f>IFERROR(_xll.qlRateHelperPillarDate(M12,Trigger),"--")</f>
        <v>--</v>
      </c>
      <c r="V12" s="4" t="str">
        <f t="shared" si="3"/>
        <v>Sw</v>
      </c>
      <c r="W12" s="4" t="str">
        <v>obj_00236</v>
      </c>
      <c r="X12" s="4" t="str">
        <f>IFERROR(_xll.qlRateHelperQuoteName(W12,Trigger),"")</f>
        <v>AUDQM3AB1Y_Quote</v>
      </c>
      <c r="Y12" s="73">
        <f>IFERROR(_xll.qlRateHelperRate(W12,Trigger),"")</f>
        <v>2.215E-2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42356</v>
      </c>
      <c r="AB12" s="5">
        <f>IFERROR(_xll.qlRateHelperPillarDate(W12,Trigger),"")</f>
        <v>42723</v>
      </c>
      <c r="AC12" s="81">
        <v>0.97797574950483412</v>
      </c>
      <c r="AD12" s="175"/>
      <c r="AE12" s="161">
        <v>2</v>
      </c>
      <c r="AF12" s="162">
        <f>_xll.qlCalendarEndOfMonth(Calendar,_xll.qlCalendarAdvance(Calendar,AF11,"1m","mf",TRUE),Trigger)</f>
        <v>42398</v>
      </c>
      <c r="AG12" s="161" t="str">
        <f t="shared" si="7"/>
        <v>AUDJump2_SYNTHON_Quote</v>
      </c>
      <c r="AH12" s="180">
        <f>_xll.qlDayCounterYearFraction("actual/360",AF12,_xll.qlCalendarAdvance(Calendar,AF12,"1D",,,Trigger))</f>
        <v>8.3333333333333332E-3</v>
      </c>
      <c r="AI12" s="163" t="e">
        <f>IF(_xll.qlQuoteIsValid(AG12,Trigger),_xll.qlQuoteValue(AG12,Trigger),1)</f>
        <v>#NUM!</v>
      </c>
      <c r="AJ12" s="183" t="e">
        <f t="shared" ref="AJ12:AJ23" si="11">-LN(AI12)/AH12</f>
        <v>#NUM!</v>
      </c>
      <c r="AK12" s="164"/>
      <c r="AL12" s="163" t="str">
        <f t="shared" ref="AL12:AL23" si="12">IF(ISBLANK(AK12),AG12,EXP(-AK12*AH12))</f>
        <v>AUDJump2_SYNTHON_Quote</v>
      </c>
    </row>
    <row r="13" spans="1:38" ht="11.25" customHeight="1" x14ac:dyDescent="0.2">
      <c r="A13" s="62" t="s">
        <v>97</v>
      </c>
      <c r="B13" s="115">
        <v>2</v>
      </c>
      <c r="C13" s="65" t="str">
        <f t="shared" si="8"/>
        <v>x5F</v>
      </c>
      <c r="D13" s="122"/>
      <c r="E13" s="122"/>
      <c r="F13" s="122"/>
      <c r="G13" s="64" t="str">
        <f t="shared" si="9"/>
        <v>AudBBSW3M</v>
      </c>
      <c r="H13" s="118" t="str">
        <f t="shared" si="10"/>
        <v>AUD2x5F_Quote</v>
      </c>
      <c r="I13" s="122"/>
      <c r="J13" s="67"/>
      <c r="K13" s="51"/>
      <c r="L13" s="10" t="str">
        <f t="shared" si="5"/>
        <v>FRA</v>
      </c>
      <c r="M13" s="98" t="str">
        <f t="shared" si="6"/>
        <v>--</v>
      </c>
      <c r="N13" s="144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20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3"/>
        <v>Sw</v>
      </c>
      <c r="W13" s="4" t="str">
        <v>obj_00234</v>
      </c>
      <c r="X13" s="4" t="str">
        <f>IFERROR(_xll.qlRateHelperQuoteName(W13,Trigger),"")</f>
        <v>AUDQM3AB2Y_Quote</v>
      </c>
      <c r="Y13" s="73">
        <f>IFERROR(_xll.qlRateHelperRate(W13,Trigger),"")</f>
        <v>2.1974999999999998E-2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42356</v>
      </c>
      <c r="AB13" s="5">
        <f>IFERROR(_xll.qlRateHelperPillarDate(W13,Trigger),"")</f>
        <v>43087</v>
      </c>
      <c r="AC13" s="81">
        <v>0.95700312173217061</v>
      </c>
      <c r="AD13" s="175"/>
      <c r="AE13" s="161">
        <v>3</v>
      </c>
      <c r="AF13" s="162">
        <f>_xll.qlCalendarEndOfMonth(Calendar,_xll.qlCalendarAdvance(Calendar,AF12,"1m","mf",TRUE),Trigger)</f>
        <v>42429</v>
      </c>
      <c r="AG13" s="161" t="str">
        <f t="shared" si="7"/>
        <v>AUDJump3_SYNTHON_Quote</v>
      </c>
      <c r="AH13" s="180">
        <f>_xll.qlDayCounterYearFraction("actual/360",AF13,_xll.qlCalendarAdvance(Calendar,AF13,"1D",,,Trigger))</f>
        <v>2.7777777777777779E-3</v>
      </c>
      <c r="AI13" s="163" t="e">
        <f>IF(_xll.qlQuoteIsValid(AG13,Trigger),_xll.qlQuoteValue(AG13,Trigger),1)</f>
        <v>#NUM!</v>
      </c>
      <c r="AJ13" s="183" t="e">
        <f t="shared" si="11"/>
        <v>#NUM!</v>
      </c>
      <c r="AK13" s="164"/>
      <c r="AL13" s="163" t="str">
        <f t="shared" si="12"/>
        <v>AUDJump3_SYNTHON_Quote</v>
      </c>
    </row>
    <row r="14" spans="1:38" ht="11.25" customHeight="1" x14ac:dyDescent="0.2">
      <c r="A14" s="62" t="s">
        <v>97</v>
      </c>
      <c r="B14" s="115">
        <v>3</v>
      </c>
      <c r="C14" s="65" t="str">
        <f t="shared" si="8"/>
        <v>x6F</v>
      </c>
      <c r="D14" s="122"/>
      <c r="E14" s="122"/>
      <c r="F14" s="122"/>
      <c r="G14" s="64" t="str">
        <f t="shared" si="9"/>
        <v>AudBBSW3M</v>
      </c>
      <c r="H14" s="118" t="str">
        <f t="shared" si="10"/>
        <v>AUD3x6F_Quote</v>
      </c>
      <c r="I14" s="122"/>
      <c r="J14" s="67"/>
      <c r="K14" s="51"/>
      <c r="L14" s="10" t="str">
        <f t="shared" si="5"/>
        <v>FRA</v>
      </c>
      <c r="M14" s="98" t="str">
        <f t="shared" si="6"/>
        <v>--</v>
      </c>
      <c r="N14" s="144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20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3"/>
        <v>Sw</v>
      </c>
      <c r="W14" s="4" t="str">
        <v>obj_00246</v>
      </c>
      <c r="X14" s="4" t="str">
        <f>IFERROR(_xll.qlRateHelperQuoteName(W14,Trigger),"")</f>
        <v>AUDQM3AB3Y_Quote</v>
      </c>
      <c r="Y14" s="73">
        <f>IFERROR(_xll.qlRateHelperRate(W14,Trigger),"")</f>
        <v>2.2700000000000001E-2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42356</v>
      </c>
      <c r="AB14" s="5">
        <f>IFERROR(_xll.qlRateHelperPillarDate(W14,Trigger),"")</f>
        <v>43452</v>
      </c>
      <c r="AC14" s="81">
        <v>0.93418912766979778</v>
      </c>
      <c r="AD14" s="175"/>
      <c r="AE14" s="161">
        <v>4</v>
      </c>
      <c r="AF14" s="162">
        <f>_xll.qlCalendarEndOfMonth(Calendar,_xll.qlCalendarAdvance(Calendar,AF13,"1m","mf",TRUE),Trigger)</f>
        <v>42460</v>
      </c>
      <c r="AG14" s="161" t="str">
        <f t="shared" si="7"/>
        <v>AUDJump4_SYNTHON_Quote</v>
      </c>
      <c r="AH14" s="180">
        <f>_xll.qlDayCounterYearFraction("actual/360",AF14,_xll.qlCalendarAdvance(Calendar,AF14,"1D",,,Trigger))</f>
        <v>2.7777777777777779E-3</v>
      </c>
      <c r="AI14" s="163" t="e">
        <f>IF(_xll.qlQuoteIsValid(AG14,Trigger),_xll.qlQuoteValue(AG14,Trigger),1)</f>
        <v>#NUM!</v>
      </c>
      <c r="AJ14" s="183" t="e">
        <f t="shared" si="11"/>
        <v>#NUM!</v>
      </c>
      <c r="AK14" s="164"/>
      <c r="AL14" s="163" t="str">
        <f t="shared" si="12"/>
        <v>AUDJump4_SYNTHON_Quote</v>
      </c>
    </row>
    <row r="15" spans="1:38" ht="11.25" customHeight="1" x14ac:dyDescent="0.2">
      <c r="A15" s="62" t="s">
        <v>97</v>
      </c>
      <c r="B15" s="115">
        <v>4</v>
      </c>
      <c r="C15" s="65" t="str">
        <f t="shared" si="8"/>
        <v>x7F</v>
      </c>
      <c r="D15" s="122"/>
      <c r="E15" s="122"/>
      <c r="F15" s="122"/>
      <c r="G15" s="64" t="str">
        <f t="shared" si="9"/>
        <v>AudBBSW3M</v>
      </c>
      <c r="H15" s="118" t="str">
        <f t="shared" ref="H15:H17" si="13">Currency&amp;B15&amp;C15&amp;QuoteSuffix</f>
        <v>AUD4x7F_Quote</v>
      </c>
      <c r="I15" s="122"/>
      <c r="J15" s="67"/>
      <c r="K15" s="51"/>
      <c r="L15" s="11" t="str">
        <f t="shared" si="5"/>
        <v>FRA</v>
      </c>
      <c r="M15" s="99" t="str">
        <f t="shared" si="6"/>
        <v>--</v>
      </c>
      <c r="N15" s="145" t="str">
        <f>IFERROR(_xll.qlRateHelperQuoteName(M15,Trigger),"--")</f>
        <v>--</v>
      </c>
      <c r="O15" s="105" t="str">
        <f>IFERROR(_xll.qlRateHelperQuoteValue($M15,Trigger),"--")</f>
        <v>--</v>
      </c>
      <c r="P15" s="104" t="b">
        <v>0</v>
      </c>
      <c r="Q15" s="99">
        <v>20</v>
      </c>
      <c r="R15" s="99">
        <v>1</v>
      </c>
      <c r="S15" s="106" t="str">
        <f>IFERROR(_xll.qlRateHelperEarliestDate(M15,Trigger),"--")</f>
        <v>--</v>
      </c>
      <c r="T15" s="106" t="str">
        <f>IFERROR(_xll.qlRateHelperPillarDate(M15,Trigger),"--")</f>
        <v>--</v>
      </c>
      <c r="V15" s="4" t="str">
        <f t="shared" si="3"/>
        <v>BasSw</v>
      </c>
      <c r="W15" s="4" t="str">
        <v>obj_0023a</v>
      </c>
      <c r="X15" s="4" t="str">
        <f>IFERROR(_xll.qlRateHelperQuoteName(W15,Trigger),"")</f>
        <v>AUDSM6AB4Y_Quote</v>
      </c>
      <c r="Y15" s="73">
        <f>IFERROR(_xll.qlRateHelperRate(W15,Trigger),"")</f>
        <v>2.48875E-2</v>
      </c>
      <c r="Z15" s="108">
        <f>IF(ISERROR(_xll.qlSwapRateHelperSpread($W15)),IF(ISERROR(_xll.qlFuturesRateHelperConvexityAdjustment($W15)),"",_xll.qlFuturesRateHelperConvexityAdjustment($W15)),_xll.qlSwapRateHelperSpread($W15))</f>
        <v>1.1999999999999999E-3</v>
      </c>
      <c r="AA15" s="5">
        <f>IFERROR(_xll.qlRateHelperEarliestDate(W15,Trigger),"")</f>
        <v>42356</v>
      </c>
      <c r="AB15" s="5">
        <f>IFERROR(_xll.qlRateHelperPillarDate(W15,Trigger),"")</f>
        <v>43817</v>
      </c>
      <c r="AC15" s="81">
        <v>0.90982164027173673</v>
      </c>
      <c r="AD15" s="175"/>
      <c r="AE15" s="161">
        <v>5</v>
      </c>
      <c r="AF15" s="162">
        <f>_xll.qlCalendarEndOfMonth(Calendar,_xll.qlCalendarAdvance(Calendar,AF14,"1m","mf",TRUE),Trigger)</f>
        <v>42489</v>
      </c>
      <c r="AG15" s="161" t="str">
        <f t="shared" si="7"/>
        <v>AUDJump5_SYNTHON_Quote</v>
      </c>
      <c r="AH15" s="180">
        <f>_xll.qlDayCounterYearFraction("actual/360",AF15,_xll.qlCalendarAdvance(Calendar,AF15,"1D",,,Trigger))</f>
        <v>8.3333333333333332E-3</v>
      </c>
      <c r="AI15" s="163" t="e">
        <f>IF(_xll.qlQuoteIsValid(AG15,Trigger),_xll.qlQuoteValue(AG15,Trigger),1)</f>
        <v>#NUM!</v>
      </c>
      <c r="AJ15" s="183" t="e">
        <f t="shared" si="11"/>
        <v>#NUM!</v>
      </c>
      <c r="AK15" s="164"/>
      <c r="AL15" s="163" t="str">
        <f t="shared" si="12"/>
        <v>AUDJump5_SYNTHON_Quote</v>
      </c>
    </row>
    <row r="16" spans="1:38" ht="11.25" customHeight="1" x14ac:dyDescent="0.2">
      <c r="A16" s="62" t="s">
        <v>97</v>
      </c>
      <c r="B16" s="115">
        <v>5</v>
      </c>
      <c r="C16" s="65" t="str">
        <f t="shared" si="8"/>
        <v>x8F</v>
      </c>
      <c r="D16" s="122"/>
      <c r="E16" s="122"/>
      <c r="F16" s="122"/>
      <c r="G16" s="64" t="str">
        <f t="shared" si="9"/>
        <v>AudBBSW3M</v>
      </c>
      <c r="H16" s="118" t="str">
        <f t="shared" si="13"/>
        <v>AUD5x8F_Quote</v>
      </c>
      <c r="I16" s="122"/>
      <c r="J16" s="67"/>
      <c r="K16" s="51"/>
      <c r="L16" s="71" t="str">
        <f t="shared" ref="L16:L37" si="14">A20</f>
        <v>FUT</v>
      </c>
      <c r="M16" s="130" t="str">
        <f t="shared" ref="M16:M37" si="15">IF(ISBLANK(J20),"--",J20)</f>
        <v>obj_00273#0002</v>
      </c>
      <c r="N16" s="143" t="str">
        <f>IFERROR(_xll.qlRateHelperQuoteName(M16,Trigger),"--")</f>
        <v>AUDFUT3MF6_Quote</v>
      </c>
      <c r="O16" s="148" t="str">
        <f>IFERROR(_xll.qlRateHelperQuoteValue($M16,Trigger),"--")</f>
        <v>--</v>
      </c>
      <c r="P16" s="131" t="b">
        <v>1</v>
      </c>
      <c r="Q16" s="130">
        <v>60</v>
      </c>
      <c r="R16" s="130">
        <v>7</v>
      </c>
      <c r="S16" s="133">
        <f>IFERROR(_xll.qlRateHelperEarliestDate(M16,Trigger),"--")</f>
        <v>42377</v>
      </c>
      <c r="T16" s="133">
        <f>IFERROR(_xll.qlRateHelperPillarDate(M16,Trigger),"--")</f>
        <v>42468</v>
      </c>
      <c r="V16" s="4" t="str">
        <f t="shared" si="3"/>
        <v>BasSw</v>
      </c>
      <c r="W16" s="4" t="str">
        <v>obj_00247</v>
      </c>
      <c r="X16" s="4" t="str">
        <f>IFERROR(_xll.qlRateHelperQuoteName(W16,Trigger),"")</f>
        <v>AUDSM6AB5Y_Quote</v>
      </c>
      <c r="Y16" s="73">
        <f>IFERROR(_xll.qlRateHelperRate(W16,Trigger),"")</f>
        <v>2.5975000000000002E-2</v>
      </c>
      <c r="Z16" s="108">
        <f>IF(ISERROR(_xll.qlSwapRateHelperSpread($W16)),IF(ISERROR(_xll.qlFuturesRateHelperConvexityAdjustment($W16)),"",_xll.qlFuturesRateHelperConvexityAdjustment($W16)),_xll.qlSwapRateHelperSpread($W16))</f>
        <v>1.0874999999999999E-3</v>
      </c>
      <c r="AA16" s="5">
        <f>IFERROR(_xll.qlRateHelperEarliestDate(W16,Trigger),"")</f>
        <v>42356</v>
      </c>
      <c r="AB16" s="5">
        <f>IFERROR(_xll.qlRateHelperPillarDate(W16,Trigger),"")</f>
        <v>44183</v>
      </c>
      <c r="AC16" s="81">
        <v>0.88306946341120418</v>
      </c>
      <c r="AD16" s="175"/>
      <c r="AE16" s="161">
        <v>6</v>
      </c>
      <c r="AF16" s="162">
        <f>_xll.qlCalendarEndOfMonth(Calendar,_xll.qlCalendarAdvance(Calendar,AF15,"1m","mf",TRUE),Trigger)</f>
        <v>42521</v>
      </c>
      <c r="AG16" s="161" t="str">
        <f t="shared" si="7"/>
        <v>AUDJump6_SYNTHON_Quote</v>
      </c>
      <c r="AH16" s="180">
        <f>_xll.qlDayCounterYearFraction("actual/360",AF16,_xll.qlCalendarAdvance(Calendar,AF16,"1D",,,Trigger))</f>
        <v>2.7777777777777779E-3</v>
      </c>
      <c r="AI16" s="163" t="e">
        <f>IF(_xll.qlQuoteIsValid(AG16,Trigger),_xll.qlQuoteValue(AG16,Trigger),1)</f>
        <v>#NUM!</v>
      </c>
      <c r="AJ16" s="183" t="e">
        <f t="shared" si="11"/>
        <v>#NUM!</v>
      </c>
      <c r="AK16" s="164"/>
      <c r="AL16" s="163" t="str">
        <f t="shared" si="12"/>
        <v>AUDJump6_SYNTHON_Quote</v>
      </c>
    </row>
    <row r="17" spans="1:38" ht="11.25" customHeight="1" x14ac:dyDescent="0.2">
      <c r="A17" s="1" t="s">
        <v>97</v>
      </c>
      <c r="B17" s="116">
        <v>6</v>
      </c>
      <c r="C17" s="9" t="str">
        <f t="shared" si="8"/>
        <v>x9F</v>
      </c>
      <c r="D17" s="123"/>
      <c r="E17" s="123"/>
      <c r="F17" s="123"/>
      <c r="G17" s="7" t="str">
        <f t="shared" si="9"/>
        <v>AudBBSW3M</v>
      </c>
      <c r="H17" s="119" t="str">
        <f t="shared" si="13"/>
        <v>AUD6x9F_Quote</v>
      </c>
      <c r="I17" s="123"/>
      <c r="J17" s="3"/>
      <c r="K17" s="51"/>
      <c r="L17" s="10" t="str">
        <f t="shared" si="14"/>
        <v>FUT</v>
      </c>
      <c r="M17" s="98" t="str">
        <f t="shared" si="15"/>
        <v>obj_00274#0002</v>
      </c>
      <c r="N17" s="144" t="str">
        <f>IFERROR(_xll.qlRateHelperQuoteName(M17,Trigger),"--")</f>
        <v>AUDFUT3MG6_Quote</v>
      </c>
      <c r="O17" s="149" t="str">
        <f>IFERROR(_xll.qlRateHelperQuoteValue($M17,Trigger),"--")</f>
        <v>--</v>
      </c>
      <c r="P17" s="101" t="b">
        <v>1</v>
      </c>
      <c r="Q17" s="98">
        <v>60</v>
      </c>
      <c r="R17" s="98">
        <v>7</v>
      </c>
      <c r="S17" s="103">
        <f>IFERROR(_xll.qlRateHelperEarliestDate(M17,Trigger),"--")</f>
        <v>42412</v>
      </c>
      <c r="T17" s="103">
        <f>IFERROR(_xll.qlRateHelperPillarDate(M17,Trigger),"--")</f>
        <v>42502</v>
      </c>
      <c r="V17" s="4" t="str">
        <f t="shared" si="3"/>
        <v>BasSw</v>
      </c>
      <c r="W17" s="4" t="str">
        <v>obj_00211</v>
      </c>
      <c r="X17" s="4" t="str">
        <f>IFERROR(_xll.qlRateHelperQuoteName(W17,Trigger),"")</f>
        <v>AUDSM6AB7Y_Quote</v>
      </c>
      <c r="Y17" s="73">
        <f>IFERROR(_xll.qlRateHelperRate(W17,Trigger),"")</f>
        <v>2.7999999999999997E-2</v>
      </c>
      <c r="Z17" s="108">
        <f>IF(ISERROR(_xll.qlSwapRateHelperSpread($W17)),IF(ISERROR(_xll.qlFuturesRateHelperConvexityAdjustment($W17)),"",_xll.qlFuturesRateHelperConvexityAdjustment($W17)),_xll.qlSwapRateHelperSpread($W17))</f>
        <v>9.1250000000000001E-4</v>
      </c>
      <c r="AA17" s="5">
        <f>IFERROR(_xll.qlRateHelperEarliestDate(W17,Trigger),"")</f>
        <v>42356</v>
      </c>
      <c r="AB17" s="5">
        <f>IFERROR(_xll.qlRateHelperPillarDate(W17,Trigger),"")</f>
        <v>44914</v>
      </c>
      <c r="AC17" s="81">
        <v>0.82680210218260908</v>
      </c>
      <c r="AD17" s="175"/>
      <c r="AE17" s="161">
        <v>7</v>
      </c>
      <c r="AF17" s="162">
        <f>_xll.qlCalendarEndOfMonth(Calendar,_xll.qlCalendarAdvance(Calendar,AF16,"1m","mf",TRUE),Trigger)</f>
        <v>42551</v>
      </c>
      <c r="AG17" s="161" t="str">
        <f t="shared" si="7"/>
        <v>AUDJump7_SYNTHON_Quote</v>
      </c>
      <c r="AH17" s="180">
        <f>_xll.qlDayCounterYearFraction("actual/360",AF17,_xll.qlCalendarAdvance(Calendar,AF17,"1D",,,Trigger))</f>
        <v>2.7777777777777779E-3</v>
      </c>
      <c r="AI17" s="163" t="e">
        <f>IF(_xll.qlQuoteIsValid(AG17,Trigger),_xll.qlQuoteValue(AG17,Trigger),1)</f>
        <v>#NUM!</v>
      </c>
      <c r="AJ17" s="183" t="e">
        <f t="shared" si="11"/>
        <v>#NUM!</v>
      </c>
      <c r="AK17" s="164"/>
      <c r="AL17" s="163" t="str">
        <f t="shared" si="12"/>
        <v>AUDJump7_SYNTHON_Quote</v>
      </c>
    </row>
    <row r="18" spans="1:38" ht="11.25" customHeight="1" x14ac:dyDescent="0.2">
      <c r="B18" s="49"/>
      <c r="C18" s="49"/>
      <c r="D18" s="49"/>
      <c r="E18" s="49"/>
      <c r="F18" s="49"/>
      <c r="G18" s="49"/>
      <c r="H18" s="49" t="s">
        <v>160</v>
      </c>
      <c r="K18" s="51"/>
      <c r="L18" s="10" t="str">
        <f t="shared" si="14"/>
        <v>FUT</v>
      </c>
      <c r="M18" s="98" t="str">
        <f t="shared" si="15"/>
        <v>obj_00275#0002</v>
      </c>
      <c r="N18" s="144" t="str">
        <f>IFERROR(_xll.qlRateHelperQuoteName(M18,Trigger),"--")</f>
        <v>AUDFUT3MH6_Quote</v>
      </c>
      <c r="O18" s="149">
        <f>IFERROR(_xll.qlRateHelperQuoteValue($M18,Trigger),"--")</f>
        <v>97.775000000000006</v>
      </c>
      <c r="P18" s="101" t="b">
        <v>1</v>
      </c>
      <c r="Q18" s="98">
        <v>60</v>
      </c>
      <c r="R18" s="98">
        <v>21</v>
      </c>
      <c r="S18" s="103">
        <f>IFERROR(_xll.qlRateHelperEarliestDate(M18,Trigger),"--")</f>
        <v>42440</v>
      </c>
      <c r="T18" s="103">
        <f>IFERROR(_xll.qlRateHelperPillarDate(M18,Trigger),"--")</f>
        <v>42535</v>
      </c>
      <c r="V18" s="4" t="str">
        <f t="shared" si="3"/>
        <v>BasSw</v>
      </c>
      <c r="W18" s="4" t="str">
        <v>obj_0023d</v>
      </c>
      <c r="X18" s="4" t="str">
        <f>IFERROR(_xll.qlRateHelperQuoteName(W18,Trigger),"")</f>
        <v>AUDSM6AB10Y_Quote</v>
      </c>
      <c r="Y18" s="73">
        <f>IFERROR(_xll.qlRateHelperRate(W18,Trigger),"")</f>
        <v>3.0312499999999999E-2</v>
      </c>
      <c r="Z18" s="108">
        <f>IF(ISERROR(_xll.qlSwapRateHelperSpread($W18)),IF(ISERROR(_xll.qlFuturesRateHelperConvexityAdjustment($W18)),"",_xll.qlFuturesRateHelperConvexityAdjustment($W18)),_xll.qlSwapRateHelperSpread($W18))</f>
        <v>7.7499999999999997E-4</v>
      </c>
      <c r="AA18" s="5">
        <f>IFERROR(_xll.qlRateHelperEarliestDate(W18,Trigger),"")</f>
        <v>42356</v>
      </c>
      <c r="AB18" s="5">
        <f>IFERROR(_xll.qlRateHelperPillarDate(W18,Trigger),"")</f>
        <v>46009</v>
      </c>
      <c r="AC18" s="81">
        <v>0.74239087428729078</v>
      </c>
      <c r="AD18" s="175"/>
      <c r="AE18" s="161">
        <v>8</v>
      </c>
      <c r="AF18" s="162">
        <f>_xll.qlCalendarEndOfMonth(Calendar,_xll.qlCalendarAdvance(Calendar,AF17,"1m","mf",TRUE),Trigger)</f>
        <v>42580</v>
      </c>
      <c r="AG18" s="161" t="str">
        <f t="shared" si="7"/>
        <v>AUDJump8_SYNTHON_Quote</v>
      </c>
      <c r="AH18" s="180">
        <f>_xll.qlDayCounterYearFraction("actual/360",AF18,_xll.qlCalendarAdvance(Calendar,AF18,"1D",,,Trigger))</f>
        <v>1.1111111111111112E-2</v>
      </c>
      <c r="AI18" s="163" t="e">
        <f>IF(_xll.qlQuoteIsValid(AG18,Trigger),_xll.qlQuoteValue(AG18,Trigger),1)</f>
        <v>#NUM!</v>
      </c>
      <c r="AJ18" s="183" t="e">
        <f t="shared" si="11"/>
        <v>#NUM!</v>
      </c>
      <c r="AK18" s="164"/>
      <c r="AL18" s="163" t="str">
        <f t="shared" si="12"/>
        <v>AUDJump8_SYNTHON_Quote</v>
      </c>
    </row>
    <row r="19" spans="1:38" ht="11.25" customHeight="1" x14ac:dyDescent="0.2">
      <c r="A19" s="68" t="s">
        <v>8</v>
      </c>
      <c r="B19" s="68" t="s">
        <v>100</v>
      </c>
      <c r="C19" s="68" t="s">
        <v>32</v>
      </c>
      <c r="D19" s="68"/>
      <c r="E19" s="68"/>
      <c r="F19" s="68"/>
      <c r="G19" s="68" t="s">
        <v>4</v>
      </c>
      <c r="H19" s="68" t="s">
        <v>1</v>
      </c>
      <c r="I19" s="68" t="s">
        <v>99</v>
      </c>
      <c r="J19" s="68" t="s">
        <v>24</v>
      </c>
      <c r="K19" s="51"/>
      <c r="L19" s="10" t="str">
        <f t="shared" si="14"/>
        <v>FUT</v>
      </c>
      <c r="M19" s="98" t="str">
        <f t="shared" si="15"/>
        <v>obj_00276#0002</v>
      </c>
      <c r="N19" s="144" t="str">
        <f>IFERROR(_xll.qlRateHelperQuoteName(M19,Trigger),"--")</f>
        <v>AUDFUT3MJ6_Quote</v>
      </c>
      <c r="O19" s="149" t="str">
        <f>IFERROR(_xll.qlRateHelperQuoteValue($M19,Trigger),"--")</f>
        <v>--</v>
      </c>
      <c r="P19" s="101" t="b">
        <v>1</v>
      </c>
      <c r="Q19" s="98">
        <v>60</v>
      </c>
      <c r="R19" s="98">
        <v>21</v>
      </c>
      <c r="S19" s="103">
        <f>IFERROR(_xll.qlRateHelperEarliestDate(M19,Trigger),"--")</f>
        <v>42468</v>
      </c>
      <c r="T19" s="103">
        <f>IFERROR(_xll.qlRateHelperPillarDate(M19,Trigger),"--")</f>
        <v>42559</v>
      </c>
      <c r="V19" s="4" t="str">
        <f t="shared" si="3"/>
        <v>BasSw</v>
      </c>
      <c r="W19" s="4" t="str">
        <v>obj_00217</v>
      </c>
      <c r="X19" s="4" t="str">
        <f>IFERROR(_xll.qlRateHelperQuoteName(W19,Trigger),"")</f>
        <v>AUDSM6AB12Y_Quote</v>
      </c>
      <c r="Y19" s="73">
        <f>IFERROR(_xll.qlRateHelperRate(W19,Trigger),"")</f>
        <v>3.15625E-2</v>
      </c>
      <c r="Z19" s="108">
        <f>IF(ISERROR(_xll.qlSwapRateHelperSpread($W19)),IF(ISERROR(_xll.qlFuturesRateHelperConvexityAdjustment($W19)),"",_xll.qlFuturesRateHelperConvexityAdjustment($W19)),_xll.qlSwapRateHelperSpread($W19))</f>
        <v>6.625E-4</v>
      </c>
      <c r="AA19" s="5">
        <f>IFERROR(_xll.qlRateHelperEarliestDate(W19,Trigger),"")</f>
        <v>42356</v>
      </c>
      <c r="AB19" s="5">
        <f>IFERROR(_xll.qlRateHelperPillarDate(W19,Trigger),"")</f>
        <v>46741</v>
      </c>
      <c r="AC19" s="81">
        <v>0.68679866541373158</v>
      </c>
      <c r="AD19" s="175"/>
      <c r="AE19" s="161">
        <v>9</v>
      </c>
      <c r="AF19" s="162">
        <f>_xll.qlCalendarEndOfMonth(Calendar,_xll.qlCalendarAdvance(Calendar,AF18,"1m","mf",TRUE),Trigger)</f>
        <v>42613</v>
      </c>
      <c r="AG19" s="161" t="str">
        <f t="shared" si="7"/>
        <v>AUDJump9_SYNTHON_Quote</v>
      </c>
      <c r="AH19" s="180">
        <f>_xll.qlDayCounterYearFraction("actual/360",AF19,_xll.qlCalendarAdvance(Calendar,AF19,"1D",,,Trigger))</f>
        <v>2.7777777777777779E-3</v>
      </c>
      <c r="AI19" s="163" t="e">
        <f>IF(_xll.qlQuoteIsValid(AG19,Trigger),_xll.qlQuoteValue(AG19,Trigger),1)</f>
        <v>#NUM!</v>
      </c>
      <c r="AJ19" s="183" t="e">
        <f t="shared" si="11"/>
        <v>#NUM!</v>
      </c>
      <c r="AK19" s="164"/>
      <c r="AL19" s="163" t="str">
        <f t="shared" si="12"/>
        <v>AUDJump9_SYNTHON_Quote</v>
      </c>
    </row>
    <row r="20" spans="1:38" ht="11.25" customHeight="1" x14ac:dyDescent="0.2">
      <c r="A20" s="56" t="s">
        <v>98</v>
      </c>
      <c r="B20" s="114" t="b">
        <v>0</v>
      </c>
      <c r="C20" s="59" t="str">
        <f>_xll.qlASXNextCode(Evaluationdate+1,B20,Trigger)</f>
        <v>F6</v>
      </c>
      <c r="D20" s="128"/>
      <c r="E20" s="128"/>
      <c r="F20" s="128"/>
      <c r="G20" s="58" t="str">
        <f t="shared" ref="G20:G41" si="16">PROPER(Currency)&amp;FamilyName&amp;Tenor</f>
        <v>AudBBSW3M</v>
      </c>
      <c r="H20" s="117" t="str">
        <f t="shared" ref="H20:H41" si="17">Currency&amp;"FUT"&amp;$G$1&amp;$C20&amp;QuoteSuffix</f>
        <v>AUDFUT3MF6_Quote</v>
      </c>
      <c r="I20" s="117" t="str">
        <f t="shared" ref="I20:I41" si="18">Currency&amp;"FUT"&amp;$G$1&amp;$C20&amp;"ConvAdj"&amp;QuoteSuffix</f>
        <v>AUDFUT3MF6ConvAdj_Quote</v>
      </c>
      <c r="J20" s="61" t="str">
        <f>_xll.qlFuturesRateHelper(,H20,$H$18,_xll.qlASXdate(C20),G20,I20,Permanent,Trigger,ObjectOverwrite)</f>
        <v>obj_00273#0002</v>
      </c>
      <c r="K20" s="51"/>
      <c r="L20" s="10" t="str">
        <f t="shared" si="14"/>
        <v>FUT</v>
      </c>
      <c r="M20" s="98" t="str">
        <f t="shared" si="15"/>
        <v>obj_00277#0002</v>
      </c>
      <c r="N20" s="144" t="str">
        <f>IFERROR(_xll.qlRateHelperQuoteName(M20,Trigger),"--")</f>
        <v>AUDFUT3MK6_Quote</v>
      </c>
      <c r="O20" s="149" t="str">
        <f>IFERROR(_xll.qlRateHelperQuoteValue($M20,Trigger),"--")</f>
        <v>--</v>
      </c>
      <c r="P20" s="101" t="b">
        <v>1</v>
      </c>
      <c r="Q20" s="98">
        <v>60</v>
      </c>
      <c r="R20" s="98">
        <v>21</v>
      </c>
      <c r="S20" s="103">
        <f>IFERROR(_xll.qlRateHelperEarliestDate(M20,Trigger),"--")</f>
        <v>42503</v>
      </c>
      <c r="T20" s="103">
        <f>IFERROR(_xll.qlRateHelperPillarDate(M20,Trigger),"--")</f>
        <v>42597</v>
      </c>
      <c r="V20" s="4" t="str">
        <f t="shared" si="3"/>
        <v>BasSw</v>
      </c>
      <c r="W20" s="4" t="str">
        <v>obj_00241</v>
      </c>
      <c r="X20" s="4" t="str">
        <f>IFERROR(_xll.qlRateHelperQuoteName(W20,Trigger),"")</f>
        <v>AUDSM6AB15Y_Quote</v>
      </c>
      <c r="Y20" s="73">
        <f>IFERROR(_xll.qlRateHelperRate(W20,Trigger),"")</f>
        <v>3.2912499999999997E-2</v>
      </c>
      <c r="Z20" s="108">
        <f>IF(ISERROR(_xll.qlSwapRateHelperSpread($W20)),IF(ISERROR(_xll.qlFuturesRateHelperConvexityAdjustment($W20)),"",_xll.qlFuturesRateHelperConvexityAdjustment($W20)),_xll.qlSwapRateHelperSpread($W20))</f>
        <v>5.6249999999999996E-4</v>
      </c>
      <c r="AA20" s="5">
        <f>IFERROR(_xll.qlRateHelperEarliestDate(W20,Trigger),"")</f>
        <v>42356</v>
      </c>
      <c r="AB20" s="5">
        <f>IFERROR(_xll.qlRateHelperPillarDate(W20,Trigger),"")</f>
        <v>47835</v>
      </c>
      <c r="AC20" s="81">
        <v>0.61012264089909629</v>
      </c>
      <c r="AD20" s="175"/>
      <c r="AE20" s="161">
        <v>10</v>
      </c>
      <c r="AF20" s="162">
        <f>_xll.qlCalendarEndOfMonth(Calendar,_xll.qlCalendarAdvance(Calendar,AF19,"1m","mf",TRUE),Trigger)</f>
        <v>42643</v>
      </c>
      <c r="AG20" s="161" t="str">
        <f t="shared" si="7"/>
        <v>AUDJump10_SYNTHON_Quote</v>
      </c>
      <c r="AH20" s="180">
        <f>_xll.qlDayCounterYearFraction("actual/360",AF20,_xll.qlCalendarAdvance(Calendar,AF20,"1D",,,Trigger))</f>
        <v>1.1111111111111112E-2</v>
      </c>
      <c r="AI20" s="163" t="e">
        <f>IF(_xll.qlQuoteIsValid(AG20,Trigger),_xll.qlQuoteValue(AG20,Trigger),1)</f>
        <v>#NUM!</v>
      </c>
      <c r="AJ20" s="183" t="e">
        <f t="shared" si="11"/>
        <v>#NUM!</v>
      </c>
      <c r="AK20" s="164"/>
      <c r="AL20" s="163" t="str">
        <f t="shared" si="12"/>
        <v>AUDJump10_SYNTHON_Quote</v>
      </c>
    </row>
    <row r="21" spans="1:38" ht="11.25" customHeight="1" x14ac:dyDescent="0.2">
      <c r="A21" s="62" t="s">
        <v>98</v>
      </c>
      <c r="B21" s="115" t="b">
        <v>0</v>
      </c>
      <c r="C21" s="65" t="str">
        <f>_xll.qlASXNextCode(C20,B21,Trigger)</f>
        <v>G6</v>
      </c>
      <c r="D21" s="122"/>
      <c r="E21" s="122"/>
      <c r="F21" s="122"/>
      <c r="G21" s="64" t="str">
        <f t="shared" si="16"/>
        <v>AudBBSW3M</v>
      </c>
      <c r="H21" s="118" t="str">
        <f t="shared" si="17"/>
        <v>AUDFUT3MG6_Quote</v>
      </c>
      <c r="I21" s="118" t="str">
        <f t="shared" si="18"/>
        <v>AUDFUT3MG6ConvAdj_Quote</v>
      </c>
      <c r="J21" s="67" t="str">
        <f>_xll.qlFuturesRateHelper(,H21,$H$18,_xll.qlASXdate(C21),G21,I21,Permanent,Trigger,ObjectOverwrite)</f>
        <v>obj_00274#0002</v>
      </c>
      <c r="K21" s="51"/>
      <c r="L21" s="10" t="str">
        <f t="shared" si="14"/>
        <v>FUT</v>
      </c>
      <c r="M21" s="98" t="str">
        <f t="shared" si="15"/>
        <v>obj_00278#0002</v>
      </c>
      <c r="N21" s="144" t="str">
        <f>IFERROR(_xll.qlRateHelperQuoteName(M21,Trigger),"--")</f>
        <v>AUDFUT3MM6_Quote</v>
      </c>
      <c r="O21" s="149">
        <f>IFERROR(_xll.qlRateHelperQuoteValue($M21,Trigger),"--")</f>
        <v>97.835000000000008</v>
      </c>
      <c r="P21" s="101" t="b">
        <v>1</v>
      </c>
      <c r="Q21" s="98">
        <v>60</v>
      </c>
      <c r="R21" s="98">
        <v>21</v>
      </c>
      <c r="S21" s="103">
        <f>IFERROR(_xll.qlRateHelperEarliestDate(M21,Trigger),"--")</f>
        <v>42531</v>
      </c>
      <c r="T21" s="103">
        <f>IFERROR(_xll.qlRateHelperPillarDate(M21,Trigger),"--")</f>
        <v>42625</v>
      </c>
      <c r="V21" s="4" t="str">
        <f t="shared" si="3"/>
        <v>BasSw</v>
      </c>
      <c r="W21" s="4" t="str">
        <v>obj_00235</v>
      </c>
      <c r="X21" s="4" t="str">
        <f>IFERROR(_xll.qlRateHelperQuoteName(W21,Trigger),"")</f>
        <v>AUDSM6AB20Y_Quote</v>
      </c>
      <c r="Y21" s="73">
        <f>IFERROR(_xll.qlRateHelperRate(W21,Trigger),"")</f>
        <v>3.4387499999999994E-2</v>
      </c>
      <c r="Z21" s="108">
        <f>IF(ISERROR(_xll.qlSwapRateHelperSpread($W21)),IF(ISERROR(_xll.qlFuturesRateHelperConvexityAdjustment($W21)),"",_xll.qlFuturesRateHelperConvexityAdjustment($W21)),_xll.qlSwapRateHelperSpread($W21))</f>
        <v>4.3750000000000001E-4</v>
      </c>
      <c r="AA21" s="5">
        <f>IFERROR(_xll.qlRateHelperEarliestDate(W21,Trigger),"")</f>
        <v>42356</v>
      </c>
      <c r="AB21" s="5">
        <f>IFERROR(_xll.qlRateHelperPillarDate(W21,Trigger),"")</f>
        <v>49661</v>
      </c>
      <c r="AC21" s="81">
        <v>0.49838667344726201</v>
      </c>
      <c r="AD21" s="175"/>
      <c r="AE21" s="161">
        <v>11</v>
      </c>
      <c r="AF21" s="162">
        <f>_xll.qlCalendarEndOfMonth(Calendar,_xll.qlCalendarAdvance(Calendar,AF20,"1m","mf",TRUE),Trigger)</f>
        <v>42674</v>
      </c>
      <c r="AG21" s="161" t="str">
        <f t="shared" si="7"/>
        <v>AUDJump11_SYNTHON_Quote</v>
      </c>
      <c r="AH21" s="180">
        <f>_xll.qlDayCounterYearFraction("actual/360",AF21,_xll.qlCalendarAdvance(Calendar,AF21,"1D",,,Trigger))</f>
        <v>2.7777777777777779E-3</v>
      </c>
      <c r="AI21" s="163" t="e">
        <f>IF(_xll.qlQuoteIsValid(AG21,Trigger),_xll.qlQuoteValue(AG21,Trigger),1)</f>
        <v>#NUM!</v>
      </c>
      <c r="AJ21" s="183" t="e">
        <f t="shared" si="11"/>
        <v>#NUM!</v>
      </c>
      <c r="AK21" s="164"/>
      <c r="AL21" s="163" t="str">
        <f t="shared" si="12"/>
        <v>AUDJump11_SYNTHON_Quote</v>
      </c>
    </row>
    <row r="22" spans="1:38" ht="11.25" customHeight="1" x14ac:dyDescent="0.2">
      <c r="A22" s="62" t="s">
        <v>98</v>
      </c>
      <c r="B22" s="115" t="b">
        <v>0</v>
      </c>
      <c r="C22" s="65" t="str">
        <f>_xll.qlASXNextCode(C21,B22,Trigger)</f>
        <v>H6</v>
      </c>
      <c r="D22" s="122"/>
      <c r="E22" s="122"/>
      <c r="F22" s="122"/>
      <c r="G22" s="64" t="str">
        <f t="shared" si="16"/>
        <v>AudBBSW3M</v>
      </c>
      <c r="H22" s="118" t="str">
        <f t="shared" si="17"/>
        <v>AUDFUT3MH6_Quote</v>
      </c>
      <c r="I22" s="118" t="str">
        <f t="shared" si="18"/>
        <v>AUDFUT3MH6ConvAdj_Quote</v>
      </c>
      <c r="J22" s="67" t="str">
        <f>_xll.qlFuturesRateHelper(,H22,$H$18,_xll.qlASXdate(C22),G22,I22,Permanent,Trigger,ObjectOverwrite)</f>
        <v>obj_00275#0002</v>
      </c>
      <c r="K22" s="51"/>
      <c r="L22" s="10" t="str">
        <f t="shared" si="14"/>
        <v>FUT</v>
      </c>
      <c r="M22" s="98" t="str">
        <f t="shared" si="15"/>
        <v>obj_00279#0002</v>
      </c>
      <c r="N22" s="144" t="str">
        <f>IFERROR(_xll.qlRateHelperQuoteName(M22,Trigger),"--")</f>
        <v>AUDFUT3MU6_Quote</v>
      </c>
      <c r="O22" s="149">
        <f>IFERROR(_xll.qlRateHelperQuoteValue($M22,Trigger),"--")</f>
        <v>97.865000000000009</v>
      </c>
      <c r="P22" s="101" t="b">
        <v>1</v>
      </c>
      <c r="Q22" s="98">
        <v>60</v>
      </c>
      <c r="R22" s="98">
        <v>21</v>
      </c>
      <c r="S22" s="103">
        <f>IFERROR(_xll.qlRateHelperEarliestDate(M22,Trigger),"--")</f>
        <v>42622</v>
      </c>
      <c r="T22" s="103">
        <f>IFERROR(_xll.qlRateHelperPillarDate(M22,Trigger),"--")</f>
        <v>42713</v>
      </c>
      <c r="V22" s="4" t="str">
        <f t="shared" si="3"/>
        <v>BasSw</v>
      </c>
      <c r="W22" s="4" t="str">
        <v>obj_0023b</v>
      </c>
      <c r="X22" s="4" t="str">
        <f>IFERROR(_xll.qlRateHelperQuoteName(W22,Trigger),"")</f>
        <v>AUDSM6AB25Y_Quote</v>
      </c>
      <c r="Y22" s="73">
        <f>IFERROR(_xll.qlRateHelperRate(W22,Trigger),"")</f>
        <v>3.4812500000000003E-2</v>
      </c>
      <c r="Z22" s="108">
        <f>IF(ISERROR(_xll.qlSwapRateHelperSpread($W22)),IF(ISERROR(_xll.qlFuturesRateHelperConvexityAdjustment($W22)),"",_xll.qlFuturesRateHelperConvexityAdjustment($W22)),_xll.qlSwapRateHelperSpread($W22))</f>
        <v>3.8749999999999999E-4</v>
      </c>
      <c r="AA22" s="5">
        <f>IFERROR(_xll.qlRateHelperEarliestDate(W22,Trigger),"")</f>
        <v>42356</v>
      </c>
      <c r="AB22" s="5">
        <f>IFERROR(_xll.qlRateHelperPillarDate(W22,Trigger),"")</f>
        <v>51488</v>
      </c>
      <c r="AC22" s="81">
        <v>0.41403004898308121</v>
      </c>
      <c r="AD22" s="175"/>
      <c r="AE22" s="161">
        <v>12</v>
      </c>
      <c r="AF22" s="162">
        <f>_xll.qlCalendarEndOfMonth(Calendar,_xll.qlCalendarAdvance(Calendar,AF21,"1m","mf",TRUE),Trigger)</f>
        <v>42704</v>
      </c>
      <c r="AG22" s="161" t="str">
        <f t="shared" si="7"/>
        <v>AUDJump12_SYNTHON_Quote</v>
      </c>
      <c r="AH22" s="180">
        <f>_xll.qlDayCounterYearFraction("actual/360",AF22,_xll.qlCalendarAdvance(Calendar,AF22,"1D",,,Trigger))</f>
        <v>2.7777777777777779E-3</v>
      </c>
      <c r="AI22" s="163" t="e">
        <f>IF(_xll.qlQuoteIsValid(AG22,Trigger),_xll.qlQuoteValue(AG22,Trigger),1)</f>
        <v>#NUM!</v>
      </c>
      <c r="AJ22" s="183" t="e">
        <f t="shared" si="11"/>
        <v>#NUM!</v>
      </c>
      <c r="AK22" s="164"/>
      <c r="AL22" s="163" t="str">
        <f t="shared" si="12"/>
        <v>AUDJump12_SYNTHON_Quote</v>
      </c>
    </row>
    <row r="23" spans="1:38" ht="11.25" customHeight="1" x14ac:dyDescent="0.2">
      <c r="A23" s="62" t="s">
        <v>98</v>
      </c>
      <c r="B23" s="115" t="b">
        <v>0</v>
      </c>
      <c r="C23" s="65" t="str">
        <f>_xll.qlASXNextCode(C22,B23,Trigger)</f>
        <v>J6</v>
      </c>
      <c r="D23" s="122"/>
      <c r="E23" s="122"/>
      <c r="F23" s="122"/>
      <c r="G23" s="64" t="str">
        <f t="shared" si="16"/>
        <v>AudBBSW3M</v>
      </c>
      <c r="H23" s="118" t="str">
        <f t="shared" si="17"/>
        <v>AUDFUT3MJ6_Quote</v>
      </c>
      <c r="I23" s="118" t="str">
        <f t="shared" si="18"/>
        <v>AUDFUT3MJ6ConvAdj_Quote</v>
      </c>
      <c r="J23" s="67" t="str">
        <f>_xll.qlFuturesRateHelper(,H23,$H$18,_xll.qlASXdate(C23),G23,I23,Permanent,Trigger,ObjectOverwrite)</f>
        <v>obj_00276#0002</v>
      </c>
      <c r="K23" s="51"/>
      <c r="L23" s="10" t="str">
        <f t="shared" si="14"/>
        <v>FUT</v>
      </c>
      <c r="M23" s="98" t="str">
        <f t="shared" si="15"/>
        <v>obj_0027a#0002</v>
      </c>
      <c r="N23" s="144" t="str">
        <f>IFERROR(_xll.qlRateHelperQuoteName(M23,Trigger),"--")</f>
        <v>AUDFUT3MZ6_Quote</v>
      </c>
      <c r="O23" s="149">
        <f>IFERROR(_xll.qlRateHelperQuoteValue($M23,Trigger),"--")</f>
        <v>97.865000000000009</v>
      </c>
      <c r="P23" s="101" t="b">
        <v>1</v>
      </c>
      <c r="Q23" s="98">
        <v>60</v>
      </c>
      <c r="R23" s="98">
        <v>21</v>
      </c>
      <c r="S23" s="103">
        <f>IFERROR(_xll.qlRateHelperEarliestDate(M23,Trigger),"--")</f>
        <v>42713</v>
      </c>
      <c r="T23" s="103">
        <f>IFERROR(_xll.qlRateHelperPillarDate(M23,Trigger),"--")</f>
        <v>42803</v>
      </c>
      <c r="V23" s="4" t="str">
        <f t="shared" si="3"/>
        <v>BasSw</v>
      </c>
      <c r="W23" s="4" t="str">
        <v>obj_00244</v>
      </c>
      <c r="X23" s="4" t="str">
        <f>IFERROR(_xll.qlRateHelperQuoteName(W23,Trigger),"")</f>
        <v>AUDSM6AB30Y_Quote</v>
      </c>
      <c r="Y23" s="73">
        <f>IFERROR(_xll.qlRateHelperRate(W23,Trigger),"")</f>
        <v>3.4662499999999999E-2</v>
      </c>
      <c r="Z23" s="108">
        <f>IF(ISERROR(_xll.qlSwapRateHelperSpread($W23)),IF(ISERROR(_xll.qlFuturesRateHelperConvexityAdjustment($W23)),"",_xll.qlFuturesRateHelperConvexityAdjustment($W23)),_xll.qlSwapRateHelperSpread($W23))</f>
        <v>3.5E-4</v>
      </c>
      <c r="AA23" s="5">
        <f>IFERROR(_xll.qlRateHelperEarliestDate(W23,Trigger),"")</f>
        <v>42356</v>
      </c>
      <c r="AB23" s="5">
        <f>IFERROR(_xll.qlRateHelperPillarDate(W23,Trigger),"")</f>
        <v>53314</v>
      </c>
      <c r="AC23" s="81">
        <v>0.35094852049820063</v>
      </c>
      <c r="AD23" s="175"/>
      <c r="AE23" s="165">
        <v>13</v>
      </c>
      <c r="AF23" s="166">
        <f>_xll.qlCalendarAdjust(Calendar,DATE(YEAR(AF11)+1,12,31),"preceding",Trigger)</f>
        <v>42734</v>
      </c>
      <c r="AG23" s="165" t="str">
        <f t="shared" si="7"/>
        <v>AUDJump13_SYNTHON_Quote</v>
      </c>
      <c r="AH23" s="181">
        <f>_xll.qlDayCounterYearFraction("actual/360",AF23,_xll.qlCalendarAdvance(Calendar,AF23,"1D",,,Trigger))</f>
        <v>8.3333333333333332E-3</v>
      </c>
      <c r="AI23" s="167" t="e">
        <f>IF(_xll.qlQuoteIsValid(AG23,Trigger),_xll.qlQuoteValue(AG23,Trigger),1)</f>
        <v>#NUM!</v>
      </c>
      <c r="AJ23" s="184" t="e">
        <f t="shared" si="11"/>
        <v>#NUM!</v>
      </c>
      <c r="AK23" s="168"/>
      <c r="AL23" s="167" t="str">
        <f t="shared" si="12"/>
        <v>AUDJump13_SYNTHON_Quote</v>
      </c>
    </row>
    <row r="24" spans="1:38" ht="11.25" customHeight="1" x14ac:dyDescent="0.2">
      <c r="A24" s="1" t="s">
        <v>98</v>
      </c>
      <c r="B24" s="116" t="b">
        <v>0</v>
      </c>
      <c r="C24" s="9" t="str">
        <f>_xll.qlASXNextCode(C23,B24,Trigger)</f>
        <v>K6</v>
      </c>
      <c r="D24" s="123"/>
      <c r="E24" s="123"/>
      <c r="F24" s="123"/>
      <c r="G24" s="7" t="str">
        <f t="shared" si="16"/>
        <v>AudBBSW3M</v>
      </c>
      <c r="H24" s="119" t="str">
        <f t="shared" si="17"/>
        <v>AUDFUT3MK6_Quote</v>
      </c>
      <c r="I24" s="119" t="str">
        <f t="shared" si="18"/>
        <v>AUDFUT3MK6ConvAdj_Quote</v>
      </c>
      <c r="J24" s="3" t="str">
        <f>_xll.qlFuturesRateHelper(,H24,$H$18,_xll.qlASXdate(C24),G24,I24,Permanent,Trigger,ObjectOverwrite)</f>
        <v>obj_00277#0002</v>
      </c>
      <c r="K24" s="51"/>
      <c r="L24" s="10" t="str">
        <f t="shared" si="14"/>
        <v>FUT</v>
      </c>
      <c r="M24" s="98" t="str">
        <f t="shared" si="15"/>
        <v>obj_0027b#0002</v>
      </c>
      <c r="N24" s="144" t="str">
        <f>IFERROR(_xll.qlRateHelperQuoteName(M24,Trigger),"--")</f>
        <v>AUDFUT3MH7_Quote</v>
      </c>
      <c r="O24" s="149">
        <f>IFERROR(_xll.qlRateHelperQuoteValue($M24,Trigger),"--")</f>
        <v>97.835000000000008</v>
      </c>
      <c r="P24" s="101" t="b">
        <v>1</v>
      </c>
      <c r="Q24" s="98">
        <v>60</v>
      </c>
      <c r="R24" s="98">
        <v>21</v>
      </c>
      <c r="S24" s="103">
        <f>IFERROR(_xll.qlRateHelperEarliestDate(M24,Trigger),"--")</f>
        <v>42804</v>
      </c>
      <c r="T24" s="103">
        <f>IFERROR(_xll.qlRateHelperPillarDate(M24,Trigger),"--")</f>
        <v>42899</v>
      </c>
      <c r="V24" s="4" t="str">
        <f t="shared" si="3"/>
        <v/>
      </c>
      <c r="W24" s="4" t="e">
        <v>#N/A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#N/A</v>
      </c>
      <c r="AD24" s="175"/>
    </row>
    <row r="25" spans="1:38" ht="11.25" customHeight="1" x14ac:dyDescent="0.2">
      <c r="A25" s="62" t="s">
        <v>98</v>
      </c>
      <c r="B25" s="115" t="b">
        <v>1</v>
      </c>
      <c r="C25" s="65" t="str">
        <f>_xll.qlASXNextCode(C24,B25,Trigger)</f>
        <v>M6</v>
      </c>
      <c r="D25" s="122"/>
      <c r="E25" s="122"/>
      <c r="F25" s="122"/>
      <c r="G25" s="64" t="str">
        <f t="shared" si="16"/>
        <v>AudBBSW3M</v>
      </c>
      <c r="H25" s="118" t="str">
        <f t="shared" si="17"/>
        <v>AUDFUT3MM6_Quote</v>
      </c>
      <c r="I25" s="118" t="str">
        <f t="shared" si="18"/>
        <v>AUDFUT3MM6ConvAdj_Quote</v>
      </c>
      <c r="J25" s="67" t="str">
        <f>_xll.qlFuturesRateHelper(,H25,$H$18,_xll.qlASXdate(C25),G25,I25,Permanent,Trigger,ObjectOverwrite)</f>
        <v>obj_00278#0002</v>
      </c>
      <c r="K25" s="51"/>
      <c r="L25" s="10" t="str">
        <f t="shared" si="14"/>
        <v>FUT</v>
      </c>
      <c r="M25" s="98" t="str">
        <f t="shared" si="15"/>
        <v>obj_0027c#0002</v>
      </c>
      <c r="N25" s="144" t="str">
        <f>IFERROR(_xll.qlRateHelperQuoteName(M25,Trigger),"--")</f>
        <v>AUDFUT3MM7_Quote</v>
      </c>
      <c r="O25" s="149">
        <f>IFERROR(_xll.qlRateHelperQuoteValue($M25,Trigger),"--")</f>
        <v>97.795000000000002</v>
      </c>
      <c r="P25" s="101" t="b">
        <v>1</v>
      </c>
      <c r="Q25" s="98">
        <v>60</v>
      </c>
      <c r="R25" s="98">
        <v>21</v>
      </c>
      <c r="S25" s="103">
        <f>IFERROR(_xll.qlRateHelperEarliestDate(M25,Trigger),"--")</f>
        <v>42895</v>
      </c>
      <c r="T25" s="103">
        <f>IFERROR(_xll.qlRateHelperPillarDate(M25,Trigger),"--")</f>
        <v>42989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#N/A</v>
      </c>
      <c r="AD25" s="175"/>
    </row>
    <row r="26" spans="1:38" ht="11.25" customHeight="1" x14ac:dyDescent="0.2">
      <c r="A26" s="62" t="s">
        <v>98</v>
      </c>
      <c r="B26" s="115" t="b">
        <v>1</v>
      </c>
      <c r="C26" s="65" t="str">
        <f>_xll.qlASXNextCode(C25,B26,Trigger)</f>
        <v>U6</v>
      </c>
      <c r="D26" s="122"/>
      <c r="E26" s="122"/>
      <c r="F26" s="122"/>
      <c r="G26" s="64" t="str">
        <f t="shared" si="16"/>
        <v>AudBBSW3M</v>
      </c>
      <c r="H26" s="118" t="str">
        <f t="shared" si="17"/>
        <v>AUDFUT3MU6_Quote</v>
      </c>
      <c r="I26" s="118" t="str">
        <f t="shared" si="18"/>
        <v>AUDFUT3MU6ConvAdj_Quote</v>
      </c>
      <c r="J26" s="67" t="str">
        <f>_xll.qlFuturesRateHelper(,H26,$H$18,_xll.qlASXdate(C26),G26,I26,Permanent,Trigger,ObjectOverwrite)</f>
        <v>obj_00279#0002</v>
      </c>
      <c r="K26" s="51"/>
      <c r="L26" s="10" t="str">
        <f t="shared" si="14"/>
        <v>FUT</v>
      </c>
      <c r="M26" s="98" t="str">
        <f t="shared" si="15"/>
        <v>obj_0027d#0002</v>
      </c>
      <c r="N26" s="144" t="str">
        <f>IFERROR(_xll.qlRateHelperQuoteName(M26,Trigger),"--")</f>
        <v>AUDFUT3MU7_Quote</v>
      </c>
      <c r="O26" s="149">
        <f>IFERROR(_xll.qlRateHelperQuoteValue($M26,Trigger),"--")</f>
        <v>97.745000000000005</v>
      </c>
      <c r="P26" s="101" t="b">
        <v>1</v>
      </c>
      <c r="Q26" s="98">
        <v>60</v>
      </c>
      <c r="R26" s="98">
        <v>21</v>
      </c>
      <c r="S26" s="103">
        <f>IFERROR(_xll.qlRateHelperEarliestDate(M26,Trigger),"--")</f>
        <v>42986</v>
      </c>
      <c r="T26" s="103">
        <f>IFERROR(_xll.qlRateHelperPillarDate(M26,Trigger),"--")</f>
        <v>43077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#N/A</v>
      </c>
      <c r="AD26" s="175"/>
    </row>
    <row r="27" spans="1:38" ht="11.25" customHeight="1" x14ac:dyDescent="0.2">
      <c r="A27" s="62" t="s">
        <v>98</v>
      </c>
      <c r="B27" s="115" t="b">
        <v>1</v>
      </c>
      <c r="C27" s="65" t="str">
        <f>_xll.qlASXNextCode(C26,B27,Trigger)</f>
        <v>Z6</v>
      </c>
      <c r="D27" s="122"/>
      <c r="E27" s="122"/>
      <c r="F27" s="122"/>
      <c r="G27" s="64" t="str">
        <f t="shared" si="16"/>
        <v>AudBBSW3M</v>
      </c>
      <c r="H27" s="118" t="str">
        <f t="shared" si="17"/>
        <v>AUDFUT3MZ6_Quote</v>
      </c>
      <c r="I27" s="118" t="str">
        <f t="shared" si="18"/>
        <v>AUDFUT3MZ6ConvAdj_Quote</v>
      </c>
      <c r="J27" s="67" t="str">
        <f>_xll.qlFuturesRateHelper(,H27,$H$18,_xll.qlASXdate(C27),G27,I27,Permanent,Trigger,ObjectOverwrite)</f>
        <v>obj_0027a#0002</v>
      </c>
      <c r="K27" s="51"/>
      <c r="L27" s="10" t="str">
        <f t="shared" si="14"/>
        <v>FUT</v>
      </c>
      <c r="M27" s="98" t="str">
        <f t="shared" si="15"/>
        <v>obj_0027e#0002</v>
      </c>
      <c r="N27" s="144" t="str">
        <f>IFERROR(_xll.qlRateHelperQuoteName(M27,Trigger),"--")</f>
        <v>AUDFUT3MZ7_Quote</v>
      </c>
      <c r="O27" s="149">
        <f>IFERROR(_xll.qlRateHelperQuoteValue($M27,Trigger),"--")</f>
        <v>97.685000000000002</v>
      </c>
      <c r="P27" s="101" t="b">
        <v>1</v>
      </c>
      <c r="Q27" s="98">
        <v>60</v>
      </c>
      <c r="R27" s="98">
        <v>21</v>
      </c>
      <c r="S27" s="103">
        <f>IFERROR(_xll.qlRateHelperEarliestDate(M27,Trigger),"--")</f>
        <v>43077</v>
      </c>
      <c r="T27" s="103">
        <f>IFERROR(_xll.qlRateHelperPillarDate(M27,Trigger),"--")</f>
        <v>43167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#N/A</v>
      </c>
      <c r="AD27" s="175"/>
    </row>
    <row r="28" spans="1:38" ht="11.25" customHeight="1" x14ac:dyDescent="0.2">
      <c r="A28" s="62" t="s">
        <v>98</v>
      </c>
      <c r="B28" s="115" t="b">
        <v>1</v>
      </c>
      <c r="C28" s="65" t="str">
        <f>_xll.qlASXNextCode(C27,B28,Trigger)</f>
        <v>H7</v>
      </c>
      <c r="D28" s="122"/>
      <c r="E28" s="122"/>
      <c r="F28" s="122"/>
      <c r="G28" s="64" t="str">
        <f t="shared" si="16"/>
        <v>AudBBSW3M</v>
      </c>
      <c r="H28" s="118" t="str">
        <f t="shared" si="17"/>
        <v>AUDFUT3MH7_Quote</v>
      </c>
      <c r="I28" s="118" t="str">
        <f t="shared" si="18"/>
        <v>AUDFUT3MH7ConvAdj_Quote</v>
      </c>
      <c r="J28" s="67" t="str">
        <f>_xll.qlFuturesRateHelper(,H28,$H$18,_xll.qlASXdate(C28),G28,I28,Permanent,Trigger,ObjectOverwrite)</f>
        <v>obj_0027b#0002</v>
      </c>
      <c r="K28" s="51"/>
      <c r="L28" s="10" t="str">
        <f t="shared" si="14"/>
        <v>FUT</v>
      </c>
      <c r="M28" s="98" t="str">
        <f t="shared" si="15"/>
        <v>obj_0027f#0002</v>
      </c>
      <c r="N28" s="144" t="str">
        <f>IFERROR(_xll.qlRateHelperQuoteName(M28,Trigger),"--")</f>
        <v>AUDFUT3MH8_Quote</v>
      </c>
      <c r="O28" s="149">
        <f>IFERROR(_xll.qlRateHelperQuoteValue($M28,Trigger),"--")</f>
        <v>97.62</v>
      </c>
      <c r="P28" s="101" t="b">
        <v>1</v>
      </c>
      <c r="Q28" s="98">
        <v>60</v>
      </c>
      <c r="R28" s="98">
        <v>21</v>
      </c>
      <c r="S28" s="103">
        <f>IFERROR(_xll.qlRateHelperEarliestDate(M28,Trigger),"--")</f>
        <v>43168</v>
      </c>
      <c r="T28" s="103">
        <f>IFERROR(_xll.qlRateHelperPillarDate(M28,Trigger),"--")</f>
        <v>43263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#N/A</v>
      </c>
      <c r="AD28" s="175"/>
    </row>
    <row r="29" spans="1:38" ht="11.25" customHeight="1" x14ac:dyDescent="0.2">
      <c r="A29" s="62" t="s">
        <v>98</v>
      </c>
      <c r="B29" s="115" t="b">
        <v>1</v>
      </c>
      <c r="C29" s="65" t="str">
        <f>_xll.qlASXNextCode(C28,B29,Trigger)</f>
        <v>M7</v>
      </c>
      <c r="D29" s="122"/>
      <c r="E29" s="122"/>
      <c r="F29" s="122"/>
      <c r="G29" s="64" t="str">
        <f t="shared" si="16"/>
        <v>AudBBSW3M</v>
      </c>
      <c r="H29" s="118" t="str">
        <f t="shared" si="17"/>
        <v>AUDFUT3MM7_Quote</v>
      </c>
      <c r="I29" s="118" t="str">
        <f t="shared" si="18"/>
        <v>AUDFUT3MM7ConvAdj_Quote</v>
      </c>
      <c r="J29" s="67" t="str">
        <f>_xll.qlFuturesRateHelper(,H29,$H$18,_xll.qlASXdate(C29),G29,I29,Permanent,Trigger,ObjectOverwrite)</f>
        <v>obj_0027c#0002</v>
      </c>
      <c r="K29" s="51"/>
      <c r="L29" s="10" t="str">
        <f t="shared" si="14"/>
        <v>FUT</v>
      </c>
      <c r="M29" s="98" t="str">
        <f t="shared" si="15"/>
        <v>obj_00280#0002</v>
      </c>
      <c r="N29" s="144" t="str">
        <f>IFERROR(_xll.qlRateHelperQuoteName(M29,Trigger),"--")</f>
        <v>AUDFUT3MM8_Quote</v>
      </c>
      <c r="O29" s="149">
        <f>IFERROR(_xll.qlRateHelperQuoteValue($M29,Trigger),"--")</f>
        <v>97.550000000000011</v>
      </c>
      <c r="P29" s="101" t="b">
        <v>1</v>
      </c>
      <c r="Q29" s="98">
        <v>30</v>
      </c>
      <c r="R29" s="98">
        <v>21</v>
      </c>
      <c r="S29" s="103">
        <f>IFERROR(_xll.qlRateHelperEarliestDate(M29,Trigger),"--")</f>
        <v>43259</v>
      </c>
      <c r="T29" s="103">
        <f>IFERROR(_xll.qlRateHelperPillarDate(M29,Trigger),"--")</f>
        <v>43353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#N/A</v>
      </c>
      <c r="AD29" s="175"/>
    </row>
    <row r="30" spans="1:38" ht="11.25" customHeight="1" x14ac:dyDescent="0.2">
      <c r="A30" s="62" t="s">
        <v>98</v>
      </c>
      <c r="B30" s="115" t="b">
        <v>1</v>
      </c>
      <c r="C30" s="65" t="str">
        <f>_xll.qlASXNextCode(C29,B30,Trigger)</f>
        <v>U7</v>
      </c>
      <c r="D30" s="122"/>
      <c r="E30" s="122"/>
      <c r="F30" s="122"/>
      <c r="G30" s="64" t="str">
        <f t="shared" si="16"/>
        <v>AudBBSW3M</v>
      </c>
      <c r="H30" s="118" t="str">
        <f t="shared" si="17"/>
        <v>AUDFUT3MU7_Quote</v>
      </c>
      <c r="I30" s="118" t="str">
        <f t="shared" si="18"/>
        <v>AUDFUT3MU7ConvAdj_Quote</v>
      </c>
      <c r="J30" s="67" t="str">
        <f>_xll.qlFuturesRateHelper(,H30,$H$18,_xll.qlASXdate(C30),G30,I30,Permanent,Trigger,ObjectOverwrite)</f>
        <v>obj_0027d#0002</v>
      </c>
      <c r="K30" s="51"/>
      <c r="L30" s="10" t="str">
        <f t="shared" si="14"/>
        <v>FUT</v>
      </c>
      <c r="M30" s="98" t="str">
        <f t="shared" si="15"/>
        <v>obj_00281#0002</v>
      </c>
      <c r="N30" s="144" t="str">
        <f>IFERROR(_xll.qlRateHelperQuoteName(M30,Trigger),"--")</f>
        <v>AUDFUT3MU8_Quote</v>
      </c>
      <c r="O30" s="149">
        <f>IFERROR(_xll.qlRateHelperQuoteValue($M30,Trigger),"--")</f>
        <v>97.474999999999994</v>
      </c>
      <c r="P30" s="101" t="b">
        <v>1</v>
      </c>
      <c r="Q30" s="98">
        <v>30</v>
      </c>
      <c r="R30" s="98">
        <v>21</v>
      </c>
      <c r="S30" s="103">
        <f>IFERROR(_xll.qlRateHelperEarliestDate(M30,Trigger),"--")</f>
        <v>43357</v>
      </c>
      <c r="T30" s="103">
        <f>IFERROR(_xll.qlRateHelperPillarDate(M30,Trigger),"--")</f>
        <v>43448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</row>
    <row r="31" spans="1:38" ht="11.25" customHeight="1" x14ac:dyDescent="0.2">
      <c r="A31" s="62" t="s">
        <v>98</v>
      </c>
      <c r="B31" s="115" t="b">
        <v>1</v>
      </c>
      <c r="C31" s="65" t="str">
        <f>_xll.qlASXNextCode(C30,B31,Trigger)</f>
        <v>Z7</v>
      </c>
      <c r="D31" s="122"/>
      <c r="E31" s="122"/>
      <c r="F31" s="122"/>
      <c r="G31" s="64" t="str">
        <f t="shared" si="16"/>
        <v>AudBBSW3M</v>
      </c>
      <c r="H31" s="118" t="str">
        <f t="shared" si="17"/>
        <v>AUDFUT3MZ7_Quote</v>
      </c>
      <c r="I31" s="118" t="str">
        <f t="shared" si="18"/>
        <v>AUDFUT3MZ7ConvAdj_Quote</v>
      </c>
      <c r="J31" s="67" t="str">
        <f>_xll.qlFuturesRateHelper(,H31,$H$18,_xll.qlASXdate(C31),G31,I31,Permanent,Trigger,ObjectOverwrite)</f>
        <v>obj_0027e#0002</v>
      </c>
      <c r="K31" s="51"/>
      <c r="L31" s="10" t="str">
        <f t="shared" si="14"/>
        <v>FUT</v>
      </c>
      <c r="M31" s="98" t="str">
        <f t="shared" si="15"/>
        <v>obj_00282#0002</v>
      </c>
      <c r="N31" s="144" t="str">
        <f>IFERROR(_xll.qlRateHelperQuoteName(M31,Trigger),"--")</f>
        <v>AUDFUT3MZ8_Quote</v>
      </c>
      <c r="O31" s="149">
        <f>IFERROR(_xll.qlRateHelperQuoteValue($M31,Trigger),"--")</f>
        <v>97.41</v>
      </c>
      <c r="P31" s="101" t="b">
        <v>1</v>
      </c>
      <c r="Q31" s="98">
        <v>30</v>
      </c>
      <c r="R31" s="98">
        <v>21</v>
      </c>
      <c r="S31" s="103">
        <f>IFERROR(_xll.qlRateHelperEarliestDate(M31,Trigger),"--")</f>
        <v>43448</v>
      </c>
      <c r="T31" s="103">
        <f>IFERROR(_xll.qlRateHelperPillarDate(M31,Trigger),"--")</f>
        <v>43538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</row>
    <row r="32" spans="1:38" ht="11.25" customHeight="1" x14ac:dyDescent="0.2">
      <c r="A32" s="62" t="s">
        <v>98</v>
      </c>
      <c r="B32" s="115" t="b">
        <v>1</v>
      </c>
      <c r="C32" s="65" t="str">
        <f>_xll.qlASXNextCode(C31,B32,Trigger)</f>
        <v>H8</v>
      </c>
      <c r="D32" s="122"/>
      <c r="E32" s="122"/>
      <c r="F32" s="122"/>
      <c r="G32" s="64" t="str">
        <f t="shared" si="16"/>
        <v>AudBBSW3M</v>
      </c>
      <c r="H32" s="118" t="str">
        <f t="shared" si="17"/>
        <v>AUDFUT3MH8_Quote</v>
      </c>
      <c r="I32" s="118" t="str">
        <f t="shared" si="18"/>
        <v>AUDFUT3MH8ConvAdj_Quote</v>
      </c>
      <c r="J32" s="67" t="str">
        <f>_xll.qlFuturesRateHelper(,H32,$H$18,_xll.qlASXdate(C32),G32,I32,Permanent,Trigger,ObjectOverwrite)</f>
        <v>obj_0027f#0002</v>
      </c>
      <c r="K32" s="51"/>
      <c r="L32" s="10" t="str">
        <f t="shared" si="14"/>
        <v>FUT</v>
      </c>
      <c r="M32" s="98" t="str">
        <f t="shared" si="15"/>
        <v>obj_00283#0002</v>
      </c>
      <c r="N32" s="144" t="str">
        <f>IFERROR(_xll.qlRateHelperQuoteName(M32,Trigger),"--")</f>
        <v>AUDFUT3MH9_Quote</v>
      </c>
      <c r="O32" s="149">
        <f>IFERROR(_xll.qlRateHelperQuoteValue($M32,Trigger),"--")</f>
        <v>0</v>
      </c>
      <c r="P32" s="101" t="b">
        <v>1</v>
      </c>
      <c r="Q32" s="98">
        <v>30</v>
      </c>
      <c r="R32" s="98">
        <v>21</v>
      </c>
      <c r="S32" s="103">
        <f>IFERROR(_xll.qlRateHelperEarliestDate(M32,Trigger),"--")</f>
        <v>43532</v>
      </c>
      <c r="T32" s="103">
        <f>IFERROR(_xll.qlRateHelperPillarDate(M32,Trigger),"--")</f>
        <v>43627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</row>
    <row r="33" spans="1:29" ht="11.25" customHeight="1" x14ac:dyDescent="0.2">
      <c r="A33" s="62" t="s">
        <v>98</v>
      </c>
      <c r="B33" s="115" t="b">
        <v>1</v>
      </c>
      <c r="C33" s="65" t="str">
        <f>_xll.qlASXNextCode(C32,B33,Trigger)</f>
        <v>M8</v>
      </c>
      <c r="D33" s="122"/>
      <c r="E33" s="122"/>
      <c r="F33" s="122"/>
      <c r="G33" s="64" t="str">
        <f t="shared" si="16"/>
        <v>AudBBSW3M</v>
      </c>
      <c r="H33" s="118" t="str">
        <f t="shared" si="17"/>
        <v>AUDFUT3MM8_Quote</v>
      </c>
      <c r="I33" s="118" t="str">
        <f t="shared" si="18"/>
        <v>AUDFUT3MM8ConvAdj_Quote</v>
      </c>
      <c r="J33" s="67" t="str">
        <f>_xll.qlFuturesRateHelper(,H33,$H$18,_xll.qlASXdate(C33),G33,I33,Permanent,Trigger,ObjectOverwrite)</f>
        <v>obj_00280#0002</v>
      </c>
      <c r="K33" s="51"/>
      <c r="L33" s="10" t="str">
        <f t="shared" si="14"/>
        <v>FUT</v>
      </c>
      <c r="M33" s="98" t="str">
        <f t="shared" si="15"/>
        <v>obj_00285#0002</v>
      </c>
      <c r="N33" s="144" t="str">
        <f>IFERROR(_xll.qlRateHelperQuoteName(M33,Trigger),"--")</f>
        <v>AUDFUT3MM9_Quote</v>
      </c>
      <c r="O33" s="149">
        <f>IFERROR(_xll.qlRateHelperQuoteValue($M33,Trigger),"--")</f>
        <v>0</v>
      </c>
      <c r="P33" s="101" t="b">
        <v>1</v>
      </c>
      <c r="Q33" s="98">
        <v>30</v>
      </c>
      <c r="R33" s="98">
        <v>21</v>
      </c>
      <c r="S33" s="103">
        <f>IFERROR(_xll.qlRateHelperEarliestDate(M33,Trigger),"--")</f>
        <v>43630</v>
      </c>
      <c r="T33" s="103">
        <f>IFERROR(_xll.qlRateHelperPillarDate(M33,Trigger),"--")</f>
        <v>43721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</row>
    <row r="34" spans="1:29" ht="11.25" customHeight="1" x14ac:dyDescent="0.2">
      <c r="A34" s="62" t="s">
        <v>98</v>
      </c>
      <c r="B34" s="115" t="b">
        <v>1</v>
      </c>
      <c r="C34" s="65" t="str">
        <f>_xll.qlASXNextCode(C33,B34,Trigger)</f>
        <v>U8</v>
      </c>
      <c r="D34" s="122"/>
      <c r="E34" s="122"/>
      <c r="F34" s="122"/>
      <c r="G34" s="64" t="str">
        <f t="shared" si="16"/>
        <v>AudBBSW3M</v>
      </c>
      <c r="H34" s="118" t="str">
        <f t="shared" si="17"/>
        <v>AUDFUT3MU8_Quote</v>
      </c>
      <c r="I34" s="118" t="str">
        <f t="shared" si="18"/>
        <v>AUDFUT3MU8ConvAdj_Quote</v>
      </c>
      <c r="J34" s="67" t="str">
        <f>_xll.qlFuturesRateHelper(,H34,$H$18,_xll.qlASXdate(C34),G34,I34,Permanent,Trigger,ObjectOverwrite)</f>
        <v>obj_00281#0002</v>
      </c>
      <c r="K34" s="51"/>
      <c r="L34" s="10" t="str">
        <f t="shared" si="14"/>
        <v>FUT</v>
      </c>
      <c r="M34" s="98" t="str">
        <f t="shared" si="15"/>
        <v>obj_00288#0002</v>
      </c>
      <c r="N34" s="144" t="str">
        <f>IFERROR(_xll.qlRateHelperQuoteName(M34,Trigger),"--")</f>
        <v>AUDFUT3MU9_Quote</v>
      </c>
      <c r="O34" s="149">
        <f>IFERROR(_xll.qlRateHelperQuoteValue($M34,Trigger),"--")</f>
        <v>0</v>
      </c>
      <c r="P34" s="101" t="b">
        <v>1</v>
      </c>
      <c r="Q34" s="98">
        <v>30</v>
      </c>
      <c r="R34" s="98">
        <v>21</v>
      </c>
      <c r="S34" s="103">
        <f>IFERROR(_xll.qlRateHelperEarliestDate(M34,Trigger),"--")</f>
        <v>43721</v>
      </c>
      <c r="T34" s="103">
        <f>IFERROR(_xll.qlRateHelperPillarDate(M34,Trigger),"--")</f>
        <v>43812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</row>
    <row r="35" spans="1:29" ht="11.25" customHeight="1" x14ac:dyDescent="0.2">
      <c r="A35" s="62" t="s">
        <v>98</v>
      </c>
      <c r="B35" s="115" t="b">
        <v>1</v>
      </c>
      <c r="C35" s="65" t="str">
        <f>_xll.qlASXNextCode(C34,B35,Trigger)</f>
        <v>Z8</v>
      </c>
      <c r="D35" s="122"/>
      <c r="E35" s="122"/>
      <c r="F35" s="122"/>
      <c r="G35" s="64" t="str">
        <f t="shared" si="16"/>
        <v>AudBBSW3M</v>
      </c>
      <c r="H35" s="118" t="str">
        <f t="shared" si="17"/>
        <v>AUDFUT3MZ8_Quote</v>
      </c>
      <c r="I35" s="118" t="str">
        <f t="shared" si="18"/>
        <v>AUDFUT3MZ8ConvAdj_Quote</v>
      </c>
      <c r="J35" s="67" t="str">
        <f>_xll.qlFuturesRateHelper(,H35,$H$18,_xll.qlASXdate(C35),G35,I35,Permanent,Trigger,ObjectOverwrite)</f>
        <v>obj_00282#0002</v>
      </c>
      <c r="K35" s="51"/>
      <c r="L35" s="10" t="str">
        <f t="shared" si="14"/>
        <v>FUT</v>
      </c>
      <c r="M35" s="98" t="str">
        <f t="shared" si="15"/>
        <v>obj_00289#0002</v>
      </c>
      <c r="N35" s="144" t="str">
        <f>IFERROR(_xll.qlRateHelperQuoteName(M35,Trigger),"--")</f>
        <v>AUDFUT3MZ9_Quote</v>
      </c>
      <c r="O35" s="149">
        <f>IFERROR(_xll.qlRateHelperQuoteValue($M35,Trigger),"--")</f>
        <v>0</v>
      </c>
      <c r="P35" s="101" t="b">
        <v>1</v>
      </c>
      <c r="Q35" s="98">
        <v>30</v>
      </c>
      <c r="R35" s="98">
        <v>21</v>
      </c>
      <c r="S35" s="103">
        <f>IFERROR(_xll.qlRateHelperEarliestDate(M35,Trigger),"--")</f>
        <v>43812</v>
      </c>
      <c r="T35" s="103">
        <f>IFERROR(_xll.qlRateHelperPillarDate(M35,Trigger),"--")</f>
        <v>43903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29" ht="11.25" customHeight="1" x14ac:dyDescent="0.2">
      <c r="A36" s="62" t="s">
        <v>98</v>
      </c>
      <c r="B36" s="115" t="b">
        <v>1</v>
      </c>
      <c r="C36" s="65" t="str">
        <f>_xll.qlASXNextCode(C35,B36,Trigger)</f>
        <v>H9</v>
      </c>
      <c r="D36" s="122"/>
      <c r="E36" s="122"/>
      <c r="F36" s="122"/>
      <c r="G36" s="64" t="str">
        <f t="shared" si="16"/>
        <v>AudBBSW3M</v>
      </c>
      <c r="H36" s="118" t="str">
        <f t="shared" si="17"/>
        <v>AUDFUT3MH9_Quote</v>
      </c>
      <c r="I36" s="118" t="str">
        <f t="shared" si="18"/>
        <v>AUDFUT3MH9ConvAdj_Quote</v>
      </c>
      <c r="J36" s="67" t="str">
        <f>_xll.qlFuturesRateHelper(,H36,$H$18,_xll.qlASXdate(C36),G36,I36,Permanent,Trigger,ObjectOverwrite)</f>
        <v>obj_00283#0002</v>
      </c>
      <c r="K36" s="51"/>
      <c r="L36" s="10" t="str">
        <f t="shared" si="14"/>
        <v>FUT</v>
      </c>
      <c r="M36" s="98" t="str">
        <f t="shared" si="15"/>
        <v>obj_0028a#0002</v>
      </c>
      <c r="N36" s="144" t="str">
        <f>IFERROR(_xll.qlRateHelperQuoteName(M36,Trigger),"--")</f>
        <v>AUDFUT3MH0_Quote</v>
      </c>
      <c r="O36" s="149">
        <f>IFERROR(_xll.qlRateHelperQuoteValue($M36,Trigger),"--")</f>
        <v>0</v>
      </c>
      <c r="P36" s="101" t="b">
        <v>1</v>
      </c>
      <c r="Q36" s="98">
        <v>30</v>
      </c>
      <c r="R36" s="98">
        <v>21</v>
      </c>
      <c r="S36" s="103">
        <f>IFERROR(_xll.qlRateHelperEarliestDate(M36,Trigger),"--")</f>
        <v>43903</v>
      </c>
      <c r="T36" s="103">
        <f>IFERROR(_xll.qlRateHelperPillarDate(M36,Trigger),"--")</f>
        <v>43997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29" ht="11.25" customHeight="1" x14ac:dyDescent="0.2">
      <c r="A37" s="62" t="s">
        <v>98</v>
      </c>
      <c r="B37" s="115" t="b">
        <v>1</v>
      </c>
      <c r="C37" s="65" t="str">
        <f>_xll.qlASXNextCode(C36,B37,Trigger)</f>
        <v>M9</v>
      </c>
      <c r="D37" s="122"/>
      <c r="E37" s="122"/>
      <c r="F37" s="122"/>
      <c r="G37" s="64" t="str">
        <f t="shared" si="16"/>
        <v>AudBBSW3M</v>
      </c>
      <c r="H37" s="118" t="str">
        <f t="shared" si="17"/>
        <v>AUDFUT3MM9_Quote</v>
      </c>
      <c r="I37" s="118" t="str">
        <f t="shared" si="18"/>
        <v>AUDFUT3MM9ConvAdj_Quote</v>
      </c>
      <c r="J37" s="67" t="str">
        <f>_xll.qlFuturesRateHelper(,H37,$H$18,_xll.qlASXdate(C37),G37,I37,Permanent,Trigger,ObjectOverwrite)</f>
        <v>obj_00285#0002</v>
      </c>
      <c r="K37" s="51"/>
      <c r="L37" s="11" t="str">
        <f t="shared" si="14"/>
        <v>FUT</v>
      </c>
      <c r="M37" s="99" t="str">
        <f t="shared" si="15"/>
        <v>obj_0028b#0002</v>
      </c>
      <c r="N37" s="145" t="str">
        <f>IFERROR(_xll.qlRateHelperQuoteName(M37,Trigger),"--")</f>
        <v>AUDFUT3MM0_Quote</v>
      </c>
      <c r="O37" s="150">
        <f>IFERROR(_xll.qlRateHelperQuoteValue($M37,Trigger),"--")</f>
        <v>0</v>
      </c>
      <c r="P37" s="104" t="b">
        <v>1</v>
      </c>
      <c r="Q37" s="99">
        <v>30</v>
      </c>
      <c r="R37" s="99">
        <v>21</v>
      </c>
      <c r="S37" s="106">
        <f>IFERROR(_xll.qlRateHelperEarliestDate(M37,Trigger),"--")</f>
        <v>43994</v>
      </c>
      <c r="T37" s="106">
        <f>IFERROR(_xll.qlRateHelperPillarDate(M37,Trigger),"--")</f>
        <v>44088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29" ht="11.25" customHeight="1" x14ac:dyDescent="0.2">
      <c r="A38" s="62" t="s">
        <v>98</v>
      </c>
      <c r="B38" s="115" t="b">
        <v>1</v>
      </c>
      <c r="C38" s="65" t="str">
        <f>_xll.qlASXNextCode(C37,B38,Trigger)</f>
        <v>U9</v>
      </c>
      <c r="D38" s="122"/>
      <c r="E38" s="122"/>
      <c r="F38" s="122"/>
      <c r="G38" s="64" t="str">
        <f t="shared" si="16"/>
        <v>AudBBSW3M</v>
      </c>
      <c r="H38" s="118" t="str">
        <f t="shared" si="17"/>
        <v>AUDFUT3MU9_Quote</v>
      </c>
      <c r="I38" s="118" t="str">
        <f t="shared" si="18"/>
        <v>AUDFUT3MU9ConvAdj_Quote</v>
      </c>
      <c r="J38" s="67" t="str">
        <f>_xll.qlFuturesRateHelper(,H38,$H$18,_xll.qlASXdate(C38),G38,I38,Permanent,Trigger,ObjectOverwrite)</f>
        <v>obj_00288#0002</v>
      </c>
      <c r="K38" s="51"/>
      <c r="L38" s="74" t="str">
        <f t="shared" ref="L38:L74" si="19">A44</f>
        <v>Sw</v>
      </c>
      <c r="M38" s="138" t="str">
        <f t="shared" ref="M38:M74" si="20">IF(ISBLANK(J44),"--",J44)</f>
        <v>obj_00236#0001</v>
      </c>
      <c r="N38" s="147" t="str">
        <f>IFERROR(_xll.qlRateHelperQuoteName(M38,Trigger),"--")</f>
        <v>AUDQM3AB1Y_Quote</v>
      </c>
      <c r="O38" s="140">
        <f>IFERROR(_xll.qlRateHelperQuoteValue($M38,Trigger),"--")</f>
        <v>2.215E-2</v>
      </c>
      <c r="P38" s="139" t="b">
        <v>1</v>
      </c>
      <c r="Q38" s="138">
        <v>70</v>
      </c>
      <c r="R38" s="138">
        <v>1</v>
      </c>
      <c r="S38" s="141">
        <f>IFERROR(_xll.qlRateHelperEarliestDate(M38,Trigger),"--")</f>
        <v>42356</v>
      </c>
      <c r="T38" s="141">
        <f>IFERROR(_xll.qlRateHelperPillarDate(M38,Trigger),"--")</f>
        <v>42723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29" ht="11.25" customHeight="1" x14ac:dyDescent="0.2">
      <c r="A39" s="62" t="s">
        <v>98</v>
      </c>
      <c r="B39" s="115" t="b">
        <v>1</v>
      </c>
      <c r="C39" s="65" t="str">
        <f>_xll.qlASXNextCode(C38,B39,Trigger)</f>
        <v>Z9</v>
      </c>
      <c r="D39" s="122"/>
      <c r="E39" s="122"/>
      <c r="F39" s="122"/>
      <c r="G39" s="64" t="str">
        <f t="shared" si="16"/>
        <v>AudBBSW3M</v>
      </c>
      <c r="H39" s="118" t="str">
        <f t="shared" si="17"/>
        <v>AUDFUT3MZ9_Quote</v>
      </c>
      <c r="I39" s="118" t="str">
        <f t="shared" si="18"/>
        <v>AUDFUT3MZ9ConvAdj_Quote</v>
      </c>
      <c r="J39" s="67" t="str">
        <f>_xll.qlFuturesRateHelper(,H39,$H$18,_xll.qlASXdate(C39),G39,I39,Permanent,Trigger,ObjectOverwrite)</f>
        <v>obj_00289#0002</v>
      </c>
      <c r="K39" s="51"/>
      <c r="L39" s="74" t="str">
        <f t="shared" si="19"/>
        <v>Sw</v>
      </c>
      <c r="M39" s="138" t="str">
        <f t="shared" si="20"/>
        <v>--</v>
      </c>
      <c r="N39" s="147" t="str">
        <f>IFERROR(_xll.qlRateHelperQuoteName(M39,Trigger),"--")</f>
        <v>--</v>
      </c>
      <c r="O39" s="140" t="str">
        <f>IFERROR(_xll.qlRateHelperQuoteValue($M39,Trigger),"--")</f>
        <v>--</v>
      </c>
      <c r="P39" s="139" t="b">
        <v>0</v>
      </c>
      <c r="Q39" s="138">
        <v>50</v>
      </c>
      <c r="R39" s="138">
        <v>1</v>
      </c>
      <c r="S39" s="141" t="str">
        <f>IFERROR(_xll.qlRateHelperEarliestDate(M39,Trigger),"--")</f>
        <v>--</v>
      </c>
      <c r="T39" s="14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29" ht="11.25" customHeight="1" x14ac:dyDescent="0.2">
      <c r="A40" s="62" t="s">
        <v>98</v>
      </c>
      <c r="B40" s="115" t="b">
        <v>1</v>
      </c>
      <c r="C40" s="65" t="str">
        <f>_xll.qlASXNextCode(C39,B40,Trigger)</f>
        <v>H0</v>
      </c>
      <c r="D40" s="122"/>
      <c r="E40" s="122"/>
      <c r="F40" s="122"/>
      <c r="G40" s="64" t="str">
        <f t="shared" si="16"/>
        <v>AudBBSW3M</v>
      </c>
      <c r="H40" s="118" t="str">
        <f t="shared" si="17"/>
        <v>AUDFUT3MH0_Quote</v>
      </c>
      <c r="I40" s="118" t="str">
        <f t="shared" si="18"/>
        <v>AUDFUT3MH0ConvAdj_Quote</v>
      </c>
      <c r="J40" s="67" t="str">
        <f>_xll.qlFuturesRateHelper(,H40,$H$18,_xll.qlASXdate(C40),G40,I40,Permanent,Trigger,ObjectOverwrite)</f>
        <v>obj_0028a#0002</v>
      </c>
      <c r="K40" s="51"/>
      <c r="L40" s="74" t="str">
        <f t="shared" si="19"/>
        <v>Sw</v>
      </c>
      <c r="M40" s="138" t="str">
        <f t="shared" si="20"/>
        <v>--</v>
      </c>
      <c r="N40" s="147" t="str">
        <f>IFERROR(_xll.qlRateHelperQuoteName(M40,Trigger),"--")</f>
        <v>--</v>
      </c>
      <c r="O40" s="140" t="str">
        <f>IFERROR(_xll.qlRateHelperQuoteValue($M40,Trigger),"--")</f>
        <v>--</v>
      </c>
      <c r="P40" s="139" t="b">
        <v>0</v>
      </c>
      <c r="Q40" s="138">
        <v>50</v>
      </c>
      <c r="R40" s="138">
        <v>1</v>
      </c>
      <c r="S40" s="141" t="str">
        <f>IFERROR(_xll.qlRateHelperEarliestDate(M40,Trigger),"--")</f>
        <v>--</v>
      </c>
      <c r="T40" s="14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29" ht="11.25" customHeight="1" x14ac:dyDescent="0.2">
      <c r="A41" s="1" t="s">
        <v>98</v>
      </c>
      <c r="B41" s="116" t="b">
        <v>1</v>
      </c>
      <c r="C41" s="9" t="str">
        <f>_xll.qlASXNextCode(C40,B41,Trigger)</f>
        <v>M0</v>
      </c>
      <c r="D41" s="123"/>
      <c r="E41" s="123"/>
      <c r="F41" s="123"/>
      <c r="G41" s="7" t="str">
        <f t="shared" si="16"/>
        <v>AudBBSW3M</v>
      </c>
      <c r="H41" s="119" t="str">
        <f t="shared" si="17"/>
        <v>AUDFUT3MM0_Quote</v>
      </c>
      <c r="I41" s="119" t="str">
        <f t="shared" si="18"/>
        <v>AUDFUT3MM0ConvAdj_Quote</v>
      </c>
      <c r="J41" s="3" t="str">
        <f>_xll.qlFuturesRateHelper(,H41,$H$18,_xll.qlASXdate(C41),G41,I41,Permanent,Trigger,ObjectOverwrite)</f>
        <v>obj_0028b#0002</v>
      </c>
      <c r="L41" s="74" t="str">
        <f t="shared" si="19"/>
        <v>Sw</v>
      </c>
      <c r="M41" s="138" t="str">
        <f t="shared" si="20"/>
        <v>--</v>
      </c>
      <c r="N41" s="147" t="str">
        <f>IFERROR(_xll.qlRateHelperQuoteName(M41,Trigger),"--")</f>
        <v>--</v>
      </c>
      <c r="O41" s="140" t="str">
        <f>IFERROR(_xll.qlRateHelperQuoteValue($M41,Trigger),"--")</f>
        <v>--</v>
      </c>
      <c r="P41" s="139" t="b">
        <v>0</v>
      </c>
      <c r="Q41" s="138">
        <v>50</v>
      </c>
      <c r="R41" s="138">
        <v>1</v>
      </c>
      <c r="S41" s="141" t="str">
        <f>IFERROR(_xll.qlRateHelperEarliestDate(M41,Trigger),"--")</f>
        <v>--</v>
      </c>
      <c r="T41" s="14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29" ht="11.25" customHeight="1" x14ac:dyDescent="0.2">
      <c r="G42" s="53" t="s">
        <v>162</v>
      </c>
      <c r="H42" s="53" t="s">
        <v>163</v>
      </c>
      <c r="L42" s="74" t="str">
        <f t="shared" si="19"/>
        <v>Sw</v>
      </c>
      <c r="M42" s="138" t="str">
        <f t="shared" si="20"/>
        <v>obj_00234#0001</v>
      </c>
      <c r="N42" s="147" t="str">
        <f>IFERROR(_xll.qlRateHelperQuoteName(M42,Trigger),"--")</f>
        <v>AUDQM3AB2Y_Quote</v>
      </c>
      <c r="O42" s="140">
        <f>IFERROR(_xll.qlRateHelperQuoteValue($M42,Trigger),"--")</f>
        <v>2.1974999999999998E-2</v>
      </c>
      <c r="P42" s="139" t="b">
        <v>1</v>
      </c>
      <c r="Q42" s="138">
        <v>70</v>
      </c>
      <c r="R42" s="138">
        <v>1</v>
      </c>
      <c r="S42" s="141">
        <f>IFERROR(_xll.qlRateHelperEarliestDate(M42,Trigger),"--")</f>
        <v>42356</v>
      </c>
      <c r="T42" s="141">
        <f>IFERROR(_xll.qlRateHelperPillarDate(M42,Trigger),"--")</f>
        <v>43087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29" ht="11.25" customHeight="1" x14ac:dyDescent="0.2">
      <c r="A43" s="68" t="s">
        <v>8</v>
      </c>
      <c r="B43" s="68" t="s">
        <v>28</v>
      </c>
      <c r="C43" s="68" t="s">
        <v>117</v>
      </c>
      <c r="D43" s="68" t="s">
        <v>5</v>
      </c>
      <c r="E43" s="68" t="s">
        <v>33</v>
      </c>
      <c r="F43" s="68" t="s">
        <v>118</v>
      </c>
      <c r="G43" s="68" t="s">
        <v>4</v>
      </c>
      <c r="H43" s="68" t="s">
        <v>1</v>
      </c>
      <c r="I43" s="68" t="s">
        <v>116</v>
      </c>
      <c r="J43" s="68" t="s">
        <v>24</v>
      </c>
      <c r="L43" s="74" t="str">
        <f t="shared" si="19"/>
        <v>Sw</v>
      </c>
      <c r="M43" s="138" t="str">
        <f t="shared" si="20"/>
        <v>obj_00246#0001</v>
      </c>
      <c r="N43" s="147" t="str">
        <f>IFERROR(_xll.qlRateHelperQuoteName(M43,Trigger),"--")</f>
        <v>AUDQM3AB3Y_Quote</v>
      </c>
      <c r="O43" s="140">
        <f>IFERROR(_xll.qlRateHelperQuoteValue($M43,Trigger),"--")</f>
        <v>2.2700000000000001E-2</v>
      </c>
      <c r="P43" s="139" t="b">
        <v>1</v>
      </c>
      <c r="Q43" s="138">
        <v>70</v>
      </c>
      <c r="R43" s="138">
        <v>1</v>
      </c>
      <c r="S43" s="141">
        <f>IFERROR(_xll.qlRateHelperEarliestDate(M43,Trigger),"--")</f>
        <v>42356</v>
      </c>
      <c r="T43" s="141">
        <f>IFERROR(_xll.qlRateHelperPillarDate(M43,Trigger),"--")</f>
        <v>43452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29" ht="11.25" customHeight="1" x14ac:dyDescent="0.2">
      <c r="A44" s="62" t="s">
        <v>25</v>
      </c>
      <c r="B44" s="63" t="s">
        <v>27</v>
      </c>
      <c r="C44" s="64" t="s">
        <v>6</v>
      </c>
      <c r="D44" s="64" t="s">
        <v>161</v>
      </c>
      <c r="E44" s="64" t="s">
        <v>7</v>
      </c>
      <c r="F44" s="64" t="s">
        <v>159</v>
      </c>
      <c r="G44" s="64" t="str">
        <f t="shared" ref="G44:G80" si="21">PROPER(Currency)&amp;FamilyName&amp;Tenor</f>
        <v>AudBBSW3M</v>
      </c>
      <c r="H44" s="62" t="str">
        <f t="shared" ref="H44:H80" si="22">Currency&amp;$G$42&amp;$H$42&amp;$B44&amp;QuoteSuffix</f>
        <v>AUDQM3AB1Y_Quote</v>
      </c>
      <c r="I44" s="126">
        <v>0</v>
      </c>
      <c r="J44" s="67" t="str">
        <f>_xll.qlSwapRateHelper2(,H44,1,B44,Calendar,D44,E44,F44,G44,I44,C44,Discounting,PillarDate,,Permanent,Trigger,ObjectOverwrite)</f>
        <v>obj_00236#0001</v>
      </c>
      <c r="L44" s="74" t="str">
        <f t="shared" si="19"/>
        <v>Sw</v>
      </c>
      <c r="M44" s="138" t="str">
        <f t="shared" si="20"/>
        <v>--</v>
      </c>
      <c r="N44" s="147" t="str">
        <f>IFERROR(_xll.qlRateHelperQuoteName(M44,Trigger),"--")</f>
        <v>--</v>
      </c>
      <c r="O44" s="140" t="str">
        <f>IFERROR(_xll.qlRateHelperQuoteValue($M44,Trigger),"--")</f>
        <v>--</v>
      </c>
      <c r="P44" s="139" t="b">
        <v>0</v>
      </c>
      <c r="Q44" s="138">
        <v>50</v>
      </c>
      <c r="R44" s="138">
        <v>1</v>
      </c>
      <c r="S44" s="141" t="str">
        <f>IFERROR(_xll.qlRateHelperEarliestDate(M44,Trigger),"--")</f>
        <v>--</v>
      </c>
      <c r="T44" s="14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29" ht="11.25" customHeight="1" x14ac:dyDescent="0.2">
      <c r="A45" s="62" t="s">
        <v>25</v>
      </c>
      <c r="B45" s="63" t="s">
        <v>49</v>
      </c>
      <c r="C45" s="64" t="s">
        <v>6</v>
      </c>
      <c r="D45" s="64" t="s">
        <v>161</v>
      </c>
      <c r="E45" s="64" t="s">
        <v>7</v>
      </c>
      <c r="F45" s="64" t="s">
        <v>159</v>
      </c>
      <c r="G45" s="64" t="str">
        <f t="shared" si="21"/>
        <v>AudBBSW3M</v>
      </c>
      <c r="H45" s="62" t="str">
        <f t="shared" si="22"/>
        <v>AUDQM3AB15M_Quote</v>
      </c>
      <c r="I45" s="126">
        <v>0</v>
      </c>
      <c r="J45" s="67"/>
      <c r="L45" s="74" t="str">
        <f t="shared" si="19"/>
        <v>Sw</v>
      </c>
      <c r="M45" s="138" t="str">
        <f t="shared" si="20"/>
        <v>--</v>
      </c>
      <c r="N45" s="147" t="str">
        <f>IFERROR(_xll.qlRateHelperQuoteName(M45,Trigger),"--")</f>
        <v>--</v>
      </c>
      <c r="O45" s="140" t="str">
        <f>IFERROR(_xll.qlRateHelperQuoteValue($M45,Trigger),"--")</f>
        <v>--</v>
      </c>
      <c r="P45" s="139" t="b">
        <v>0</v>
      </c>
      <c r="Q45" s="138">
        <v>50</v>
      </c>
      <c r="R45" s="138">
        <v>1</v>
      </c>
      <c r="S45" s="141" t="str">
        <f>IFERROR(_xll.qlRateHelperEarliestDate(M45,Trigger),"--")</f>
        <v>--</v>
      </c>
      <c r="T45" s="141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29" ht="11.25" customHeight="1" x14ac:dyDescent="0.2">
      <c r="A46" s="62" t="s">
        <v>25</v>
      </c>
      <c r="B46" s="63" t="s">
        <v>50</v>
      </c>
      <c r="C46" s="64" t="s">
        <v>6</v>
      </c>
      <c r="D46" s="64" t="s">
        <v>161</v>
      </c>
      <c r="E46" s="64" t="s">
        <v>7</v>
      </c>
      <c r="F46" s="64" t="s">
        <v>159</v>
      </c>
      <c r="G46" s="64" t="str">
        <f t="shared" si="21"/>
        <v>AudBBSW3M</v>
      </c>
      <c r="H46" s="62" t="str">
        <f t="shared" si="22"/>
        <v>AUDQM3AB18M_Quote</v>
      </c>
      <c r="I46" s="126">
        <v>0</v>
      </c>
      <c r="J46" s="67"/>
      <c r="L46" s="74" t="str">
        <f t="shared" si="19"/>
        <v>Sw</v>
      </c>
      <c r="M46" s="138" t="str">
        <f t="shared" si="20"/>
        <v>--</v>
      </c>
      <c r="N46" s="147" t="str">
        <f>IFERROR(_xll.qlRateHelperQuoteName(M46,Trigger),"--")</f>
        <v>--</v>
      </c>
      <c r="O46" s="140" t="str">
        <f>IFERROR(_xll.qlRateHelperQuoteValue($M46,Trigger),"--")</f>
        <v>--</v>
      </c>
      <c r="P46" s="139" t="b">
        <v>0</v>
      </c>
      <c r="Q46" s="138">
        <v>50</v>
      </c>
      <c r="R46" s="138">
        <v>1</v>
      </c>
      <c r="S46" s="141" t="str">
        <f>IFERROR(_xll.qlRateHelperEarliestDate(M46,Trigger),"--")</f>
        <v>--</v>
      </c>
      <c r="T46" s="141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29" ht="11.25" customHeight="1" x14ac:dyDescent="0.2">
      <c r="A47" s="62" t="s">
        <v>25</v>
      </c>
      <c r="B47" s="63" t="s">
        <v>51</v>
      </c>
      <c r="C47" s="64" t="s">
        <v>6</v>
      </c>
      <c r="D47" s="64" t="s">
        <v>161</v>
      </c>
      <c r="E47" s="64" t="s">
        <v>7</v>
      </c>
      <c r="F47" s="64" t="s">
        <v>159</v>
      </c>
      <c r="G47" s="64" t="str">
        <f t="shared" si="21"/>
        <v>AudBBSW3M</v>
      </c>
      <c r="H47" s="62" t="str">
        <f t="shared" si="22"/>
        <v>AUDQM3AB21M_Quote</v>
      </c>
      <c r="I47" s="126">
        <v>0</v>
      </c>
      <c r="J47" s="67"/>
      <c r="L47" s="74" t="str">
        <f t="shared" si="19"/>
        <v>Sw</v>
      </c>
      <c r="M47" s="138" t="str">
        <f t="shared" si="20"/>
        <v>--</v>
      </c>
      <c r="N47" s="147" t="str">
        <f>IFERROR(_xll.qlRateHelperQuoteName(M47,Trigger),"--")</f>
        <v>--</v>
      </c>
      <c r="O47" s="140" t="str">
        <f>IFERROR(_xll.qlRateHelperQuoteValue($M47,Trigger),"--")</f>
        <v>--</v>
      </c>
      <c r="P47" s="139" t="b">
        <v>0</v>
      </c>
      <c r="Q47" s="138">
        <v>50</v>
      </c>
      <c r="R47" s="138">
        <v>1</v>
      </c>
      <c r="S47" s="141" t="str">
        <f>IFERROR(_xll.qlRateHelperEarliestDate(M47,Trigger),"--")</f>
        <v>--</v>
      </c>
      <c r="T47" s="14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29" ht="11.25" customHeight="1" x14ac:dyDescent="0.2">
      <c r="A48" s="62" t="s">
        <v>25</v>
      </c>
      <c r="B48" s="63" t="s">
        <v>52</v>
      </c>
      <c r="C48" s="64" t="s">
        <v>6</v>
      </c>
      <c r="D48" s="64" t="s">
        <v>161</v>
      </c>
      <c r="E48" s="64" t="s">
        <v>7</v>
      </c>
      <c r="F48" s="64" t="s">
        <v>159</v>
      </c>
      <c r="G48" s="64" t="str">
        <f t="shared" si="21"/>
        <v>AudBBSW3M</v>
      </c>
      <c r="H48" s="62" t="str">
        <f t="shared" si="22"/>
        <v>AUDQM3AB2Y_Quote</v>
      </c>
      <c r="I48" s="126">
        <v>0</v>
      </c>
      <c r="J48" s="67" t="str">
        <f>_xll.qlSwapRateHelper2(,H48,1,B48,Calendar,D48,E48,F48,G48,I48,C48,Discounting,PillarDate,,Permanent,Trigger,ObjectOverwrite)</f>
        <v>obj_00234#0001</v>
      </c>
      <c r="L48" s="74" t="str">
        <f t="shared" si="19"/>
        <v>Sw</v>
      </c>
      <c r="M48" s="138" t="str">
        <f t="shared" si="20"/>
        <v>--</v>
      </c>
      <c r="N48" s="147" t="str">
        <f>IFERROR(_xll.qlRateHelperQuoteName(M48,Trigger),"--")</f>
        <v>--</v>
      </c>
      <c r="O48" s="140" t="str">
        <f>IFERROR(_xll.qlRateHelperQuoteValue($M48,Trigger),"--")</f>
        <v>--</v>
      </c>
      <c r="P48" s="139" t="b">
        <v>0</v>
      </c>
      <c r="Q48" s="138">
        <v>50</v>
      </c>
      <c r="R48" s="138">
        <v>1</v>
      </c>
      <c r="S48" s="141" t="str">
        <f>IFERROR(_xll.qlRateHelperEarliestDate(M48,Trigger),"--")</f>
        <v>--</v>
      </c>
      <c r="T48" s="14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25</v>
      </c>
      <c r="B49" s="63" t="s">
        <v>53</v>
      </c>
      <c r="C49" s="64" t="s">
        <v>6</v>
      </c>
      <c r="D49" s="64" t="s">
        <v>161</v>
      </c>
      <c r="E49" s="64" t="s">
        <v>7</v>
      </c>
      <c r="F49" s="64" t="s">
        <v>159</v>
      </c>
      <c r="G49" s="64" t="str">
        <f t="shared" si="21"/>
        <v>AudBBSW3M</v>
      </c>
      <c r="H49" s="62" t="str">
        <f t="shared" si="22"/>
        <v>AUDQM3AB3Y_Quote</v>
      </c>
      <c r="I49" s="126">
        <v>0</v>
      </c>
      <c r="J49" s="67" t="str">
        <f>_xll.qlSwapRateHelper2(,H49,1,B49,Calendar,D49,E49,F49,G49,I49,C49,Discounting,PillarDate,,Permanent,Trigger,ObjectOverwrite)</f>
        <v>obj_00246#0001</v>
      </c>
      <c r="L49" s="74" t="str">
        <f t="shared" si="19"/>
        <v>Sw</v>
      </c>
      <c r="M49" s="138" t="str">
        <f t="shared" si="20"/>
        <v>--</v>
      </c>
      <c r="N49" s="147" t="str">
        <f>IFERROR(_xll.qlRateHelperQuoteName(M49,Trigger),"--")</f>
        <v>--</v>
      </c>
      <c r="O49" s="140" t="str">
        <f>IFERROR(_xll.qlRateHelperQuoteValue($M49,Trigger),"--")</f>
        <v>--</v>
      </c>
      <c r="P49" s="139" t="b">
        <v>0</v>
      </c>
      <c r="Q49" s="138">
        <v>50</v>
      </c>
      <c r="R49" s="138">
        <v>1</v>
      </c>
      <c r="S49" s="141" t="str">
        <f>IFERROR(_xll.qlRateHelperEarliestDate(M49,Trigger),"--")</f>
        <v>--</v>
      </c>
      <c r="T49" s="14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25</v>
      </c>
      <c r="B50" s="63" t="s">
        <v>54</v>
      </c>
      <c r="C50" s="64" t="s">
        <v>6</v>
      </c>
      <c r="D50" s="64" t="s">
        <v>161</v>
      </c>
      <c r="E50" s="64" t="s">
        <v>7</v>
      </c>
      <c r="F50" s="64" t="s">
        <v>159</v>
      </c>
      <c r="G50" s="64" t="str">
        <f t="shared" si="21"/>
        <v>AudBBSW3M</v>
      </c>
      <c r="H50" s="62" t="str">
        <f t="shared" si="22"/>
        <v>AUDQM3AB4Y_Quote</v>
      </c>
      <c r="I50" s="126">
        <v>0</v>
      </c>
      <c r="J50" s="67"/>
      <c r="L50" s="74" t="str">
        <f t="shared" si="19"/>
        <v>Sw</v>
      </c>
      <c r="M50" s="139" t="str">
        <f t="shared" si="20"/>
        <v>--</v>
      </c>
      <c r="N50" s="147" t="str">
        <f>IFERROR(_xll.qlRateHelperQuoteName(M50,Trigger),"--")</f>
        <v>--</v>
      </c>
      <c r="O50" s="140" t="str">
        <f>IFERROR(_xll.qlRateHelperQuoteValue($M50,Trigger),"--")</f>
        <v>--</v>
      </c>
      <c r="P50" s="139" t="b">
        <v>0</v>
      </c>
      <c r="Q50" s="139">
        <v>50</v>
      </c>
      <c r="R50" s="139">
        <v>1</v>
      </c>
      <c r="S50" s="141" t="str">
        <f>IFERROR(_xll.qlRateHelperEarliestDate(M50,Trigger),"--")</f>
        <v>--</v>
      </c>
      <c r="T50" s="141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25</v>
      </c>
      <c r="B51" s="63" t="s">
        <v>55</v>
      </c>
      <c r="C51" s="64" t="s">
        <v>6</v>
      </c>
      <c r="D51" s="64" t="s">
        <v>161</v>
      </c>
      <c r="E51" s="64" t="s">
        <v>7</v>
      </c>
      <c r="F51" s="64" t="s">
        <v>159</v>
      </c>
      <c r="G51" s="64" t="str">
        <f t="shared" si="21"/>
        <v>AudBBSW3M</v>
      </c>
      <c r="H51" s="62" t="str">
        <f t="shared" si="22"/>
        <v>AUDQM3AB5Y_Quote</v>
      </c>
      <c r="I51" s="126">
        <v>0</v>
      </c>
      <c r="J51" s="67"/>
      <c r="L51" s="74" t="str">
        <f t="shared" si="19"/>
        <v>Sw</v>
      </c>
      <c r="M51" s="139" t="str">
        <f t="shared" si="20"/>
        <v>--</v>
      </c>
      <c r="N51" s="147" t="str">
        <f>IFERROR(_xll.qlRateHelperQuoteName(M51,Trigger),"--")</f>
        <v>--</v>
      </c>
      <c r="O51" s="140" t="str">
        <f>IFERROR(_xll.qlRateHelperQuoteValue($M51,Trigger),"--")</f>
        <v>--</v>
      </c>
      <c r="P51" s="139" t="b">
        <v>0</v>
      </c>
      <c r="Q51" s="139">
        <v>50</v>
      </c>
      <c r="R51" s="139">
        <v>1</v>
      </c>
      <c r="S51" s="141" t="str">
        <f>IFERROR(_xll.qlRateHelperEarliestDate(M51,Trigger),"--")</f>
        <v>--</v>
      </c>
      <c r="T51" s="141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25</v>
      </c>
      <c r="B52" s="63" t="s">
        <v>56</v>
      </c>
      <c r="C52" s="64" t="s">
        <v>6</v>
      </c>
      <c r="D52" s="64" t="s">
        <v>161</v>
      </c>
      <c r="E52" s="64" t="s">
        <v>7</v>
      </c>
      <c r="F52" s="64" t="s">
        <v>159</v>
      </c>
      <c r="G52" s="64" t="str">
        <f t="shared" si="21"/>
        <v>AudBBSW3M</v>
      </c>
      <c r="H52" s="62" t="str">
        <f t="shared" si="22"/>
        <v>AUDQM3AB6Y_Quote</v>
      </c>
      <c r="I52" s="126">
        <v>0</v>
      </c>
      <c r="J52" s="67"/>
      <c r="L52" s="74" t="str">
        <f t="shared" si="19"/>
        <v>Sw</v>
      </c>
      <c r="M52" s="139" t="str">
        <f t="shared" si="20"/>
        <v>--</v>
      </c>
      <c r="N52" s="147" t="str">
        <f>IFERROR(_xll.qlRateHelperQuoteName(M52,Trigger),"--")</f>
        <v>--</v>
      </c>
      <c r="O52" s="140" t="str">
        <f>IFERROR(_xll.qlRateHelperQuoteValue($M52,Trigger),"--")</f>
        <v>--</v>
      </c>
      <c r="P52" s="139" t="b">
        <v>0</v>
      </c>
      <c r="Q52" s="139">
        <v>50</v>
      </c>
      <c r="R52" s="139">
        <v>1</v>
      </c>
      <c r="S52" s="141" t="str">
        <f>IFERROR(_xll.qlRateHelperEarliestDate(M52,Trigger),"--")</f>
        <v>--</v>
      </c>
      <c r="T52" s="14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25</v>
      </c>
      <c r="B53" s="63" t="s">
        <v>57</v>
      </c>
      <c r="C53" s="64" t="s">
        <v>6</v>
      </c>
      <c r="D53" s="64" t="s">
        <v>161</v>
      </c>
      <c r="E53" s="64" t="s">
        <v>7</v>
      </c>
      <c r="F53" s="64" t="s">
        <v>159</v>
      </c>
      <c r="G53" s="64" t="str">
        <f t="shared" si="21"/>
        <v>AudBBSW3M</v>
      </c>
      <c r="H53" s="62" t="str">
        <f t="shared" si="22"/>
        <v>AUDQM3AB7Y_Quote</v>
      </c>
      <c r="I53" s="126">
        <v>0</v>
      </c>
      <c r="J53" s="67"/>
      <c r="L53" s="74" t="str">
        <f t="shared" si="19"/>
        <v>Sw</v>
      </c>
      <c r="M53" s="139" t="str">
        <f t="shared" si="20"/>
        <v>--</v>
      </c>
      <c r="N53" s="147" t="str">
        <f>IFERROR(_xll.qlRateHelperQuoteName(M53,Trigger),"--")</f>
        <v>--</v>
      </c>
      <c r="O53" s="140" t="str">
        <f>IFERROR(_xll.qlRateHelperQuoteValue($M53,Trigger),"--")</f>
        <v>--</v>
      </c>
      <c r="P53" s="139" t="b">
        <v>0</v>
      </c>
      <c r="Q53" s="139">
        <v>50</v>
      </c>
      <c r="R53" s="139">
        <v>1</v>
      </c>
      <c r="S53" s="141" t="str">
        <f>IFERROR(_xll.qlRateHelperEarliestDate(M53,Trigger),"--")</f>
        <v>--</v>
      </c>
      <c r="T53" s="141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25</v>
      </c>
      <c r="B54" s="63" t="s">
        <v>58</v>
      </c>
      <c r="C54" s="64" t="s">
        <v>6</v>
      </c>
      <c r="D54" s="64" t="s">
        <v>161</v>
      </c>
      <c r="E54" s="64" t="s">
        <v>7</v>
      </c>
      <c r="F54" s="64" t="s">
        <v>159</v>
      </c>
      <c r="G54" s="64" t="str">
        <f t="shared" si="21"/>
        <v>AudBBSW3M</v>
      </c>
      <c r="H54" s="62" t="str">
        <f t="shared" si="22"/>
        <v>AUDQM3AB8Y_Quote</v>
      </c>
      <c r="I54" s="126">
        <v>0</v>
      </c>
      <c r="J54" s="67"/>
      <c r="L54" s="74" t="str">
        <f t="shared" si="19"/>
        <v>Sw</v>
      </c>
      <c r="M54" s="139" t="str">
        <f t="shared" si="20"/>
        <v>--</v>
      </c>
      <c r="N54" s="147" t="str">
        <f>IFERROR(_xll.qlRateHelperQuoteName(M54,Trigger),"--")</f>
        <v>--</v>
      </c>
      <c r="O54" s="140" t="str">
        <f>IFERROR(_xll.qlRateHelperQuoteValue($M54,Trigger),"--")</f>
        <v>--</v>
      </c>
      <c r="P54" s="139" t="b">
        <v>0</v>
      </c>
      <c r="Q54" s="139">
        <v>50</v>
      </c>
      <c r="R54" s="139">
        <v>1</v>
      </c>
      <c r="S54" s="141" t="str">
        <f>IFERROR(_xll.qlRateHelperEarliestDate(M54,Trigger),"--")</f>
        <v>--</v>
      </c>
      <c r="T54" s="141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25</v>
      </c>
      <c r="B55" s="63" t="s">
        <v>59</v>
      </c>
      <c r="C55" s="64" t="s">
        <v>6</v>
      </c>
      <c r="D55" s="64" t="s">
        <v>161</v>
      </c>
      <c r="E55" s="64" t="s">
        <v>7</v>
      </c>
      <c r="F55" s="64" t="s">
        <v>159</v>
      </c>
      <c r="G55" s="64" t="str">
        <f t="shared" si="21"/>
        <v>AudBBSW3M</v>
      </c>
      <c r="H55" s="62" t="str">
        <f t="shared" si="22"/>
        <v>AUDQM3AB9Y_Quote</v>
      </c>
      <c r="I55" s="126">
        <v>0</v>
      </c>
      <c r="J55" s="67"/>
      <c r="L55" s="74" t="str">
        <f t="shared" si="19"/>
        <v>Sw</v>
      </c>
      <c r="M55" s="139" t="str">
        <f t="shared" si="20"/>
        <v>--</v>
      </c>
      <c r="N55" s="147" t="str">
        <f>IFERROR(_xll.qlRateHelperQuoteName(M55,Trigger),"--")</f>
        <v>--</v>
      </c>
      <c r="O55" s="140" t="str">
        <f>IFERROR(_xll.qlRateHelperQuoteValue($M55,Trigger),"--")</f>
        <v>--</v>
      </c>
      <c r="P55" s="139" t="b">
        <v>0</v>
      </c>
      <c r="Q55" s="139">
        <v>50</v>
      </c>
      <c r="R55" s="139">
        <v>1</v>
      </c>
      <c r="S55" s="141" t="str">
        <f>IFERROR(_xll.qlRateHelperEarliestDate(M55,Trigger),"--")</f>
        <v>--</v>
      </c>
      <c r="T55" s="141" t="str">
        <f>IFERROR(_xll.qlRateHelperPillarDate(M55,Trigger),"--")</f>
        <v>--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25</v>
      </c>
      <c r="B56" s="63" t="s">
        <v>60</v>
      </c>
      <c r="C56" s="64" t="s">
        <v>6</v>
      </c>
      <c r="D56" s="64" t="s">
        <v>161</v>
      </c>
      <c r="E56" s="64" t="s">
        <v>7</v>
      </c>
      <c r="F56" s="64" t="s">
        <v>159</v>
      </c>
      <c r="G56" s="64" t="str">
        <f t="shared" si="21"/>
        <v>AudBBSW3M</v>
      </c>
      <c r="H56" s="62" t="str">
        <f t="shared" si="22"/>
        <v>AUDQM3AB10Y_Quote</v>
      </c>
      <c r="I56" s="126">
        <v>0</v>
      </c>
      <c r="J56" s="67"/>
      <c r="L56" s="74" t="str">
        <f t="shared" si="19"/>
        <v>Sw</v>
      </c>
      <c r="M56" s="139" t="str">
        <f t="shared" si="20"/>
        <v>--</v>
      </c>
      <c r="N56" s="147" t="str">
        <f>IFERROR(_xll.qlRateHelperQuoteName(M56,Trigger),"--")</f>
        <v>--</v>
      </c>
      <c r="O56" s="140" t="str">
        <f>IFERROR(_xll.qlRateHelperQuoteValue($M56,Trigger),"--")</f>
        <v>--</v>
      </c>
      <c r="P56" s="139" t="b">
        <v>0</v>
      </c>
      <c r="Q56" s="139">
        <v>50</v>
      </c>
      <c r="R56" s="139">
        <v>1</v>
      </c>
      <c r="S56" s="141" t="str">
        <f>IFERROR(_xll.qlRateHelperEarliestDate(M56,Trigger),"--")</f>
        <v>--</v>
      </c>
      <c r="T56" s="141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25</v>
      </c>
      <c r="B57" s="63" t="s">
        <v>101</v>
      </c>
      <c r="C57" s="64" t="s">
        <v>6</v>
      </c>
      <c r="D57" s="64" t="s">
        <v>161</v>
      </c>
      <c r="E57" s="64" t="s">
        <v>7</v>
      </c>
      <c r="F57" s="64" t="s">
        <v>159</v>
      </c>
      <c r="G57" s="64" t="str">
        <f t="shared" si="21"/>
        <v>AudBBSW3M</v>
      </c>
      <c r="H57" s="62" t="str">
        <f t="shared" si="22"/>
        <v>AUDQM3AB11Y_Quote</v>
      </c>
      <c r="I57" s="126">
        <v>0</v>
      </c>
      <c r="J57" s="67"/>
      <c r="L57" s="74" t="str">
        <f t="shared" si="19"/>
        <v>Sw</v>
      </c>
      <c r="M57" s="139" t="str">
        <f t="shared" si="20"/>
        <v>--</v>
      </c>
      <c r="N57" s="147" t="str">
        <f>IFERROR(_xll.qlRateHelperQuoteName(M57,Trigger),"--")</f>
        <v>--</v>
      </c>
      <c r="O57" s="140" t="str">
        <f>IFERROR(_xll.qlRateHelperQuoteValue($M57,Trigger),"--")</f>
        <v>--</v>
      </c>
      <c r="P57" s="139" t="b">
        <v>0</v>
      </c>
      <c r="Q57" s="139">
        <v>50</v>
      </c>
      <c r="R57" s="139">
        <v>1</v>
      </c>
      <c r="S57" s="141" t="str">
        <f>IFERROR(_xll.qlRateHelperEarliestDate(M57,Trigger),"--")</f>
        <v>--</v>
      </c>
      <c r="T57" s="141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25</v>
      </c>
      <c r="B58" s="63" t="s">
        <v>61</v>
      </c>
      <c r="C58" s="64" t="s">
        <v>6</v>
      </c>
      <c r="D58" s="64" t="s">
        <v>161</v>
      </c>
      <c r="E58" s="64" t="s">
        <v>7</v>
      </c>
      <c r="F58" s="64" t="s">
        <v>159</v>
      </c>
      <c r="G58" s="64" t="str">
        <f t="shared" si="21"/>
        <v>AudBBSW3M</v>
      </c>
      <c r="H58" s="62" t="str">
        <f t="shared" si="22"/>
        <v>AUDQM3AB12Y_Quote</v>
      </c>
      <c r="I58" s="126">
        <v>0</v>
      </c>
      <c r="J58" s="67"/>
      <c r="L58" s="74" t="str">
        <f t="shared" si="19"/>
        <v>Sw</v>
      </c>
      <c r="M58" s="139" t="str">
        <f t="shared" si="20"/>
        <v>--</v>
      </c>
      <c r="N58" s="147" t="str">
        <f>IFERROR(_xll.qlRateHelperQuoteName(M58,Trigger),"--")</f>
        <v>--</v>
      </c>
      <c r="O58" s="140" t="str">
        <f>IFERROR(_xll.qlRateHelperQuoteValue($M58,Trigger),"--")</f>
        <v>--</v>
      </c>
      <c r="P58" s="139" t="b">
        <v>0</v>
      </c>
      <c r="Q58" s="139">
        <v>50</v>
      </c>
      <c r="R58" s="139">
        <v>1</v>
      </c>
      <c r="S58" s="141" t="str">
        <f>IFERROR(_xll.qlRateHelperEarliestDate(M58,Trigger),"--")</f>
        <v>--</v>
      </c>
      <c r="T58" s="14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25</v>
      </c>
      <c r="B59" s="63" t="s">
        <v>102</v>
      </c>
      <c r="C59" s="64" t="s">
        <v>6</v>
      </c>
      <c r="D59" s="64" t="s">
        <v>161</v>
      </c>
      <c r="E59" s="64" t="s">
        <v>7</v>
      </c>
      <c r="F59" s="64" t="s">
        <v>159</v>
      </c>
      <c r="G59" s="64" t="str">
        <f t="shared" si="21"/>
        <v>AudBBSW3M</v>
      </c>
      <c r="H59" s="62" t="str">
        <f t="shared" si="22"/>
        <v>AUDQM3AB13Y_Quote</v>
      </c>
      <c r="I59" s="126">
        <v>0</v>
      </c>
      <c r="J59" s="67"/>
      <c r="L59" s="74" t="str">
        <f t="shared" si="19"/>
        <v>Sw</v>
      </c>
      <c r="M59" s="139" t="str">
        <f t="shared" si="20"/>
        <v>--</v>
      </c>
      <c r="N59" s="147" t="str">
        <f>IFERROR(_xll.qlRateHelperQuoteName(M59,Trigger),"--")</f>
        <v>--</v>
      </c>
      <c r="O59" s="140" t="str">
        <f>IFERROR(_xll.qlRateHelperQuoteValue($M59,Trigger),"--")</f>
        <v>--</v>
      </c>
      <c r="P59" s="139" t="b">
        <v>0</v>
      </c>
      <c r="Q59" s="139">
        <v>50</v>
      </c>
      <c r="R59" s="139">
        <v>1</v>
      </c>
      <c r="S59" s="141" t="str">
        <f>IFERROR(_xll.qlRateHelperEarliestDate(M59,Trigger),"--")</f>
        <v>--</v>
      </c>
      <c r="T59" s="14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25</v>
      </c>
      <c r="B60" s="63" t="s">
        <v>103</v>
      </c>
      <c r="C60" s="64" t="s">
        <v>6</v>
      </c>
      <c r="D60" s="64" t="s">
        <v>161</v>
      </c>
      <c r="E60" s="64" t="s">
        <v>7</v>
      </c>
      <c r="F60" s="64" t="s">
        <v>159</v>
      </c>
      <c r="G60" s="64" t="str">
        <f t="shared" si="21"/>
        <v>AudBBSW3M</v>
      </c>
      <c r="H60" s="62" t="str">
        <f t="shared" si="22"/>
        <v>AUDQM3AB14Y_Quote</v>
      </c>
      <c r="I60" s="126">
        <v>0</v>
      </c>
      <c r="J60" s="67"/>
      <c r="L60" s="74" t="str">
        <f t="shared" si="19"/>
        <v>Sw</v>
      </c>
      <c r="M60" s="139" t="str">
        <f t="shared" si="20"/>
        <v>--</v>
      </c>
      <c r="N60" s="147" t="str">
        <f>IFERROR(_xll.qlRateHelperQuoteName(M60,Trigger),"--")</f>
        <v>--</v>
      </c>
      <c r="O60" s="140" t="str">
        <f>IFERROR(_xll.qlRateHelperQuoteValue($M60,Trigger),"--")</f>
        <v>--</v>
      </c>
      <c r="P60" s="139" t="b">
        <v>0</v>
      </c>
      <c r="Q60" s="139">
        <v>50</v>
      </c>
      <c r="R60" s="139">
        <v>1</v>
      </c>
      <c r="S60" s="141" t="str">
        <f>IFERROR(_xll.qlRateHelperEarliestDate(M60,Trigger),"--")</f>
        <v>--</v>
      </c>
      <c r="T60" s="141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25</v>
      </c>
      <c r="B61" s="63" t="s">
        <v>62</v>
      </c>
      <c r="C61" s="64" t="s">
        <v>6</v>
      </c>
      <c r="D61" s="64" t="s">
        <v>161</v>
      </c>
      <c r="E61" s="64" t="s">
        <v>7</v>
      </c>
      <c r="F61" s="64" t="s">
        <v>159</v>
      </c>
      <c r="G61" s="64" t="str">
        <f t="shared" si="21"/>
        <v>AudBBSW3M</v>
      </c>
      <c r="H61" s="62" t="str">
        <f t="shared" si="22"/>
        <v>AUDQM3AB15Y_Quote</v>
      </c>
      <c r="I61" s="126">
        <v>0</v>
      </c>
      <c r="J61" s="67"/>
      <c r="L61" s="74" t="str">
        <f t="shared" si="19"/>
        <v>Sw</v>
      </c>
      <c r="M61" s="139" t="str">
        <f t="shared" si="20"/>
        <v>--</v>
      </c>
      <c r="N61" s="147" t="str">
        <f>IFERROR(_xll.qlRateHelperQuoteName(M61,Trigger),"--")</f>
        <v>--</v>
      </c>
      <c r="O61" s="140" t="str">
        <f>IFERROR(_xll.qlRateHelperQuoteValue($M61,Trigger),"--")</f>
        <v>--</v>
      </c>
      <c r="P61" s="139" t="b">
        <v>0</v>
      </c>
      <c r="Q61" s="139">
        <v>50</v>
      </c>
      <c r="R61" s="139">
        <v>1</v>
      </c>
      <c r="S61" s="141" t="str">
        <f>IFERROR(_xll.qlRateHelperEarliestDate(M61,Trigger),"--")</f>
        <v>--</v>
      </c>
      <c r="T61" s="141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25</v>
      </c>
      <c r="B62" s="63" t="s">
        <v>104</v>
      </c>
      <c r="C62" s="64" t="s">
        <v>6</v>
      </c>
      <c r="D62" s="64" t="s">
        <v>161</v>
      </c>
      <c r="E62" s="64" t="s">
        <v>7</v>
      </c>
      <c r="F62" s="64" t="s">
        <v>159</v>
      </c>
      <c r="G62" s="64" t="str">
        <f t="shared" si="21"/>
        <v>AudBBSW3M</v>
      </c>
      <c r="H62" s="62" t="str">
        <f t="shared" si="22"/>
        <v>AUDQM3AB16Y_Quote</v>
      </c>
      <c r="I62" s="126">
        <v>0</v>
      </c>
      <c r="J62" s="67"/>
      <c r="L62" s="74" t="str">
        <f t="shared" si="19"/>
        <v>Sw</v>
      </c>
      <c r="M62" s="139" t="str">
        <f t="shared" si="20"/>
        <v>--</v>
      </c>
      <c r="N62" s="147" t="str">
        <f>IFERROR(_xll.qlRateHelperQuoteName(M62,Trigger),"--")</f>
        <v>--</v>
      </c>
      <c r="O62" s="140" t="str">
        <f>IFERROR(_xll.qlRateHelperQuoteValue($M62,Trigger),"--")</f>
        <v>--</v>
      </c>
      <c r="P62" s="139" t="b">
        <v>0</v>
      </c>
      <c r="Q62" s="139">
        <v>50</v>
      </c>
      <c r="R62" s="139">
        <v>1</v>
      </c>
      <c r="S62" s="141" t="str">
        <f>IFERROR(_xll.qlRateHelperEarliestDate(M62,Trigger),"--")</f>
        <v>--</v>
      </c>
      <c r="T62" s="141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25</v>
      </c>
      <c r="B63" s="63" t="s">
        <v>105</v>
      </c>
      <c r="C63" s="64" t="s">
        <v>6</v>
      </c>
      <c r="D63" s="64" t="s">
        <v>161</v>
      </c>
      <c r="E63" s="64" t="s">
        <v>7</v>
      </c>
      <c r="F63" s="64" t="s">
        <v>159</v>
      </c>
      <c r="G63" s="64" t="str">
        <f t="shared" si="21"/>
        <v>AudBBSW3M</v>
      </c>
      <c r="H63" s="62" t="str">
        <f t="shared" si="22"/>
        <v>AUDQM3AB17Y_Quote</v>
      </c>
      <c r="I63" s="126">
        <v>0</v>
      </c>
      <c r="J63" s="67"/>
      <c r="L63" s="74" t="str">
        <f t="shared" si="19"/>
        <v>Sw</v>
      </c>
      <c r="M63" s="139" t="str">
        <f t="shared" si="20"/>
        <v>--</v>
      </c>
      <c r="N63" s="147" t="str">
        <f>IFERROR(_xll.qlRateHelperQuoteName(M63,Trigger),"--")</f>
        <v>--</v>
      </c>
      <c r="O63" s="140" t="str">
        <f>IFERROR(_xll.qlRateHelperQuoteValue($M63,Trigger),"--")</f>
        <v>--</v>
      </c>
      <c r="P63" s="139" t="b">
        <v>0</v>
      </c>
      <c r="Q63" s="139">
        <v>50</v>
      </c>
      <c r="R63" s="139">
        <v>1</v>
      </c>
      <c r="S63" s="141" t="str">
        <f>IFERROR(_xll.qlRateHelperEarliestDate(M63,Trigger),"--")</f>
        <v>--</v>
      </c>
      <c r="T63" s="14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25</v>
      </c>
      <c r="B64" s="63" t="s">
        <v>106</v>
      </c>
      <c r="C64" s="64" t="s">
        <v>6</v>
      </c>
      <c r="D64" s="64" t="s">
        <v>161</v>
      </c>
      <c r="E64" s="64" t="s">
        <v>7</v>
      </c>
      <c r="F64" s="64" t="s">
        <v>159</v>
      </c>
      <c r="G64" s="64" t="str">
        <f t="shared" si="21"/>
        <v>AudBBSW3M</v>
      </c>
      <c r="H64" s="62" t="str">
        <f t="shared" si="22"/>
        <v>AUDQM3AB18Y_Quote</v>
      </c>
      <c r="I64" s="126">
        <v>0</v>
      </c>
      <c r="J64" s="67"/>
      <c r="L64" s="74" t="str">
        <f t="shared" si="19"/>
        <v>Sw</v>
      </c>
      <c r="M64" s="139" t="str">
        <f t="shared" si="20"/>
        <v>--</v>
      </c>
      <c r="N64" s="147" t="str">
        <f>IFERROR(_xll.qlRateHelperQuoteName(M64,Trigger),"--")</f>
        <v>--</v>
      </c>
      <c r="O64" s="140" t="str">
        <f>IFERROR(_xll.qlRateHelperQuoteValue($M64,Trigger),"--")</f>
        <v>--</v>
      </c>
      <c r="P64" s="139" t="b">
        <v>0</v>
      </c>
      <c r="Q64" s="139">
        <v>50</v>
      </c>
      <c r="R64" s="139">
        <v>1</v>
      </c>
      <c r="S64" s="141" t="str">
        <f>IFERROR(_xll.qlRateHelperEarliestDate(M64,Trigger),"--")</f>
        <v>--</v>
      </c>
      <c r="T64" s="141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25</v>
      </c>
      <c r="B65" s="63" t="s">
        <v>107</v>
      </c>
      <c r="C65" s="64" t="s">
        <v>6</v>
      </c>
      <c r="D65" s="64" t="s">
        <v>161</v>
      </c>
      <c r="E65" s="64" t="s">
        <v>7</v>
      </c>
      <c r="F65" s="64" t="s">
        <v>159</v>
      </c>
      <c r="G65" s="64" t="str">
        <f t="shared" si="21"/>
        <v>AudBBSW3M</v>
      </c>
      <c r="H65" s="62" t="str">
        <f t="shared" si="22"/>
        <v>AUDQM3AB19Y_Quote</v>
      </c>
      <c r="I65" s="126">
        <v>0</v>
      </c>
      <c r="J65" s="67"/>
      <c r="L65" s="74" t="str">
        <f t="shared" si="19"/>
        <v>Sw</v>
      </c>
      <c r="M65" s="139" t="str">
        <f t="shared" si="20"/>
        <v>--</v>
      </c>
      <c r="N65" s="147" t="str">
        <f>IFERROR(_xll.qlRateHelperQuoteName(M65,Trigger),"--")</f>
        <v>--</v>
      </c>
      <c r="O65" s="140" t="str">
        <f>IFERROR(_xll.qlRateHelperQuoteValue($M65,Trigger),"--")</f>
        <v>--</v>
      </c>
      <c r="P65" s="139" t="b">
        <v>0</v>
      </c>
      <c r="Q65" s="139">
        <v>50</v>
      </c>
      <c r="R65" s="139">
        <v>1</v>
      </c>
      <c r="S65" s="141" t="str">
        <f>IFERROR(_xll.qlRateHelperEarliestDate(M65,Trigger),"--")</f>
        <v>--</v>
      </c>
      <c r="T65" s="14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25</v>
      </c>
      <c r="B66" s="63" t="s">
        <v>63</v>
      </c>
      <c r="C66" s="64" t="s">
        <v>6</v>
      </c>
      <c r="D66" s="64" t="s">
        <v>161</v>
      </c>
      <c r="E66" s="64" t="s">
        <v>7</v>
      </c>
      <c r="F66" s="64" t="s">
        <v>159</v>
      </c>
      <c r="G66" s="64" t="str">
        <f t="shared" si="21"/>
        <v>AudBBSW3M</v>
      </c>
      <c r="H66" s="62" t="str">
        <f t="shared" si="22"/>
        <v>AUDQM3AB20Y_Quote</v>
      </c>
      <c r="I66" s="126">
        <v>0</v>
      </c>
      <c r="J66" s="67"/>
      <c r="L66" s="74" t="str">
        <f t="shared" si="19"/>
        <v>Sw</v>
      </c>
      <c r="M66" s="139" t="str">
        <f t="shared" si="20"/>
        <v>--</v>
      </c>
      <c r="N66" s="147" t="str">
        <f>IFERROR(_xll.qlRateHelperQuoteName(M66,Trigger),"--")</f>
        <v>--</v>
      </c>
      <c r="O66" s="140" t="str">
        <f>IFERROR(_xll.qlRateHelperQuoteValue($M66,Trigger),"--")</f>
        <v>--</v>
      </c>
      <c r="P66" s="139" t="b">
        <v>0</v>
      </c>
      <c r="Q66" s="139">
        <v>50</v>
      </c>
      <c r="R66" s="139">
        <v>1</v>
      </c>
      <c r="S66" s="141" t="str">
        <f>IFERROR(_xll.qlRateHelperEarliestDate(M66,Trigger),"--")</f>
        <v>--</v>
      </c>
      <c r="T66" s="141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25</v>
      </c>
      <c r="B67" s="63" t="s">
        <v>108</v>
      </c>
      <c r="C67" s="64" t="s">
        <v>6</v>
      </c>
      <c r="D67" s="64" t="s">
        <v>161</v>
      </c>
      <c r="E67" s="64" t="s">
        <v>7</v>
      </c>
      <c r="F67" s="64" t="s">
        <v>159</v>
      </c>
      <c r="G67" s="64" t="str">
        <f t="shared" si="21"/>
        <v>AudBBSW3M</v>
      </c>
      <c r="H67" s="62" t="str">
        <f t="shared" si="22"/>
        <v>AUDQM3AB21Y_Quote</v>
      </c>
      <c r="I67" s="126">
        <v>0</v>
      </c>
      <c r="J67" s="67"/>
      <c r="L67" s="74" t="str">
        <f t="shared" si="19"/>
        <v>Sw</v>
      </c>
      <c r="M67" s="139" t="str">
        <f t="shared" si="20"/>
        <v>--</v>
      </c>
      <c r="N67" s="147" t="str">
        <f>IFERROR(_xll.qlRateHelperQuoteName(M67,Trigger),"--")</f>
        <v>--</v>
      </c>
      <c r="O67" s="140" t="str">
        <f>IFERROR(_xll.qlRateHelperQuoteValue($M67,Trigger),"--")</f>
        <v>--</v>
      </c>
      <c r="P67" s="139" t="b">
        <v>0</v>
      </c>
      <c r="Q67" s="139">
        <v>50</v>
      </c>
      <c r="R67" s="139">
        <v>1</v>
      </c>
      <c r="S67" s="141" t="str">
        <f>IFERROR(_xll.qlRateHelperEarliestDate(M67,Trigger),"--")</f>
        <v>--</v>
      </c>
      <c r="T67" s="141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25</v>
      </c>
      <c r="B68" s="63" t="s">
        <v>109</v>
      </c>
      <c r="C68" s="64" t="s">
        <v>6</v>
      </c>
      <c r="D68" s="64" t="s">
        <v>161</v>
      </c>
      <c r="E68" s="64" t="s">
        <v>7</v>
      </c>
      <c r="F68" s="64" t="s">
        <v>159</v>
      </c>
      <c r="G68" s="64" t="str">
        <f t="shared" si="21"/>
        <v>AudBBSW3M</v>
      </c>
      <c r="H68" s="62" t="str">
        <f t="shared" si="22"/>
        <v>AUDQM3AB22Y_Quote</v>
      </c>
      <c r="I68" s="126">
        <v>0</v>
      </c>
      <c r="J68" s="67"/>
      <c r="L68" s="74" t="str">
        <f t="shared" si="19"/>
        <v>Sw</v>
      </c>
      <c r="M68" s="139" t="str">
        <f t="shared" si="20"/>
        <v>--</v>
      </c>
      <c r="N68" s="147" t="str">
        <f>IFERROR(_xll.qlRateHelperQuoteName(M68,Trigger),"--")</f>
        <v>--</v>
      </c>
      <c r="O68" s="140" t="str">
        <f>IFERROR(_xll.qlRateHelperQuoteValue($M68,Trigger),"--")</f>
        <v>--</v>
      </c>
      <c r="P68" s="139" t="b">
        <v>0</v>
      </c>
      <c r="Q68" s="139">
        <v>50</v>
      </c>
      <c r="R68" s="139">
        <v>1</v>
      </c>
      <c r="S68" s="141" t="str">
        <f>IFERROR(_xll.qlRateHelperEarliestDate(M68,Trigger),"--")</f>
        <v>--</v>
      </c>
      <c r="T68" s="141" t="str">
        <f>IFERROR(_xll.qlRateHelperPillarDate(M68,Trigger),"--")</f>
        <v>--</v>
      </c>
      <c r="V68" s="4" t="str">
        <f t="shared" ref="V68:V111" si="23">IFERROR(INDEX($L$3:$L$111,MATCH(X68,$N$3:$N$111,0),1),"")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25</v>
      </c>
      <c r="B69" s="63" t="s">
        <v>110</v>
      </c>
      <c r="C69" s="64" t="s">
        <v>6</v>
      </c>
      <c r="D69" s="64" t="s">
        <v>161</v>
      </c>
      <c r="E69" s="64" t="s">
        <v>7</v>
      </c>
      <c r="F69" s="64" t="s">
        <v>159</v>
      </c>
      <c r="G69" s="64" t="str">
        <f t="shared" si="21"/>
        <v>AudBBSW3M</v>
      </c>
      <c r="H69" s="62" t="str">
        <f t="shared" si="22"/>
        <v>AUDQM3AB23Y_Quote</v>
      </c>
      <c r="I69" s="126">
        <v>0</v>
      </c>
      <c r="J69" s="67"/>
      <c r="L69" s="74" t="str">
        <f t="shared" si="19"/>
        <v>Sw</v>
      </c>
      <c r="M69" s="139" t="str">
        <f t="shared" si="20"/>
        <v>--</v>
      </c>
      <c r="N69" s="147" t="str">
        <f>IFERROR(_xll.qlRateHelperQuoteName(M69,Trigger),"--")</f>
        <v>--</v>
      </c>
      <c r="O69" s="140" t="str">
        <f>IFERROR(_xll.qlRateHelperQuoteValue($M69,Trigger),"--")</f>
        <v>--</v>
      </c>
      <c r="P69" s="139" t="b">
        <v>0</v>
      </c>
      <c r="Q69" s="139">
        <v>50</v>
      </c>
      <c r="R69" s="139">
        <v>1</v>
      </c>
      <c r="S69" s="141" t="str">
        <f>IFERROR(_xll.qlRateHelperEarliestDate(M69,Trigger),"--")</f>
        <v>--</v>
      </c>
      <c r="T69" s="141" t="str">
        <f>IFERROR(_xll.qlRateHelperPillarDate(M69,Trigger),"--")</f>
        <v>--</v>
      </c>
      <c r="V69" s="4" t="str">
        <f t="shared" si="23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25</v>
      </c>
      <c r="B70" s="63" t="s">
        <v>111</v>
      </c>
      <c r="C70" s="64" t="s">
        <v>6</v>
      </c>
      <c r="D70" s="64" t="s">
        <v>161</v>
      </c>
      <c r="E70" s="64" t="s">
        <v>7</v>
      </c>
      <c r="F70" s="64" t="s">
        <v>159</v>
      </c>
      <c r="G70" s="64" t="str">
        <f t="shared" si="21"/>
        <v>AudBBSW3M</v>
      </c>
      <c r="H70" s="62" t="str">
        <f t="shared" si="22"/>
        <v>AUDQM3AB24Y_Quote</v>
      </c>
      <c r="I70" s="126">
        <v>0</v>
      </c>
      <c r="J70" s="67"/>
      <c r="L70" s="74" t="str">
        <f t="shared" si="19"/>
        <v>Sw</v>
      </c>
      <c r="M70" s="139" t="str">
        <f t="shared" si="20"/>
        <v>--</v>
      </c>
      <c r="N70" s="147" t="str">
        <f>IFERROR(_xll.qlRateHelperQuoteName(M70,Trigger),"--")</f>
        <v>--</v>
      </c>
      <c r="O70" s="140" t="str">
        <f>IFERROR(_xll.qlRateHelperQuoteValue($M70,Trigger),"--")</f>
        <v>--</v>
      </c>
      <c r="P70" s="139" t="b">
        <v>0</v>
      </c>
      <c r="Q70" s="139">
        <v>50</v>
      </c>
      <c r="R70" s="139">
        <v>1</v>
      </c>
      <c r="S70" s="141" t="str">
        <f>IFERROR(_xll.qlRateHelperEarliestDate(M70,Trigger),"--")</f>
        <v>--</v>
      </c>
      <c r="T70" s="141" t="str">
        <f>IFERROR(_xll.qlRateHelperPillarDate(M70,Trigger),"--")</f>
        <v>--</v>
      </c>
      <c r="V70" s="4" t="str">
        <f t="shared" si="23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25</v>
      </c>
      <c r="B71" s="63" t="s">
        <v>64</v>
      </c>
      <c r="C71" s="64" t="s">
        <v>6</v>
      </c>
      <c r="D71" s="64" t="s">
        <v>161</v>
      </c>
      <c r="E71" s="64" t="s">
        <v>7</v>
      </c>
      <c r="F71" s="64" t="s">
        <v>159</v>
      </c>
      <c r="G71" s="64" t="str">
        <f t="shared" si="21"/>
        <v>AudBBSW3M</v>
      </c>
      <c r="H71" s="62" t="str">
        <f t="shared" si="22"/>
        <v>AUDQM3AB25Y_Quote</v>
      </c>
      <c r="I71" s="126">
        <v>0</v>
      </c>
      <c r="J71" s="67"/>
      <c r="L71" s="74" t="str">
        <f t="shared" si="19"/>
        <v>Sw</v>
      </c>
      <c r="M71" s="139" t="str">
        <f t="shared" si="20"/>
        <v>--</v>
      </c>
      <c r="N71" s="147" t="str">
        <f>IFERROR(_xll.qlRateHelperQuoteName(M71,Trigger),"--")</f>
        <v>--</v>
      </c>
      <c r="O71" s="140" t="str">
        <f>IFERROR(_xll.qlRateHelperQuoteValue($M71,Trigger),"--")</f>
        <v>--</v>
      </c>
      <c r="P71" s="139" t="b">
        <v>0</v>
      </c>
      <c r="Q71" s="139">
        <v>50</v>
      </c>
      <c r="R71" s="139">
        <v>1</v>
      </c>
      <c r="S71" s="141" t="str">
        <f>IFERROR(_xll.qlRateHelperEarliestDate(M71,Trigger),"--")</f>
        <v>--</v>
      </c>
      <c r="T71" s="141" t="str">
        <f>IFERROR(_xll.qlRateHelperPillarDate(M71,Trigger),"--")</f>
        <v>--</v>
      </c>
      <c r="V71" s="4" t="str">
        <f t="shared" si="23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25</v>
      </c>
      <c r="B72" s="63" t="s">
        <v>112</v>
      </c>
      <c r="C72" s="64" t="s">
        <v>6</v>
      </c>
      <c r="D72" s="64" t="s">
        <v>161</v>
      </c>
      <c r="E72" s="64" t="s">
        <v>7</v>
      </c>
      <c r="F72" s="64" t="s">
        <v>159</v>
      </c>
      <c r="G72" s="64" t="str">
        <f t="shared" si="21"/>
        <v>AudBBSW3M</v>
      </c>
      <c r="H72" s="62" t="str">
        <f t="shared" si="22"/>
        <v>AUDQM3AB26Y_Quote</v>
      </c>
      <c r="I72" s="126">
        <v>0</v>
      </c>
      <c r="J72" s="67"/>
      <c r="L72" s="74" t="str">
        <f t="shared" si="19"/>
        <v>Sw</v>
      </c>
      <c r="M72" s="139" t="str">
        <f t="shared" si="20"/>
        <v>--</v>
      </c>
      <c r="N72" s="147" t="str">
        <f>IFERROR(_xll.qlRateHelperQuoteName(M72,Trigger),"--")</f>
        <v>--</v>
      </c>
      <c r="O72" s="140" t="str">
        <f>IFERROR(_xll.qlRateHelperQuoteValue($M72,Trigger),"--")</f>
        <v>--</v>
      </c>
      <c r="P72" s="139" t="b">
        <v>0</v>
      </c>
      <c r="Q72" s="139">
        <v>50</v>
      </c>
      <c r="R72" s="139">
        <v>1</v>
      </c>
      <c r="S72" s="141" t="str">
        <f>IFERROR(_xll.qlRateHelperEarliestDate(M72,Trigger),"--")</f>
        <v>--</v>
      </c>
      <c r="T72" s="141" t="str">
        <f>IFERROR(_xll.qlRateHelperPillarDate(M72,Trigger),"--")</f>
        <v>--</v>
      </c>
      <c r="V72" s="4" t="str">
        <f t="shared" si="23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25</v>
      </c>
      <c r="B73" s="63" t="s">
        <v>65</v>
      </c>
      <c r="C73" s="64" t="s">
        <v>6</v>
      </c>
      <c r="D73" s="64" t="s">
        <v>161</v>
      </c>
      <c r="E73" s="64" t="s">
        <v>7</v>
      </c>
      <c r="F73" s="64" t="s">
        <v>159</v>
      </c>
      <c r="G73" s="64" t="str">
        <f t="shared" si="21"/>
        <v>AudBBSW3M</v>
      </c>
      <c r="H73" s="62" t="str">
        <f t="shared" si="22"/>
        <v>AUDQM3AB27Y_Quote</v>
      </c>
      <c r="I73" s="126">
        <v>0</v>
      </c>
      <c r="J73" s="67"/>
      <c r="L73" s="74" t="str">
        <f t="shared" si="19"/>
        <v>Sw</v>
      </c>
      <c r="M73" s="139" t="str">
        <f t="shared" si="20"/>
        <v>--</v>
      </c>
      <c r="N73" s="147" t="str">
        <f>IFERROR(_xll.qlRateHelperQuoteName(M73,Trigger),"--")</f>
        <v>--</v>
      </c>
      <c r="O73" s="140" t="str">
        <f>IFERROR(_xll.qlRateHelperQuoteValue($M73,Trigger),"--")</f>
        <v>--</v>
      </c>
      <c r="P73" s="139" t="b">
        <v>0</v>
      </c>
      <c r="Q73" s="139">
        <v>50</v>
      </c>
      <c r="R73" s="139">
        <v>1</v>
      </c>
      <c r="S73" s="141" t="str">
        <f>IFERROR(_xll.qlRateHelperEarliestDate(M73,Trigger),"--")</f>
        <v>--</v>
      </c>
      <c r="T73" s="141" t="str">
        <f>IFERROR(_xll.qlRateHelperPillarDate(M73,Trigger),"--")</f>
        <v>--</v>
      </c>
      <c r="V73" s="4" t="str">
        <f t="shared" si="23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25</v>
      </c>
      <c r="B74" s="63" t="s">
        <v>113</v>
      </c>
      <c r="C74" s="64" t="s">
        <v>6</v>
      </c>
      <c r="D74" s="64" t="s">
        <v>161</v>
      </c>
      <c r="E74" s="64" t="s">
        <v>7</v>
      </c>
      <c r="F74" s="64" t="s">
        <v>159</v>
      </c>
      <c r="G74" s="64" t="str">
        <f t="shared" si="21"/>
        <v>AudBBSW3M</v>
      </c>
      <c r="H74" s="62" t="str">
        <f t="shared" si="22"/>
        <v>AUDQM3AB28Y_Quote</v>
      </c>
      <c r="I74" s="126">
        <v>0</v>
      </c>
      <c r="J74" s="67"/>
      <c r="L74" s="74" t="str">
        <f t="shared" si="19"/>
        <v>Sw</v>
      </c>
      <c r="M74" s="139" t="str">
        <f t="shared" si="20"/>
        <v>--</v>
      </c>
      <c r="N74" s="147" t="str">
        <f>IFERROR(_xll.qlRateHelperQuoteName(M74,Trigger),"--")</f>
        <v>--</v>
      </c>
      <c r="O74" s="140" t="str">
        <f>IFERROR(_xll.qlRateHelperQuoteValue($M74,Trigger),"--")</f>
        <v>--</v>
      </c>
      <c r="P74" s="139" t="b">
        <v>0</v>
      </c>
      <c r="Q74" s="139">
        <v>50</v>
      </c>
      <c r="R74" s="139">
        <v>1</v>
      </c>
      <c r="S74" s="141" t="str">
        <f>IFERROR(_xll.qlRateHelperEarliestDate(M74,Trigger),"--")</f>
        <v>--</v>
      </c>
      <c r="T74" s="141" t="str">
        <f>IFERROR(_xll.qlRateHelperPillarDate(M74,Trigger),"--")</f>
        <v>--</v>
      </c>
      <c r="V74" s="4" t="str">
        <f t="shared" si="23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25</v>
      </c>
      <c r="B75" s="63" t="s">
        <v>114</v>
      </c>
      <c r="C75" s="64" t="s">
        <v>6</v>
      </c>
      <c r="D75" s="64" t="s">
        <v>161</v>
      </c>
      <c r="E75" s="64" t="s">
        <v>7</v>
      </c>
      <c r="F75" s="64" t="s">
        <v>159</v>
      </c>
      <c r="G75" s="64" t="str">
        <f t="shared" si="21"/>
        <v>AudBBSW3M</v>
      </c>
      <c r="H75" s="62" t="str">
        <f t="shared" si="22"/>
        <v>AUDQM3AB29Y_Quote</v>
      </c>
      <c r="I75" s="126">
        <v>0</v>
      </c>
      <c r="J75" s="67"/>
      <c r="L75" s="134" t="str">
        <f t="shared" ref="L75:L111" si="24">A83</f>
        <v>BasSw</v>
      </c>
      <c r="M75" s="135" t="str">
        <f t="shared" ref="M75:M111" si="25">IF(ISBLANK(J83),"--",J83)</f>
        <v>--</v>
      </c>
      <c r="N75" s="146" t="str">
        <f>IFERROR(_xll.qlRateHelperQuoteName(M75,Trigger),"--")</f>
        <v>--</v>
      </c>
      <c r="O75" s="136" t="str">
        <f>IFERROR(_xll.qlRateHelperQuoteValue($M75,Trigger),"--")</f>
        <v>--</v>
      </c>
      <c r="P75" s="135" t="b">
        <v>0</v>
      </c>
      <c r="Q75" s="135">
        <v>50</v>
      </c>
      <c r="R75" s="135">
        <v>1</v>
      </c>
      <c r="S75" s="137" t="str">
        <f>IFERROR(_xll.qlRateHelperEarliestDate(M75,Trigger),"--")</f>
        <v>--</v>
      </c>
      <c r="T75" s="137" t="str">
        <f>IFERROR(_xll.qlRateHelperPillarDate(M75,Trigger),"--")</f>
        <v>--</v>
      </c>
      <c r="V75" s="4" t="str">
        <f t="shared" si="23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25</v>
      </c>
      <c r="B76" s="63" t="s">
        <v>66</v>
      </c>
      <c r="C76" s="64" t="s">
        <v>6</v>
      </c>
      <c r="D76" s="64" t="s">
        <v>161</v>
      </c>
      <c r="E76" s="64" t="s">
        <v>7</v>
      </c>
      <c r="F76" s="64" t="s">
        <v>159</v>
      </c>
      <c r="G76" s="64" t="str">
        <f t="shared" si="21"/>
        <v>AudBBSW3M</v>
      </c>
      <c r="H76" s="62" t="str">
        <f t="shared" si="22"/>
        <v>AUDQM3AB30Y_Quote</v>
      </c>
      <c r="I76" s="126">
        <v>0</v>
      </c>
      <c r="J76" s="67"/>
      <c r="L76" s="74" t="str">
        <f t="shared" si="24"/>
        <v>BasSw</v>
      </c>
      <c r="M76" s="139" t="str">
        <f t="shared" si="25"/>
        <v>--</v>
      </c>
      <c r="N76" s="147" t="str">
        <f>IFERROR(_xll.qlRateHelperQuoteName(M76,Trigger),"--")</f>
        <v>--</v>
      </c>
      <c r="O76" s="140" t="str">
        <f>IFERROR(_xll.qlRateHelperQuoteValue($M76,Trigger),"--")</f>
        <v>--</v>
      </c>
      <c r="P76" s="139" t="b">
        <v>0</v>
      </c>
      <c r="Q76" s="139">
        <v>50</v>
      </c>
      <c r="R76" s="139">
        <v>1</v>
      </c>
      <c r="S76" s="141" t="str">
        <f>IFERROR(_xll.qlRateHelperEarliestDate(M76,Trigger),"--")</f>
        <v>--</v>
      </c>
      <c r="T76" s="141" t="str">
        <f>IFERROR(_xll.qlRateHelperPillarDate(M76,Trigger),"--")</f>
        <v>--</v>
      </c>
      <c r="V76" s="4" t="str">
        <f t="shared" si="23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25</v>
      </c>
      <c r="B77" s="63" t="s">
        <v>67</v>
      </c>
      <c r="C77" s="64" t="s">
        <v>6</v>
      </c>
      <c r="D77" s="64" t="s">
        <v>161</v>
      </c>
      <c r="E77" s="64" t="s">
        <v>7</v>
      </c>
      <c r="F77" s="64" t="s">
        <v>159</v>
      </c>
      <c r="G77" s="64" t="str">
        <f t="shared" si="21"/>
        <v>AudBBSW3M</v>
      </c>
      <c r="H77" s="62" t="str">
        <f t="shared" si="22"/>
        <v>AUDQM3AB35Y_Quote</v>
      </c>
      <c r="I77" s="124">
        <v>0</v>
      </c>
      <c r="J77" s="67"/>
      <c r="L77" s="74" t="str">
        <f t="shared" si="24"/>
        <v>BasSw</v>
      </c>
      <c r="M77" s="139" t="str">
        <f t="shared" si="25"/>
        <v>--</v>
      </c>
      <c r="N77" s="147" t="str">
        <f>IFERROR(_xll.qlRateHelperQuoteName(M77,Trigger),"--")</f>
        <v>--</v>
      </c>
      <c r="O77" s="140" t="str">
        <f>IFERROR(_xll.qlRateHelperQuoteValue($M77,Trigger),"--")</f>
        <v>--</v>
      </c>
      <c r="P77" s="139" t="b">
        <v>0</v>
      </c>
      <c r="Q77" s="139">
        <v>50</v>
      </c>
      <c r="R77" s="139">
        <v>1</v>
      </c>
      <c r="S77" s="141" t="str">
        <f>IFERROR(_xll.qlRateHelperEarliestDate(M77,Trigger),"--")</f>
        <v>--</v>
      </c>
      <c r="T77" s="141" t="str">
        <f>IFERROR(_xll.qlRateHelperPillarDate(M77,Trigger),"--")</f>
        <v>--</v>
      </c>
      <c r="V77" s="4" t="str">
        <f t="shared" si="23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25</v>
      </c>
      <c r="B78" s="63" t="s">
        <v>68</v>
      </c>
      <c r="C78" s="64" t="s">
        <v>6</v>
      </c>
      <c r="D78" s="64" t="s">
        <v>161</v>
      </c>
      <c r="E78" s="64" t="s">
        <v>7</v>
      </c>
      <c r="F78" s="64" t="s">
        <v>159</v>
      </c>
      <c r="G78" s="64" t="str">
        <f t="shared" si="21"/>
        <v>AudBBSW3M</v>
      </c>
      <c r="H78" s="62" t="str">
        <f t="shared" si="22"/>
        <v>AUDQM3AB40Y_Quote</v>
      </c>
      <c r="I78" s="124">
        <v>0</v>
      </c>
      <c r="J78" s="67"/>
      <c r="L78" s="74" t="str">
        <f t="shared" si="24"/>
        <v>BasSw</v>
      </c>
      <c r="M78" s="139" t="str">
        <f t="shared" si="25"/>
        <v>--</v>
      </c>
      <c r="N78" s="147" t="str">
        <f>IFERROR(_xll.qlRateHelperQuoteName(M78,Trigger),"--")</f>
        <v>--</v>
      </c>
      <c r="O78" s="140" t="str">
        <f>IFERROR(_xll.qlRateHelperQuoteValue($M78,Trigger),"--")</f>
        <v>--</v>
      </c>
      <c r="P78" s="139" t="b">
        <v>0</v>
      </c>
      <c r="Q78" s="139">
        <v>50</v>
      </c>
      <c r="R78" s="139">
        <v>1</v>
      </c>
      <c r="S78" s="141" t="str">
        <f>IFERROR(_xll.qlRateHelperEarliestDate(M78,Trigger),"--")</f>
        <v>--</v>
      </c>
      <c r="T78" s="141" t="str">
        <f>IFERROR(_xll.qlRateHelperPillarDate(M78,Trigger),"--")</f>
        <v>--</v>
      </c>
      <c r="V78" s="4" t="str">
        <f t="shared" si="23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25</v>
      </c>
      <c r="B79" s="63" t="s">
        <v>69</v>
      </c>
      <c r="C79" s="64" t="s">
        <v>6</v>
      </c>
      <c r="D79" s="64" t="s">
        <v>161</v>
      </c>
      <c r="E79" s="64" t="s">
        <v>7</v>
      </c>
      <c r="F79" s="64" t="s">
        <v>159</v>
      </c>
      <c r="G79" s="64" t="str">
        <f t="shared" si="21"/>
        <v>AudBBSW3M</v>
      </c>
      <c r="H79" s="62" t="str">
        <f t="shared" si="22"/>
        <v>AUDQM3AB50Y_Quote</v>
      </c>
      <c r="I79" s="124">
        <v>0</v>
      </c>
      <c r="J79" s="67"/>
      <c r="L79" s="74" t="str">
        <f t="shared" si="24"/>
        <v>BasSw</v>
      </c>
      <c r="M79" s="139" t="str">
        <f t="shared" si="25"/>
        <v>--</v>
      </c>
      <c r="N79" s="147" t="str">
        <f>IFERROR(_xll.qlRateHelperQuoteName(M79,Trigger),"--")</f>
        <v>--</v>
      </c>
      <c r="O79" s="140" t="str">
        <f>IFERROR(_xll.qlRateHelperQuoteValue($M79,Trigger),"--")</f>
        <v>--</v>
      </c>
      <c r="P79" s="139" t="b">
        <v>0</v>
      </c>
      <c r="Q79" s="139">
        <v>50</v>
      </c>
      <c r="R79" s="139">
        <v>1</v>
      </c>
      <c r="S79" s="141" t="str">
        <f>IFERROR(_xll.qlRateHelperEarliestDate(M79,Trigger),"--")</f>
        <v>--</v>
      </c>
      <c r="T79" s="141" t="str">
        <f>IFERROR(_xll.qlRateHelperPillarDate(M79,Trigger),"--")</f>
        <v>--</v>
      </c>
      <c r="V79" s="4" t="str">
        <f t="shared" si="23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1" t="s">
        <v>25</v>
      </c>
      <c r="B80" s="8" t="s">
        <v>115</v>
      </c>
      <c r="C80" s="7" t="s">
        <v>6</v>
      </c>
      <c r="D80" s="7" t="s">
        <v>161</v>
      </c>
      <c r="E80" s="7" t="s">
        <v>7</v>
      </c>
      <c r="F80" s="7" t="s">
        <v>159</v>
      </c>
      <c r="G80" s="7" t="str">
        <f t="shared" si="21"/>
        <v>AudBBSW3M</v>
      </c>
      <c r="H80" s="1" t="str">
        <f t="shared" si="22"/>
        <v>AUDQM3AB60Y_Quote</v>
      </c>
      <c r="I80" s="127">
        <v>0</v>
      </c>
      <c r="J80" s="3"/>
      <c r="L80" s="74" t="str">
        <f t="shared" si="24"/>
        <v>BasSw</v>
      </c>
      <c r="M80" s="139" t="str">
        <f t="shared" si="25"/>
        <v>--</v>
      </c>
      <c r="N80" s="147" t="str">
        <f>IFERROR(_xll.qlRateHelperQuoteName(M80,Trigger),"--")</f>
        <v>--</v>
      </c>
      <c r="O80" s="140" t="str">
        <f>IFERROR(_xll.qlRateHelperQuoteValue($M80,Trigger),"--")</f>
        <v>--</v>
      </c>
      <c r="P80" s="139" t="b">
        <v>0</v>
      </c>
      <c r="Q80" s="139">
        <v>50</v>
      </c>
      <c r="R80" s="139">
        <v>1</v>
      </c>
      <c r="S80" s="141" t="str">
        <f>IFERROR(_xll.qlRateHelperEarliestDate(M80,Trigger),"--")</f>
        <v>--</v>
      </c>
      <c r="T80" s="141" t="str">
        <f>IFERROR(_xll.qlRateHelperPillarDate(M80,Trigger),"--")</f>
        <v>--</v>
      </c>
      <c r="V80" s="4" t="str">
        <f t="shared" si="23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G81" s="53" t="s">
        <v>165</v>
      </c>
      <c r="H81" s="107" t="s">
        <v>166</v>
      </c>
      <c r="L81" s="74" t="str">
        <f t="shared" si="24"/>
        <v>BasSw</v>
      </c>
      <c r="M81" s="139" t="str">
        <f t="shared" si="25"/>
        <v>obj_0023a#0001</v>
      </c>
      <c r="N81" s="147" t="str">
        <f>IFERROR(_xll.qlRateHelperQuoteName(M81,Trigger),"--")</f>
        <v>AUDSM6AB4Y_Quote</v>
      </c>
      <c r="O81" s="140">
        <f>IFERROR(_xll.qlRateHelperQuoteValue($M81,Trigger),"--")</f>
        <v>2.48875E-2</v>
      </c>
      <c r="P81" s="139" t="b">
        <v>1</v>
      </c>
      <c r="Q81" s="139">
        <v>50</v>
      </c>
      <c r="R81" s="139">
        <v>1</v>
      </c>
      <c r="S81" s="141">
        <f>IFERROR(_xll.qlRateHelperEarliestDate(M81,Trigger),"--")</f>
        <v>42356</v>
      </c>
      <c r="T81" s="141">
        <f>IFERROR(_xll.qlRateHelperPillarDate(M81,Trigger),"--")</f>
        <v>43817</v>
      </c>
      <c r="V81" s="4" t="str">
        <f t="shared" si="23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8" t="s">
        <v>8</v>
      </c>
      <c r="B82" s="68" t="s">
        <v>28</v>
      </c>
      <c r="C82" s="68" t="s">
        <v>117</v>
      </c>
      <c r="D82" s="68" t="s">
        <v>5</v>
      </c>
      <c r="E82" s="68" t="s">
        <v>33</v>
      </c>
      <c r="F82" s="68" t="s">
        <v>118</v>
      </c>
      <c r="G82" s="68" t="s">
        <v>4</v>
      </c>
      <c r="H82" s="68" t="s">
        <v>1</v>
      </c>
      <c r="I82" s="68" t="s">
        <v>116</v>
      </c>
      <c r="J82" s="68" t="s">
        <v>24</v>
      </c>
      <c r="L82" s="74" t="str">
        <f t="shared" si="24"/>
        <v>BasSw</v>
      </c>
      <c r="M82" s="139" t="str">
        <f t="shared" si="25"/>
        <v>obj_00247#0001</v>
      </c>
      <c r="N82" s="147" t="str">
        <f>IFERROR(_xll.qlRateHelperQuoteName(M82,Trigger),"--")</f>
        <v>AUDSM6AB5Y_Quote</v>
      </c>
      <c r="O82" s="140">
        <f>IFERROR(_xll.qlRateHelperQuoteValue($M82,Trigger),"--")</f>
        <v>2.5975000000000002E-2</v>
      </c>
      <c r="P82" s="139" t="b">
        <v>1</v>
      </c>
      <c r="Q82" s="139">
        <v>50</v>
      </c>
      <c r="R82" s="139">
        <v>1</v>
      </c>
      <c r="S82" s="141">
        <f>IFERROR(_xll.qlRateHelperEarliestDate(M82,Trigger),"--")</f>
        <v>42356</v>
      </c>
      <c r="T82" s="141">
        <f>IFERROR(_xll.qlRateHelperPillarDate(M82,Trigger),"--")</f>
        <v>44183</v>
      </c>
      <c r="V82" s="4" t="str">
        <f t="shared" si="23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56" t="s">
        <v>121</v>
      </c>
      <c r="B83" s="114" t="s">
        <v>27</v>
      </c>
      <c r="C83" s="58" t="s">
        <v>6</v>
      </c>
      <c r="D83" s="64" t="s">
        <v>164</v>
      </c>
      <c r="E83" s="64" t="s">
        <v>7</v>
      </c>
      <c r="F83" s="64" t="s">
        <v>159</v>
      </c>
      <c r="G83" s="64" t="str">
        <f t="shared" ref="G83:G119" si="26">PROPER(Currency)&amp;FamilyName&amp;Tenor</f>
        <v>AudBBSW3M</v>
      </c>
      <c r="H83" s="62" t="str">
        <f t="shared" ref="H83:H119" si="27">Currency&amp;$G$81&amp;$H$81&amp;$B83&amp;QuoteSuffix</f>
        <v>AUDSM6AB1Y_Quote</v>
      </c>
      <c r="I83" s="125" t="str">
        <f t="shared" ref="I83:I119" si="28">Currency&amp;"3BR"&amp;"6BR"&amp;B83&amp;QuoteSuffix</f>
        <v>AUD3BR6BR1Y_Quote</v>
      </c>
      <c r="J83" s="61"/>
      <c r="L83" s="74" t="str">
        <f t="shared" si="24"/>
        <v>BasSw</v>
      </c>
      <c r="M83" s="139" t="str">
        <f t="shared" si="25"/>
        <v>--</v>
      </c>
      <c r="N83" s="147" t="str">
        <f>IFERROR(_xll.qlRateHelperQuoteName(M83,Trigger),"--")</f>
        <v>--</v>
      </c>
      <c r="O83" s="140" t="str">
        <f>IFERROR(_xll.qlRateHelperQuoteValue($M83,Trigger),"--")</f>
        <v>--</v>
      </c>
      <c r="P83" s="139" t="b">
        <v>0</v>
      </c>
      <c r="Q83" s="139">
        <v>50</v>
      </c>
      <c r="R83" s="139">
        <v>1</v>
      </c>
      <c r="S83" s="141" t="str">
        <f>IFERROR(_xll.qlRateHelperEarliestDate(M83,Trigger),"--")</f>
        <v>--</v>
      </c>
      <c r="T83" s="141" t="str">
        <f>IFERROR(_xll.qlRateHelperPillarDate(M83,Trigger),"--")</f>
        <v>--</v>
      </c>
      <c r="V83" s="4" t="str">
        <f t="shared" si="23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121</v>
      </c>
      <c r="B84" s="115" t="s">
        <v>49</v>
      </c>
      <c r="C84" s="64" t="s">
        <v>6</v>
      </c>
      <c r="D84" s="64" t="s">
        <v>164</v>
      </c>
      <c r="E84" s="64" t="s">
        <v>7</v>
      </c>
      <c r="F84" s="64" t="s">
        <v>159</v>
      </c>
      <c r="G84" s="64" t="str">
        <f t="shared" si="26"/>
        <v>AudBBSW3M</v>
      </c>
      <c r="H84" s="62" t="str">
        <f t="shared" si="27"/>
        <v>AUDSM6AB15M_Quote</v>
      </c>
      <c r="I84" s="126" t="str">
        <f t="shared" si="28"/>
        <v>AUD3BR6BR15M_Quote</v>
      </c>
      <c r="J84" s="67"/>
      <c r="L84" s="74" t="str">
        <f t="shared" si="24"/>
        <v>BasSw</v>
      </c>
      <c r="M84" s="139" t="str">
        <f t="shared" si="25"/>
        <v>obj_00211#0001</v>
      </c>
      <c r="N84" s="147" t="str">
        <f>IFERROR(_xll.qlRateHelperQuoteName(M84,Trigger),"--")</f>
        <v>AUDSM6AB7Y_Quote</v>
      </c>
      <c r="O84" s="140">
        <f>IFERROR(_xll.qlRateHelperQuoteValue($M84,Trigger),"--")</f>
        <v>2.7999999999999997E-2</v>
      </c>
      <c r="P84" s="139" t="b">
        <v>1</v>
      </c>
      <c r="Q84" s="139">
        <v>50</v>
      </c>
      <c r="R84" s="139">
        <v>1</v>
      </c>
      <c r="S84" s="141">
        <f>IFERROR(_xll.qlRateHelperEarliestDate(M84,Trigger),"--")</f>
        <v>42356</v>
      </c>
      <c r="T84" s="141">
        <f>IFERROR(_xll.qlRateHelperPillarDate(M84,Trigger),"--")</f>
        <v>44914</v>
      </c>
      <c r="V84" s="4" t="str">
        <f t="shared" si="23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121</v>
      </c>
      <c r="B85" s="115" t="s">
        <v>50</v>
      </c>
      <c r="C85" s="64" t="s">
        <v>6</v>
      </c>
      <c r="D85" s="64" t="s">
        <v>164</v>
      </c>
      <c r="E85" s="64" t="s">
        <v>7</v>
      </c>
      <c r="F85" s="64" t="s">
        <v>159</v>
      </c>
      <c r="G85" s="64" t="str">
        <f t="shared" si="26"/>
        <v>AudBBSW3M</v>
      </c>
      <c r="H85" s="62" t="str">
        <f t="shared" si="27"/>
        <v>AUDSM6AB18M_Quote</v>
      </c>
      <c r="I85" s="126" t="str">
        <f t="shared" si="28"/>
        <v>AUD3BR6BR18M_Quote</v>
      </c>
      <c r="J85" s="67"/>
      <c r="L85" s="74" t="str">
        <f t="shared" si="24"/>
        <v>BasSw</v>
      </c>
      <c r="M85" s="139" t="str">
        <f t="shared" si="25"/>
        <v>--</v>
      </c>
      <c r="N85" s="147" t="str">
        <f>IFERROR(_xll.qlRateHelperQuoteName(M85,Trigger),"--")</f>
        <v>--</v>
      </c>
      <c r="O85" s="140" t="str">
        <f>IFERROR(_xll.qlRateHelperQuoteValue($M85,Trigger),"--")</f>
        <v>--</v>
      </c>
      <c r="P85" s="139" t="b">
        <v>0</v>
      </c>
      <c r="Q85" s="139">
        <v>50</v>
      </c>
      <c r="R85" s="139">
        <v>1</v>
      </c>
      <c r="S85" s="141" t="str">
        <f>IFERROR(_xll.qlRateHelperEarliestDate(M85,Trigger),"--")</f>
        <v>--</v>
      </c>
      <c r="T85" s="141" t="str">
        <f>IFERROR(_xll.qlRateHelperPillarDate(M85,Trigger),"--")</f>
        <v>--</v>
      </c>
      <c r="V85" s="4" t="str">
        <f t="shared" si="23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121</v>
      </c>
      <c r="B86" s="115" t="s">
        <v>51</v>
      </c>
      <c r="C86" s="64" t="s">
        <v>6</v>
      </c>
      <c r="D86" s="64" t="s">
        <v>164</v>
      </c>
      <c r="E86" s="64" t="s">
        <v>7</v>
      </c>
      <c r="F86" s="64" t="s">
        <v>159</v>
      </c>
      <c r="G86" s="64" t="str">
        <f t="shared" si="26"/>
        <v>AudBBSW3M</v>
      </c>
      <c r="H86" s="62" t="str">
        <f t="shared" si="27"/>
        <v>AUDSM6AB21M_Quote</v>
      </c>
      <c r="I86" s="126" t="str">
        <f t="shared" si="28"/>
        <v>AUD3BR6BR21M_Quote</v>
      </c>
      <c r="J86" s="67"/>
      <c r="L86" s="74" t="str">
        <f t="shared" si="24"/>
        <v>BasSw</v>
      </c>
      <c r="M86" s="139" t="str">
        <f t="shared" si="25"/>
        <v>--</v>
      </c>
      <c r="N86" s="147" t="str">
        <f>IFERROR(_xll.qlRateHelperQuoteName(M86,Trigger),"--")</f>
        <v>--</v>
      </c>
      <c r="O86" s="140" t="str">
        <f>IFERROR(_xll.qlRateHelperQuoteValue($M86,Trigger),"--")</f>
        <v>--</v>
      </c>
      <c r="P86" s="139" t="b">
        <v>0</v>
      </c>
      <c r="Q86" s="139">
        <v>50</v>
      </c>
      <c r="R86" s="139">
        <v>1</v>
      </c>
      <c r="S86" s="141" t="str">
        <f>IFERROR(_xll.qlRateHelperEarliestDate(M86,Trigger),"--")</f>
        <v>--</v>
      </c>
      <c r="T86" s="141" t="str">
        <f>IFERROR(_xll.qlRateHelperPillarDate(M86,Trigger),"--")</f>
        <v>--</v>
      </c>
      <c r="V86" s="4" t="str">
        <f t="shared" si="23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62" t="s">
        <v>121</v>
      </c>
      <c r="B87" s="115" t="s">
        <v>52</v>
      </c>
      <c r="C87" s="64" t="s">
        <v>6</v>
      </c>
      <c r="D87" s="64" t="s">
        <v>164</v>
      </c>
      <c r="E87" s="64" t="s">
        <v>7</v>
      </c>
      <c r="F87" s="64" t="s">
        <v>159</v>
      </c>
      <c r="G87" s="64" t="str">
        <f t="shared" si="26"/>
        <v>AudBBSW3M</v>
      </c>
      <c r="H87" s="62" t="str">
        <f t="shared" si="27"/>
        <v>AUDSM6AB2Y_Quote</v>
      </c>
      <c r="I87" s="126" t="str">
        <f t="shared" si="28"/>
        <v>AUD3BR6BR2Y_Quote</v>
      </c>
      <c r="J87" s="67"/>
      <c r="L87" s="74" t="str">
        <f t="shared" si="24"/>
        <v>BasSw</v>
      </c>
      <c r="M87" s="139" t="str">
        <f t="shared" si="25"/>
        <v>obj_0023d#0001</v>
      </c>
      <c r="N87" s="147" t="str">
        <f>IFERROR(_xll.qlRateHelperQuoteName(M87,Trigger),"--")</f>
        <v>AUDSM6AB10Y_Quote</v>
      </c>
      <c r="O87" s="140">
        <f>IFERROR(_xll.qlRateHelperQuoteValue($M87,Trigger),"--")</f>
        <v>3.0312499999999999E-2</v>
      </c>
      <c r="P87" s="139" t="b">
        <v>1</v>
      </c>
      <c r="Q87" s="139">
        <v>50</v>
      </c>
      <c r="R87" s="139">
        <v>1</v>
      </c>
      <c r="S87" s="141">
        <f>IFERROR(_xll.qlRateHelperEarliestDate(M87,Trigger),"--")</f>
        <v>42356</v>
      </c>
      <c r="T87" s="141">
        <f>IFERROR(_xll.qlRateHelperPillarDate(M87,Trigger),"--")</f>
        <v>46009</v>
      </c>
      <c r="V87" s="4" t="str">
        <f t="shared" si="23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2" t="s">
        <v>121</v>
      </c>
      <c r="B88" s="115" t="s">
        <v>53</v>
      </c>
      <c r="C88" s="64" t="s">
        <v>6</v>
      </c>
      <c r="D88" s="64" t="s">
        <v>164</v>
      </c>
      <c r="E88" s="64" t="s">
        <v>7</v>
      </c>
      <c r="F88" s="64" t="s">
        <v>159</v>
      </c>
      <c r="G88" s="64" t="str">
        <f t="shared" si="26"/>
        <v>AudBBSW3M</v>
      </c>
      <c r="H88" s="62" t="str">
        <f t="shared" si="27"/>
        <v>AUDSM6AB3Y_Quote</v>
      </c>
      <c r="I88" s="126" t="str">
        <f t="shared" si="28"/>
        <v>AUD3BR6BR3Y_Quote</v>
      </c>
      <c r="J88" s="67"/>
      <c r="L88" s="74" t="str">
        <f t="shared" si="24"/>
        <v>BasSw</v>
      </c>
      <c r="M88" s="139" t="str">
        <f t="shared" si="25"/>
        <v>--</v>
      </c>
      <c r="N88" s="147" t="str">
        <f>IFERROR(_xll.qlRateHelperQuoteName(M88,Trigger),"--")</f>
        <v>--</v>
      </c>
      <c r="O88" s="140" t="str">
        <f>IFERROR(_xll.qlRateHelperQuoteValue($M88,Trigger),"--")</f>
        <v>--</v>
      </c>
      <c r="P88" s="139" t="b">
        <v>0</v>
      </c>
      <c r="Q88" s="139">
        <v>50</v>
      </c>
      <c r="R88" s="139">
        <v>1</v>
      </c>
      <c r="S88" s="141" t="str">
        <f>IFERROR(_xll.qlRateHelperEarliestDate(M88,Trigger),"--")</f>
        <v>--</v>
      </c>
      <c r="T88" s="141" t="str">
        <f>IFERROR(_xll.qlRateHelperPillarDate(M88,Trigger),"--")</f>
        <v>--</v>
      </c>
      <c r="V88" s="4" t="str">
        <f t="shared" si="23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2" t="s">
        <v>121</v>
      </c>
      <c r="B89" s="115" t="s">
        <v>54</v>
      </c>
      <c r="C89" s="64" t="s">
        <v>6</v>
      </c>
      <c r="D89" s="64" t="s">
        <v>164</v>
      </c>
      <c r="E89" s="64" t="s">
        <v>7</v>
      </c>
      <c r="F89" s="64" t="s">
        <v>159</v>
      </c>
      <c r="G89" s="64" t="str">
        <f t="shared" si="26"/>
        <v>AudBBSW3M</v>
      </c>
      <c r="H89" s="62" t="str">
        <f t="shared" si="27"/>
        <v>AUDSM6AB4Y_Quote</v>
      </c>
      <c r="I89" s="126" t="str">
        <f t="shared" si="28"/>
        <v>AUD3BR6BR4Y_Quote</v>
      </c>
      <c r="J89" s="67" t="str">
        <f>_xll.qlSwapRateHelper2(,H89,1,B89,Calendar,D89,E89,F89,G89,I89,C89,Discounting,PillarDate,,Permanent,Trigger,ObjectOverwrite)</f>
        <v>obj_0023a#0001</v>
      </c>
      <c r="L89" s="74" t="str">
        <f t="shared" si="24"/>
        <v>BasSw</v>
      </c>
      <c r="M89" s="139" t="str">
        <f t="shared" si="25"/>
        <v>obj_00217#0001</v>
      </c>
      <c r="N89" s="147" t="str">
        <f>IFERROR(_xll.qlRateHelperQuoteName(M89,Trigger),"--")</f>
        <v>AUDSM6AB12Y_Quote</v>
      </c>
      <c r="O89" s="140">
        <f>IFERROR(_xll.qlRateHelperQuoteValue($M89,Trigger),"--")</f>
        <v>3.15625E-2</v>
      </c>
      <c r="P89" s="139" t="b">
        <v>1</v>
      </c>
      <c r="Q89" s="139">
        <v>50</v>
      </c>
      <c r="R89" s="139">
        <v>1</v>
      </c>
      <c r="S89" s="141">
        <f>IFERROR(_xll.qlRateHelperEarliestDate(M89,Trigger),"--")</f>
        <v>42356</v>
      </c>
      <c r="T89" s="141">
        <f>IFERROR(_xll.qlRateHelperPillarDate(M89,Trigger),"--")</f>
        <v>46741</v>
      </c>
      <c r="V89" s="4" t="str">
        <f t="shared" si="23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121</v>
      </c>
      <c r="B90" s="115" t="s">
        <v>55</v>
      </c>
      <c r="C90" s="64" t="s">
        <v>6</v>
      </c>
      <c r="D90" s="64" t="s">
        <v>164</v>
      </c>
      <c r="E90" s="64" t="s">
        <v>7</v>
      </c>
      <c r="F90" s="64" t="s">
        <v>159</v>
      </c>
      <c r="G90" s="64" t="str">
        <f t="shared" si="26"/>
        <v>AudBBSW3M</v>
      </c>
      <c r="H90" s="62" t="str">
        <f t="shared" si="27"/>
        <v>AUDSM6AB5Y_Quote</v>
      </c>
      <c r="I90" s="126" t="str">
        <f t="shared" si="28"/>
        <v>AUD3BR6BR5Y_Quote</v>
      </c>
      <c r="J90" s="67" t="str">
        <f>_xll.qlSwapRateHelper2(,H90,1,B90,Calendar,D90,E90,F90,G90,I90,C90,Discounting,PillarDate,,Permanent,Trigger,ObjectOverwrite)</f>
        <v>obj_00247#0001</v>
      </c>
      <c r="K90" s="49" t="s">
        <v>35</v>
      </c>
      <c r="L90" s="74" t="str">
        <f t="shared" si="24"/>
        <v>BasSw</v>
      </c>
      <c r="M90" s="139" t="str">
        <f t="shared" si="25"/>
        <v>--</v>
      </c>
      <c r="N90" s="147" t="str">
        <f>IFERROR(_xll.qlRateHelperQuoteName(M90,Trigger),"--")</f>
        <v>--</v>
      </c>
      <c r="O90" s="140" t="str">
        <f>IFERROR(_xll.qlRateHelperQuoteValue($M90,Trigger),"--")</f>
        <v>--</v>
      </c>
      <c r="P90" s="139" t="b">
        <v>0</v>
      </c>
      <c r="Q90" s="139">
        <v>50</v>
      </c>
      <c r="R90" s="139">
        <v>1</v>
      </c>
      <c r="S90" s="141" t="str">
        <f>IFERROR(_xll.qlRateHelperEarliestDate(M90,Trigger),"--")</f>
        <v>--</v>
      </c>
      <c r="T90" s="141" t="str">
        <f>IFERROR(_xll.qlRateHelperPillarDate(M90,Trigger),"--")</f>
        <v>--</v>
      </c>
      <c r="V90" s="4" t="str">
        <f t="shared" si="23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121</v>
      </c>
      <c r="B91" s="115" t="s">
        <v>56</v>
      </c>
      <c r="C91" s="64" t="s">
        <v>6</v>
      </c>
      <c r="D91" s="64" t="s">
        <v>164</v>
      </c>
      <c r="E91" s="64" t="s">
        <v>7</v>
      </c>
      <c r="F91" s="64" t="s">
        <v>159</v>
      </c>
      <c r="G91" s="64" t="str">
        <f t="shared" si="26"/>
        <v>AudBBSW3M</v>
      </c>
      <c r="H91" s="62" t="str">
        <f t="shared" si="27"/>
        <v>AUDSM6AB6Y_Quote</v>
      </c>
      <c r="I91" s="126" t="str">
        <f t="shared" si="28"/>
        <v>AUD3BR6BR6Y_Quote</v>
      </c>
      <c r="J91" s="67"/>
      <c r="L91" s="74" t="str">
        <f t="shared" si="24"/>
        <v>BasSw</v>
      </c>
      <c r="M91" s="139" t="str">
        <f t="shared" si="25"/>
        <v>--</v>
      </c>
      <c r="N91" s="147" t="str">
        <f>IFERROR(_xll.qlRateHelperQuoteName(M91,Trigger),"--")</f>
        <v>--</v>
      </c>
      <c r="O91" s="140" t="str">
        <f>IFERROR(_xll.qlRateHelperQuoteValue($M91,Trigger),"--")</f>
        <v>--</v>
      </c>
      <c r="P91" s="139" t="b">
        <v>0</v>
      </c>
      <c r="Q91" s="139">
        <v>50</v>
      </c>
      <c r="R91" s="139">
        <v>1</v>
      </c>
      <c r="S91" s="141" t="str">
        <f>IFERROR(_xll.qlRateHelperEarliestDate(M91,Trigger),"--")</f>
        <v>--</v>
      </c>
      <c r="T91" s="141" t="str">
        <f>IFERROR(_xll.qlRateHelperPillarDate(M91,Trigger),"--")</f>
        <v>--</v>
      </c>
      <c r="V91" s="4" t="str">
        <f t="shared" si="23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62" t="s">
        <v>121</v>
      </c>
      <c r="B92" s="115" t="s">
        <v>57</v>
      </c>
      <c r="C92" s="64" t="s">
        <v>6</v>
      </c>
      <c r="D92" s="64" t="s">
        <v>164</v>
      </c>
      <c r="E92" s="64" t="s">
        <v>7</v>
      </c>
      <c r="F92" s="64" t="s">
        <v>159</v>
      </c>
      <c r="G92" s="64" t="str">
        <f t="shared" si="26"/>
        <v>AudBBSW3M</v>
      </c>
      <c r="H92" s="62" t="str">
        <f t="shared" si="27"/>
        <v>AUDSM6AB7Y_Quote</v>
      </c>
      <c r="I92" s="126" t="str">
        <f t="shared" si="28"/>
        <v>AUD3BR6BR7Y_Quote</v>
      </c>
      <c r="J92" s="67" t="str">
        <f>_xll.qlSwapRateHelper2(,H92,1,B92,Calendar,D92,E92,F92,G92,I92,C92,Discounting,PillarDate,,Permanent,Trigger,ObjectOverwrite)</f>
        <v>obj_00211#0001</v>
      </c>
      <c r="L92" s="74" t="str">
        <f t="shared" si="24"/>
        <v>BasSw</v>
      </c>
      <c r="M92" s="139" t="str">
        <f t="shared" si="25"/>
        <v>obj_00241#0001</v>
      </c>
      <c r="N92" s="147" t="str">
        <f>IFERROR(_xll.qlRateHelperQuoteName(M92,Trigger),"--")</f>
        <v>AUDSM6AB15Y_Quote</v>
      </c>
      <c r="O92" s="140">
        <f>IFERROR(_xll.qlRateHelperQuoteValue($M92,Trigger),"--")</f>
        <v>3.2912499999999997E-2</v>
      </c>
      <c r="P92" s="139" t="b">
        <v>1</v>
      </c>
      <c r="Q92" s="139">
        <v>50</v>
      </c>
      <c r="R92" s="139">
        <v>1</v>
      </c>
      <c r="S92" s="141">
        <f>IFERROR(_xll.qlRateHelperEarliestDate(M92,Trigger),"--")</f>
        <v>42356</v>
      </c>
      <c r="T92" s="141">
        <f>IFERROR(_xll.qlRateHelperPillarDate(M92,Trigger),"--")</f>
        <v>47835</v>
      </c>
      <c r="V92" s="4" t="str">
        <f t="shared" si="23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62" t="s">
        <v>121</v>
      </c>
      <c r="B93" s="115" t="s">
        <v>58</v>
      </c>
      <c r="C93" s="64" t="s">
        <v>6</v>
      </c>
      <c r="D93" s="64" t="s">
        <v>164</v>
      </c>
      <c r="E93" s="64" t="s">
        <v>7</v>
      </c>
      <c r="F93" s="64" t="s">
        <v>159</v>
      </c>
      <c r="G93" s="64" t="str">
        <f t="shared" si="26"/>
        <v>AudBBSW3M</v>
      </c>
      <c r="H93" s="62" t="str">
        <f t="shared" si="27"/>
        <v>AUDSM6AB8Y_Quote</v>
      </c>
      <c r="I93" s="126" t="str">
        <f t="shared" si="28"/>
        <v>AUD3BR6BR8Y_Quote</v>
      </c>
      <c r="J93" s="67"/>
      <c r="L93" s="74" t="str">
        <f t="shared" si="24"/>
        <v>BasSw</v>
      </c>
      <c r="M93" s="139" t="str">
        <f t="shared" si="25"/>
        <v>--</v>
      </c>
      <c r="N93" s="147" t="str">
        <f>IFERROR(_xll.qlRateHelperQuoteName(M93,Trigger),"--")</f>
        <v>--</v>
      </c>
      <c r="O93" s="140" t="str">
        <f>IFERROR(_xll.qlRateHelperQuoteValue($M93,Trigger),"--")</f>
        <v>--</v>
      </c>
      <c r="P93" s="139" t="b">
        <v>0</v>
      </c>
      <c r="Q93" s="139">
        <v>50</v>
      </c>
      <c r="R93" s="139">
        <v>1</v>
      </c>
      <c r="S93" s="141" t="str">
        <f>IFERROR(_xll.qlRateHelperEarliestDate(M93,Trigger),"--")</f>
        <v>--</v>
      </c>
      <c r="T93" s="141" t="str">
        <f>IFERROR(_xll.qlRateHelperPillarDate(M93,Trigger),"--")</f>
        <v>--</v>
      </c>
      <c r="V93" s="4" t="str">
        <f t="shared" si="23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62" t="s">
        <v>121</v>
      </c>
      <c r="B94" s="115" t="s">
        <v>59</v>
      </c>
      <c r="C94" s="64" t="s">
        <v>6</v>
      </c>
      <c r="D94" s="64" t="s">
        <v>164</v>
      </c>
      <c r="E94" s="64" t="s">
        <v>7</v>
      </c>
      <c r="F94" s="64" t="s">
        <v>159</v>
      </c>
      <c r="G94" s="64" t="str">
        <f t="shared" si="26"/>
        <v>AudBBSW3M</v>
      </c>
      <c r="H94" s="62" t="str">
        <f t="shared" si="27"/>
        <v>AUDSM6AB9Y_Quote</v>
      </c>
      <c r="I94" s="126" t="str">
        <f t="shared" si="28"/>
        <v>AUD3BR6BR9Y_Quote</v>
      </c>
      <c r="J94" s="67"/>
      <c r="L94" s="74" t="str">
        <f t="shared" si="24"/>
        <v>BasSw</v>
      </c>
      <c r="M94" s="139" t="str">
        <f t="shared" si="25"/>
        <v>--</v>
      </c>
      <c r="N94" s="147" t="str">
        <f>IFERROR(_xll.qlRateHelperQuoteName(M94,Trigger),"--")</f>
        <v>--</v>
      </c>
      <c r="O94" s="140" t="str">
        <f>IFERROR(_xll.qlRateHelperQuoteValue($M94,Trigger),"--")</f>
        <v>--</v>
      </c>
      <c r="P94" s="139" t="b">
        <v>0</v>
      </c>
      <c r="Q94" s="139">
        <v>50</v>
      </c>
      <c r="R94" s="139">
        <v>1</v>
      </c>
      <c r="S94" s="141" t="str">
        <f>IFERROR(_xll.qlRateHelperEarliestDate(M94,Trigger),"--")</f>
        <v>--</v>
      </c>
      <c r="T94" s="141" t="str">
        <f>IFERROR(_xll.qlRateHelperPillarDate(M94,Trigger),"--")</f>
        <v>--</v>
      </c>
      <c r="V94" s="4" t="str">
        <f t="shared" si="23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62" t="s">
        <v>121</v>
      </c>
      <c r="B95" s="115" t="s">
        <v>60</v>
      </c>
      <c r="C95" s="64" t="s">
        <v>6</v>
      </c>
      <c r="D95" s="64" t="s">
        <v>164</v>
      </c>
      <c r="E95" s="64" t="s">
        <v>7</v>
      </c>
      <c r="F95" s="64" t="s">
        <v>159</v>
      </c>
      <c r="G95" s="64" t="str">
        <f t="shared" si="26"/>
        <v>AudBBSW3M</v>
      </c>
      <c r="H95" s="62" t="str">
        <f t="shared" si="27"/>
        <v>AUDSM6AB10Y_Quote</v>
      </c>
      <c r="I95" s="126" t="str">
        <f t="shared" si="28"/>
        <v>AUD3BR6BR10Y_Quote</v>
      </c>
      <c r="J95" s="67" t="str">
        <f>_xll.qlSwapRateHelper2(,H95,1,B95,Calendar,D95,E95,F95,G95,I95,C95,Discounting,PillarDate,,Permanent,Trigger,ObjectOverwrite)</f>
        <v>obj_0023d#0001</v>
      </c>
      <c r="L95" s="74" t="str">
        <f t="shared" si="24"/>
        <v>BasSw</v>
      </c>
      <c r="M95" s="139" t="str">
        <f t="shared" si="25"/>
        <v>--</v>
      </c>
      <c r="N95" s="147" t="str">
        <f>IFERROR(_xll.qlRateHelperQuoteName(M95,Trigger),"--")</f>
        <v>--</v>
      </c>
      <c r="O95" s="140" t="str">
        <f>IFERROR(_xll.qlRateHelperQuoteValue($M95,Trigger),"--")</f>
        <v>--</v>
      </c>
      <c r="P95" s="139" t="b">
        <v>0</v>
      </c>
      <c r="Q95" s="139">
        <v>50</v>
      </c>
      <c r="R95" s="139">
        <v>1</v>
      </c>
      <c r="S95" s="141" t="str">
        <f>IFERROR(_xll.qlRateHelperEarliestDate(M95,Trigger),"--")</f>
        <v>--</v>
      </c>
      <c r="T95" s="141" t="str">
        <f>IFERROR(_xll.qlRateHelperPillarDate(M95,Trigger),"--")</f>
        <v>--</v>
      </c>
      <c r="V95" s="4" t="str">
        <f t="shared" si="23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#N/A</v>
      </c>
    </row>
    <row r="96" spans="1:29" x14ac:dyDescent="0.2">
      <c r="A96" s="62" t="s">
        <v>121</v>
      </c>
      <c r="B96" s="115" t="s">
        <v>101</v>
      </c>
      <c r="C96" s="64" t="s">
        <v>6</v>
      </c>
      <c r="D96" s="64" t="s">
        <v>164</v>
      </c>
      <c r="E96" s="64" t="s">
        <v>7</v>
      </c>
      <c r="F96" s="64" t="s">
        <v>159</v>
      </c>
      <c r="G96" s="64" t="str">
        <f t="shared" si="26"/>
        <v>AudBBSW3M</v>
      </c>
      <c r="H96" s="62" t="str">
        <f t="shared" si="27"/>
        <v>AUDSM6AB11Y_Quote</v>
      </c>
      <c r="I96" s="126" t="str">
        <f t="shared" si="28"/>
        <v>AUD3BR6BR11Y_Quote</v>
      </c>
      <c r="J96" s="67"/>
      <c r="L96" s="74" t="str">
        <f t="shared" si="24"/>
        <v>BasSw</v>
      </c>
      <c r="M96" s="139" t="str">
        <f t="shared" si="25"/>
        <v>--</v>
      </c>
      <c r="N96" s="147" t="str">
        <f>IFERROR(_xll.qlRateHelperQuoteName(M96,Trigger),"--")</f>
        <v>--</v>
      </c>
      <c r="O96" s="140" t="str">
        <f>IFERROR(_xll.qlRateHelperQuoteValue($M96,Trigger),"--")</f>
        <v>--</v>
      </c>
      <c r="P96" s="139" t="b">
        <v>0</v>
      </c>
      <c r="Q96" s="139">
        <v>50</v>
      </c>
      <c r="R96" s="139">
        <v>1</v>
      </c>
      <c r="S96" s="141" t="str">
        <f>IFERROR(_xll.qlRateHelperEarliestDate(M96,Trigger),"--")</f>
        <v>--</v>
      </c>
      <c r="T96" s="141" t="str">
        <f>IFERROR(_xll.qlRateHelperPillarDate(M96,Trigger),"--")</f>
        <v>--</v>
      </c>
      <c r="V96" s="4" t="str">
        <f t="shared" si="23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#N/A</v>
      </c>
    </row>
    <row r="97" spans="1:29" x14ac:dyDescent="0.2">
      <c r="A97" s="62" t="s">
        <v>121</v>
      </c>
      <c r="B97" s="115" t="s">
        <v>61</v>
      </c>
      <c r="C97" s="64" t="s">
        <v>6</v>
      </c>
      <c r="D97" s="64" t="s">
        <v>164</v>
      </c>
      <c r="E97" s="64" t="s">
        <v>7</v>
      </c>
      <c r="F97" s="64" t="s">
        <v>159</v>
      </c>
      <c r="G97" s="64" t="str">
        <f t="shared" si="26"/>
        <v>AudBBSW3M</v>
      </c>
      <c r="H97" s="62" t="str">
        <f t="shared" si="27"/>
        <v>AUDSM6AB12Y_Quote</v>
      </c>
      <c r="I97" s="126" t="str">
        <f t="shared" si="28"/>
        <v>AUD3BR6BR12Y_Quote</v>
      </c>
      <c r="J97" s="67" t="str">
        <f>_xll.qlSwapRateHelper2(,H97,1,B97,Calendar,D97,E97,F97,G97,I97,C97,Discounting,PillarDate,,Permanent,Trigger,ObjectOverwrite)</f>
        <v>obj_00217#0001</v>
      </c>
      <c r="L97" s="74" t="str">
        <f t="shared" si="24"/>
        <v>BasSw</v>
      </c>
      <c r="M97" s="139" t="str">
        <f t="shared" si="25"/>
        <v>obj_00235#0001</v>
      </c>
      <c r="N97" s="147" t="str">
        <f>IFERROR(_xll.qlRateHelperQuoteName(M97,Trigger),"--")</f>
        <v>AUDSM6AB20Y_Quote</v>
      </c>
      <c r="O97" s="140">
        <f>IFERROR(_xll.qlRateHelperQuoteValue($M97,Trigger),"--")</f>
        <v>3.4387499999999994E-2</v>
      </c>
      <c r="P97" s="139" t="b">
        <v>1</v>
      </c>
      <c r="Q97" s="139">
        <v>50</v>
      </c>
      <c r="R97" s="139">
        <v>1</v>
      </c>
      <c r="S97" s="141">
        <f>IFERROR(_xll.qlRateHelperEarliestDate(M97,Trigger),"--")</f>
        <v>42356</v>
      </c>
      <c r="T97" s="141">
        <f>IFERROR(_xll.qlRateHelperPillarDate(M97,Trigger),"--")</f>
        <v>49661</v>
      </c>
      <c r="V97" s="4" t="str">
        <f t="shared" si="23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#N/A</v>
      </c>
    </row>
    <row r="98" spans="1:29" x14ac:dyDescent="0.2">
      <c r="A98" s="62" t="s">
        <v>121</v>
      </c>
      <c r="B98" s="115" t="s">
        <v>102</v>
      </c>
      <c r="C98" s="64" t="s">
        <v>6</v>
      </c>
      <c r="D98" s="64" t="s">
        <v>164</v>
      </c>
      <c r="E98" s="64" t="s">
        <v>7</v>
      </c>
      <c r="F98" s="64" t="s">
        <v>159</v>
      </c>
      <c r="G98" s="64" t="str">
        <f t="shared" si="26"/>
        <v>AudBBSW3M</v>
      </c>
      <c r="H98" s="62" t="str">
        <f t="shared" si="27"/>
        <v>AUDSM6AB13Y_Quote</v>
      </c>
      <c r="I98" s="126" t="str">
        <f t="shared" si="28"/>
        <v>AUD3BR6BR13Y_Quote</v>
      </c>
      <c r="J98" s="67"/>
      <c r="L98" s="74" t="str">
        <f t="shared" si="24"/>
        <v>BasSw</v>
      </c>
      <c r="M98" s="139" t="str">
        <f t="shared" si="25"/>
        <v>--</v>
      </c>
      <c r="N98" s="147" t="str">
        <f>IFERROR(_xll.qlRateHelperQuoteName(M98,Trigger),"--")</f>
        <v>--</v>
      </c>
      <c r="O98" s="140" t="str">
        <f>IFERROR(_xll.qlRateHelperQuoteValue($M98,Trigger),"--")</f>
        <v>--</v>
      </c>
      <c r="P98" s="139" t="b">
        <v>0</v>
      </c>
      <c r="Q98" s="139">
        <v>50</v>
      </c>
      <c r="R98" s="139">
        <v>1</v>
      </c>
      <c r="S98" s="141" t="str">
        <f>IFERROR(_xll.qlRateHelperEarliestDate(M98,Trigger),"--")</f>
        <v>--</v>
      </c>
      <c r="T98" s="141" t="str">
        <f>IFERROR(_xll.qlRateHelperPillarDate(M98,Trigger),"--")</f>
        <v>--</v>
      </c>
      <c r="V98" s="4" t="str">
        <f t="shared" si="23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#N/A</v>
      </c>
    </row>
    <row r="99" spans="1:29" x14ac:dyDescent="0.2">
      <c r="A99" s="62" t="s">
        <v>121</v>
      </c>
      <c r="B99" s="115" t="s">
        <v>103</v>
      </c>
      <c r="C99" s="64" t="s">
        <v>6</v>
      </c>
      <c r="D99" s="64" t="s">
        <v>164</v>
      </c>
      <c r="E99" s="64" t="s">
        <v>7</v>
      </c>
      <c r="F99" s="64" t="s">
        <v>159</v>
      </c>
      <c r="G99" s="64" t="str">
        <f t="shared" si="26"/>
        <v>AudBBSW3M</v>
      </c>
      <c r="H99" s="62" t="str">
        <f t="shared" si="27"/>
        <v>AUDSM6AB14Y_Quote</v>
      </c>
      <c r="I99" s="126" t="str">
        <f t="shared" si="28"/>
        <v>AUD3BR6BR14Y_Quote</v>
      </c>
      <c r="J99" s="67"/>
      <c r="L99" s="74" t="str">
        <f t="shared" si="24"/>
        <v>BasSw</v>
      </c>
      <c r="M99" s="139" t="str">
        <f t="shared" si="25"/>
        <v>--</v>
      </c>
      <c r="N99" s="147" t="str">
        <f>IFERROR(_xll.qlRateHelperQuoteName(M99,Trigger),"--")</f>
        <v>--</v>
      </c>
      <c r="O99" s="140" t="str">
        <f>IFERROR(_xll.qlRateHelperQuoteValue($M99,Trigger),"--")</f>
        <v>--</v>
      </c>
      <c r="P99" s="139" t="b">
        <v>0</v>
      </c>
      <c r="Q99" s="139">
        <v>50</v>
      </c>
      <c r="R99" s="139">
        <v>1</v>
      </c>
      <c r="S99" s="141" t="str">
        <f>IFERROR(_xll.qlRateHelperEarliestDate(M99,Trigger),"--")</f>
        <v>--</v>
      </c>
      <c r="T99" s="141" t="str">
        <f>IFERROR(_xll.qlRateHelperPillarDate(M99,Trigger),"--")</f>
        <v>--</v>
      </c>
      <c r="V99" s="4" t="str">
        <f t="shared" si="23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#N/A</v>
      </c>
    </row>
    <row r="100" spans="1:29" x14ac:dyDescent="0.2">
      <c r="A100" s="62" t="s">
        <v>121</v>
      </c>
      <c r="B100" s="115" t="s">
        <v>62</v>
      </c>
      <c r="C100" s="64" t="s">
        <v>6</v>
      </c>
      <c r="D100" s="64" t="s">
        <v>164</v>
      </c>
      <c r="E100" s="64" t="s">
        <v>7</v>
      </c>
      <c r="F100" s="64" t="s">
        <v>159</v>
      </c>
      <c r="G100" s="64" t="str">
        <f t="shared" si="26"/>
        <v>AudBBSW3M</v>
      </c>
      <c r="H100" s="62" t="str">
        <f t="shared" si="27"/>
        <v>AUDSM6AB15Y_Quote</v>
      </c>
      <c r="I100" s="126" t="str">
        <f t="shared" si="28"/>
        <v>AUD3BR6BR15Y_Quote</v>
      </c>
      <c r="J100" s="67" t="str">
        <f>_xll.qlSwapRateHelper2(,H100,1,B100,Calendar,D100,E100,F100,G100,I100,C100,Discounting,PillarDate,,Permanent,Trigger,ObjectOverwrite)</f>
        <v>obj_00241#0001</v>
      </c>
      <c r="L100" s="74" t="str">
        <f t="shared" si="24"/>
        <v>BasSw</v>
      </c>
      <c r="M100" s="139" t="str">
        <f t="shared" si="25"/>
        <v>--</v>
      </c>
      <c r="N100" s="147" t="str">
        <f>IFERROR(_xll.qlRateHelperQuoteName(M100,Trigger),"--")</f>
        <v>--</v>
      </c>
      <c r="O100" s="140" t="str">
        <f>IFERROR(_xll.qlRateHelperQuoteValue($M100,Trigger),"--")</f>
        <v>--</v>
      </c>
      <c r="P100" s="139" t="b">
        <v>0</v>
      </c>
      <c r="Q100" s="139">
        <v>50</v>
      </c>
      <c r="R100" s="139">
        <v>1</v>
      </c>
      <c r="S100" s="141" t="str">
        <f>IFERROR(_xll.qlRateHelperEarliestDate(M100,Trigger),"--")</f>
        <v>--</v>
      </c>
      <c r="T100" s="141" t="str">
        <f>IFERROR(_xll.qlRateHelperPillarDate(M100,Trigger),"--")</f>
        <v>--</v>
      </c>
      <c r="V100" s="4" t="str">
        <f t="shared" si="23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#N/A</v>
      </c>
    </row>
    <row r="101" spans="1:29" x14ac:dyDescent="0.2">
      <c r="A101" s="62" t="s">
        <v>121</v>
      </c>
      <c r="B101" s="115" t="s">
        <v>104</v>
      </c>
      <c r="C101" s="64" t="s">
        <v>6</v>
      </c>
      <c r="D101" s="64" t="s">
        <v>164</v>
      </c>
      <c r="E101" s="64" t="s">
        <v>7</v>
      </c>
      <c r="F101" s="64" t="s">
        <v>159</v>
      </c>
      <c r="G101" s="64" t="str">
        <f t="shared" si="26"/>
        <v>AudBBSW3M</v>
      </c>
      <c r="H101" s="62" t="str">
        <f t="shared" si="27"/>
        <v>AUDSM6AB16Y_Quote</v>
      </c>
      <c r="I101" s="126" t="str">
        <f t="shared" si="28"/>
        <v>AUD3BR6BR16Y_Quote</v>
      </c>
      <c r="J101" s="67"/>
      <c r="L101" s="74" t="str">
        <f t="shared" si="24"/>
        <v>BasSw</v>
      </c>
      <c r="M101" s="139" t="str">
        <f t="shared" si="25"/>
        <v>--</v>
      </c>
      <c r="N101" s="147" t="str">
        <f>IFERROR(_xll.qlRateHelperQuoteName(M101,Trigger),"--")</f>
        <v>--</v>
      </c>
      <c r="O101" s="140" t="str">
        <f>IFERROR(_xll.qlRateHelperQuoteValue($M101,Trigger),"--")</f>
        <v>--</v>
      </c>
      <c r="P101" s="139" t="b">
        <v>0</v>
      </c>
      <c r="Q101" s="139">
        <v>50</v>
      </c>
      <c r="R101" s="139">
        <v>1</v>
      </c>
      <c r="S101" s="141" t="str">
        <f>IFERROR(_xll.qlRateHelperEarliestDate(M101,Trigger),"--")</f>
        <v>--</v>
      </c>
      <c r="T101" s="141" t="str">
        <f>IFERROR(_xll.qlRateHelperPillarDate(M101,Trigger),"--")</f>
        <v>--</v>
      </c>
      <c r="V101" s="4" t="str">
        <f t="shared" si="23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#N/A</v>
      </c>
    </row>
    <row r="102" spans="1:29" x14ac:dyDescent="0.2">
      <c r="A102" s="62" t="s">
        <v>121</v>
      </c>
      <c r="B102" s="115" t="s">
        <v>105</v>
      </c>
      <c r="C102" s="64" t="s">
        <v>6</v>
      </c>
      <c r="D102" s="64" t="s">
        <v>164</v>
      </c>
      <c r="E102" s="64" t="s">
        <v>7</v>
      </c>
      <c r="F102" s="64" t="s">
        <v>159</v>
      </c>
      <c r="G102" s="64" t="str">
        <f t="shared" si="26"/>
        <v>AudBBSW3M</v>
      </c>
      <c r="H102" s="62" t="str">
        <f t="shared" si="27"/>
        <v>AUDSM6AB17Y_Quote</v>
      </c>
      <c r="I102" s="126" t="str">
        <f t="shared" si="28"/>
        <v>AUD3BR6BR17Y_Quote</v>
      </c>
      <c r="J102" s="67"/>
      <c r="L102" s="74" t="str">
        <f t="shared" si="24"/>
        <v>BasSw</v>
      </c>
      <c r="M102" s="139" t="str">
        <f t="shared" si="25"/>
        <v>obj_0023b#0001</v>
      </c>
      <c r="N102" s="147" t="str">
        <f>IFERROR(_xll.qlRateHelperQuoteName(M102,Trigger),"--")</f>
        <v>AUDSM6AB25Y_Quote</v>
      </c>
      <c r="O102" s="140">
        <f>IFERROR(_xll.qlRateHelperQuoteValue($M102,Trigger),"--")</f>
        <v>3.4812500000000003E-2</v>
      </c>
      <c r="P102" s="139" t="b">
        <v>1</v>
      </c>
      <c r="Q102" s="139">
        <v>50</v>
      </c>
      <c r="R102" s="139">
        <v>1</v>
      </c>
      <c r="S102" s="141">
        <f>IFERROR(_xll.qlRateHelperEarliestDate(M102,Trigger),"--")</f>
        <v>42356</v>
      </c>
      <c r="T102" s="141">
        <f>IFERROR(_xll.qlRateHelperPillarDate(M102,Trigger),"--")</f>
        <v>51488</v>
      </c>
      <c r="V102" s="4" t="str">
        <f t="shared" si="23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#N/A</v>
      </c>
    </row>
    <row r="103" spans="1:29" x14ac:dyDescent="0.2">
      <c r="A103" s="62" t="s">
        <v>121</v>
      </c>
      <c r="B103" s="115" t="s">
        <v>106</v>
      </c>
      <c r="C103" s="64" t="s">
        <v>6</v>
      </c>
      <c r="D103" s="64" t="s">
        <v>164</v>
      </c>
      <c r="E103" s="64" t="s">
        <v>7</v>
      </c>
      <c r="F103" s="64" t="s">
        <v>159</v>
      </c>
      <c r="G103" s="64" t="str">
        <f t="shared" si="26"/>
        <v>AudBBSW3M</v>
      </c>
      <c r="H103" s="62" t="str">
        <f t="shared" si="27"/>
        <v>AUDSM6AB18Y_Quote</v>
      </c>
      <c r="I103" s="126" t="str">
        <f t="shared" si="28"/>
        <v>AUD3BR6BR18Y_Quote</v>
      </c>
      <c r="J103" s="67"/>
      <c r="L103" s="74" t="str">
        <f t="shared" si="24"/>
        <v>BasSw</v>
      </c>
      <c r="M103" s="139" t="str">
        <f t="shared" si="25"/>
        <v>--</v>
      </c>
      <c r="N103" s="147" t="str">
        <f>IFERROR(_xll.qlRateHelperQuoteName(M103,Trigger),"--")</f>
        <v>--</v>
      </c>
      <c r="O103" s="140" t="str">
        <f>IFERROR(_xll.qlRateHelperQuoteValue($M103,Trigger),"--")</f>
        <v>--</v>
      </c>
      <c r="P103" s="139" t="b">
        <v>0</v>
      </c>
      <c r="Q103" s="139">
        <v>50</v>
      </c>
      <c r="R103" s="139">
        <v>1</v>
      </c>
      <c r="S103" s="141" t="str">
        <f>IFERROR(_xll.qlRateHelperEarliestDate(M103,Trigger),"--")</f>
        <v>--</v>
      </c>
      <c r="T103" s="141" t="str">
        <f>IFERROR(_xll.qlRateHelperPillarDate(M103,Trigger),"--")</f>
        <v>--</v>
      </c>
      <c r="V103" s="4" t="str">
        <f t="shared" si="23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#N/A</v>
      </c>
    </row>
    <row r="104" spans="1:29" x14ac:dyDescent="0.2">
      <c r="A104" s="62" t="s">
        <v>121</v>
      </c>
      <c r="B104" s="115" t="s">
        <v>107</v>
      </c>
      <c r="C104" s="64" t="s">
        <v>6</v>
      </c>
      <c r="D104" s="64" t="s">
        <v>164</v>
      </c>
      <c r="E104" s="64" t="s">
        <v>7</v>
      </c>
      <c r="F104" s="64" t="s">
        <v>159</v>
      </c>
      <c r="G104" s="64" t="str">
        <f t="shared" si="26"/>
        <v>AudBBSW3M</v>
      </c>
      <c r="H104" s="62" t="str">
        <f t="shared" si="27"/>
        <v>AUDSM6AB19Y_Quote</v>
      </c>
      <c r="I104" s="126" t="str">
        <f t="shared" si="28"/>
        <v>AUD3BR6BR19Y_Quote</v>
      </c>
      <c r="J104" s="67"/>
      <c r="L104" s="74" t="str">
        <f t="shared" si="24"/>
        <v>BasSw</v>
      </c>
      <c r="M104" s="139" t="str">
        <f t="shared" si="25"/>
        <v>--</v>
      </c>
      <c r="N104" s="147" t="str">
        <f>IFERROR(_xll.qlRateHelperQuoteName(M104,Trigger),"--")</f>
        <v>--</v>
      </c>
      <c r="O104" s="140" t="str">
        <f>IFERROR(_xll.qlRateHelperQuoteValue($M104,Trigger),"--")</f>
        <v>--</v>
      </c>
      <c r="P104" s="139" t="b">
        <v>0</v>
      </c>
      <c r="Q104" s="139">
        <v>50</v>
      </c>
      <c r="R104" s="139">
        <v>1</v>
      </c>
      <c r="S104" s="141" t="str">
        <f>IFERROR(_xll.qlRateHelperEarliestDate(M104,Trigger),"--")</f>
        <v>--</v>
      </c>
      <c r="T104" s="141" t="str">
        <f>IFERROR(_xll.qlRateHelperPillarDate(M104,Trigger),"--")</f>
        <v>--</v>
      </c>
      <c r="V104" s="4" t="str">
        <f t="shared" si="23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#N/A</v>
      </c>
    </row>
    <row r="105" spans="1:29" x14ac:dyDescent="0.2">
      <c r="A105" s="62" t="s">
        <v>121</v>
      </c>
      <c r="B105" s="115" t="s">
        <v>63</v>
      </c>
      <c r="C105" s="64" t="s">
        <v>6</v>
      </c>
      <c r="D105" s="64" t="s">
        <v>164</v>
      </c>
      <c r="E105" s="64" t="s">
        <v>7</v>
      </c>
      <c r="F105" s="64" t="s">
        <v>159</v>
      </c>
      <c r="G105" s="64" t="str">
        <f t="shared" si="26"/>
        <v>AudBBSW3M</v>
      </c>
      <c r="H105" s="62" t="str">
        <f t="shared" si="27"/>
        <v>AUDSM6AB20Y_Quote</v>
      </c>
      <c r="I105" s="126" t="str">
        <f t="shared" si="28"/>
        <v>AUD3BR6BR20Y_Quote</v>
      </c>
      <c r="J105" s="67" t="str">
        <f>_xll.qlSwapRateHelper2(,H105,1,B105,Calendar,D105,E105,F105,G105,I105,C105,Discounting,PillarDate,,Permanent,Trigger,ObjectOverwrite)</f>
        <v>obj_00235#0001</v>
      </c>
      <c r="L105" s="74" t="str">
        <f t="shared" si="24"/>
        <v>BasSw</v>
      </c>
      <c r="M105" s="139" t="str">
        <f t="shared" si="25"/>
        <v>--</v>
      </c>
      <c r="N105" s="147" t="str">
        <f>IFERROR(_xll.qlRateHelperQuoteName(M105,Trigger),"--")</f>
        <v>--</v>
      </c>
      <c r="O105" s="140" t="str">
        <f>IFERROR(_xll.qlRateHelperQuoteValue($M105,Trigger),"--")</f>
        <v>--</v>
      </c>
      <c r="P105" s="139" t="b">
        <v>0</v>
      </c>
      <c r="Q105" s="139">
        <v>50</v>
      </c>
      <c r="R105" s="139">
        <v>1</v>
      </c>
      <c r="S105" s="141" t="str">
        <f>IFERROR(_xll.qlRateHelperEarliestDate(M105,Trigger),"--")</f>
        <v>--</v>
      </c>
      <c r="T105" s="141" t="str">
        <f>IFERROR(_xll.qlRateHelperPillarDate(M105,Trigger),"--")</f>
        <v>--</v>
      </c>
      <c r="V105" s="4" t="str">
        <f t="shared" si="23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#N/A</v>
      </c>
    </row>
    <row r="106" spans="1:29" x14ac:dyDescent="0.2">
      <c r="A106" s="62" t="s">
        <v>121</v>
      </c>
      <c r="B106" s="115" t="s">
        <v>108</v>
      </c>
      <c r="C106" s="64" t="s">
        <v>6</v>
      </c>
      <c r="D106" s="64" t="s">
        <v>164</v>
      </c>
      <c r="E106" s="64" t="s">
        <v>7</v>
      </c>
      <c r="F106" s="64" t="s">
        <v>159</v>
      </c>
      <c r="G106" s="64" t="str">
        <f t="shared" si="26"/>
        <v>AudBBSW3M</v>
      </c>
      <c r="H106" s="62" t="str">
        <f t="shared" si="27"/>
        <v>AUDSM6AB21Y_Quote</v>
      </c>
      <c r="I106" s="126" t="str">
        <f t="shared" si="28"/>
        <v>AUD3BR6BR21Y_Quote</v>
      </c>
      <c r="J106" s="67"/>
      <c r="L106" s="74" t="str">
        <f t="shared" si="24"/>
        <v>BasSw</v>
      </c>
      <c r="M106" s="139" t="str">
        <f t="shared" si="25"/>
        <v>--</v>
      </c>
      <c r="N106" s="147" t="str">
        <f>IFERROR(_xll.qlRateHelperQuoteName(M106,Trigger),"--")</f>
        <v>--</v>
      </c>
      <c r="O106" s="140" t="str">
        <f>IFERROR(_xll.qlRateHelperQuoteValue($M106,Trigger),"--")</f>
        <v>--</v>
      </c>
      <c r="P106" s="139" t="b">
        <v>0</v>
      </c>
      <c r="Q106" s="139">
        <v>50</v>
      </c>
      <c r="R106" s="139">
        <v>1</v>
      </c>
      <c r="S106" s="141" t="str">
        <f>IFERROR(_xll.qlRateHelperEarliestDate(M106,Trigger),"--")</f>
        <v>--</v>
      </c>
      <c r="T106" s="141" t="str">
        <f>IFERROR(_xll.qlRateHelperPillarDate(M106,Trigger),"--")</f>
        <v>--</v>
      </c>
      <c r="V106" s="4" t="str">
        <f t="shared" si="23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#N/A</v>
      </c>
    </row>
    <row r="107" spans="1:29" x14ac:dyDescent="0.2">
      <c r="A107" s="62" t="s">
        <v>121</v>
      </c>
      <c r="B107" s="115" t="s">
        <v>109</v>
      </c>
      <c r="C107" s="64" t="s">
        <v>6</v>
      </c>
      <c r="D107" s="64" t="s">
        <v>164</v>
      </c>
      <c r="E107" s="64" t="s">
        <v>7</v>
      </c>
      <c r="F107" s="64" t="s">
        <v>159</v>
      </c>
      <c r="G107" s="64" t="str">
        <f t="shared" si="26"/>
        <v>AudBBSW3M</v>
      </c>
      <c r="H107" s="62" t="str">
        <f t="shared" si="27"/>
        <v>AUDSM6AB22Y_Quote</v>
      </c>
      <c r="I107" s="126" t="str">
        <f t="shared" si="28"/>
        <v>AUD3BR6BR22Y_Quote</v>
      </c>
      <c r="J107" s="67"/>
      <c r="L107" s="74" t="str">
        <f t="shared" si="24"/>
        <v>BasSw</v>
      </c>
      <c r="M107" s="139" t="str">
        <f t="shared" si="25"/>
        <v>obj_00244#0001</v>
      </c>
      <c r="N107" s="147" t="str">
        <f>IFERROR(_xll.qlRateHelperQuoteName(M107,Trigger),"--")</f>
        <v>AUDSM6AB30Y_Quote</v>
      </c>
      <c r="O107" s="140">
        <f>IFERROR(_xll.qlRateHelperQuoteValue($M107,Trigger),"--")</f>
        <v>3.4662499999999999E-2</v>
      </c>
      <c r="P107" s="139" t="b">
        <v>1</v>
      </c>
      <c r="Q107" s="139">
        <v>50</v>
      </c>
      <c r="R107" s="139">
        <v>1</v>
      </c>
      <c r="S107" s="141">
        <f>IFERROR(_xll.qlRateHelperEarliestDate(M107,Trigger),"--")</f>
        <v>42356</v>
      </c>
      <c r="T107" s="141">
        <f>IFERROR(_xll.qlRateHelperPillarDate(M107,Trigger),"--")</f>
        <v>53314</v>
      </c>
      <c r="V107" s="4" t="str">
        <f t="shared" si="23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#N/A</v>
      </c>
    </row>
    <row r="108" spans="1:29" x14ac:dyDescent="0.2">
      <c r="A108" s="62" t="s">
        <v>121</v>
      </c>
      <c r="B108" s="115" t="s">
        <v>110</v>
      </c>
      <c r="C108" s="64" t="s">
        <v>6</v>
      </c>
      <c r="D108" s="64" t="s">
        <v>164</v>
      </c>
      <c r="E108" s="64" t="s">
        <v>7</v>
      </c>
      <c r="F108" s="64" t="s">
        <v>159</v>
      </c>
      <c r="G108" s="64" t="str">
        <f t="shared" si="26"/>
        <v>AudBBSW3M</v>
      </c>
      <c r="H108" s="62" t="str">
        <f t="shared" si="27"/>
        <v>AUDSM6AB23Y_Quote</v>
      </c>
      <c r="I108" s="126" t="str">
        <f t="shared" si="28"/>
        <v>AUD3BR6BR23Y_Quote</v>
      </c>
      <c r="J108" s="67"/>
      <c r="L108" s="74" t="str">
        <f t="shared" si="24"/>
        <v>BasSw</v>
      </c>
      <c r="M108" s="139" t="str">
        <f t="shared" si="25"/>
        <v>--</v>
      </c>
      <c r="N108" s="147" t="str">
        <f>IFERROR(_xll.qlRateHelperQuoteName(M108,Trigger),"--")</f>
        <v>--</v>
      </c>
      <c r="O108" s="140" t="str">
        <f>IFERROR(_xll.qlRateHelperQuoteValue($M108,Trigger),"--")</f>
        <v>--</v>
      </c>
      <c r="P108" s="139" t="b">
        <v>0</v>
      </c>
      <c r="Q108" s="139">
        <v>50</v>
      </c>
      <c r="R108" s="139">
        <v>1</v>
      </c>
      <c r="S108" s="141" t="str">
        <f>IFERROR(_xll.qlRateHelperEarliestDate(M108,Trigger),"--")</f>
        <v>--</v>
      </c>
      <c r="T108" s="141" t="str">
        <f>IFERROR(_xll.qlRateHelperPillarDate(M108,Trigger),"--")</f>
        <v>--</v>
      </c>
      <c r="V108" s="4" t="str">
        <f t="shared" si="23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#N/A</v>
      </c>
    </row>
    <row r="109" spans="1:29" x14ac:dyDescent="0.2">
      <c r="A109" s="62" t="s">
        <v>121</v>
      </c>
      <c r="B109" s="115" t="s">
        <v>111</v>
      </c>
      <c r="C109" s="64" t="s">
        <v>6</v>
      </c>
      <c r="D109" s="64" t="s">
        <v>164</v>
      </c>
      <c r="E109" s="64" t="s">
        <v>7</v>
      </c>
      <c r="F109" s="64" t="s">
        <v>159</v>
      </c>
      <c r="G109" s="64" t="str">
        <f t="shared" si="26"/>
        <v>AudBBSW3M</v>
      </c>
      <c r="H109" s="62" t="str">
        <f t="shared" si="27"/>
        <v>AUDSM6AB24Y_Quote</v>
      </c>
      <c r="I109" s="126" t="str">
        <f t="shared" si="28"/>
        <v>AUD3BR6BR24Y_Quote</v>
      </c>
      <c r="J109" s="67"/>
      <c r="L109" s="74" t="str">
        <f t="shared" si="24"/>
        <v>BasSw</v>
      </c>
      <c r="M109" s="139" t="str">
        <f t="shared" si="25"/>
        <v>--</v>
      </c>
      <c r="N109" s="147" t="str">
        <f>IFERROR(_xll.qlRateHelperQuoteName(M109,Trigger),"--")</f>
        <v>--</v>
      </c>
      <c r="O109" s="140" t="str">
        <f>IFERROR(_xll.qlRateHelperQuoteValue($M109,Trigger),"--")</f>
        <v>--</v>
      </c>
      <c r="P109" s="139" t="b">
        <v>0</v>
      </c>
      <c r="Q109" s="139">
        <v>50</v>
      </c>
      <c r="R109" s="139">
        <v>1</v>
      </c>
      <c r="S109" s="141" t="str">
        <f>IFERROR(_xll.qlRateHelperEarliestDate(M109,Trigger),"--")</f>
        <v>--</v>
      </c>
      <c r="T109" s="141" t="str">
        <f>IFERROR(_xll.qlRateHelperPillarDate(M109,Trigger),"--")</f>
        <v>--</v>
      </c>
      <c r="V109" s="4" t="str">
        <f t="shared" si="23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#N/A</v>
      </c>
    </row>
    <row r="110" spans="1:29" x14ac:dyDescent="0.2">
      <c r="A110" s="62" t="s">
        <v>121</v>
      </c>
      <c r="B110" s="115" t="s">
        <v>64</v>
      </c>
      <c r="C110" s="64" t="s">
        <v>6</v>
      </c>
      <c r="D110" s="64" t="s">
        <v>164</v>
      </c>
      <c r="E110" s="64" t="s">
        <v>7</v>
      </c>
      <c r="F110" s="64" t="s">
        <v>159</v>
      </c>
      <c r="G110" s="64" t="str">
        <f t="shared" si="26"/>
        <v>AudBBSW3M</v>
      </c>
      <c r="H110" s="62" t="str">
        <f t="shared" si="27"/>
        <v>AUDSM6AB25Y_Quote</v>
      </c>
      <c r="I110" s="126" t="str">
        <f t="shared" si="28"/>
        <v>AUD3BR6BR25Y_Quote</v>
      </c>
      <c r="J110" s="67" t="str">
        <f>_xll.qlSwapRateHelper2(,H110,1,B110,Calendar,D110,E110,F110,G110,I110,C110,Discounting,PillarDate,,Permanent,Trigger,ObjectOverwrite)</f>
        <v>obj_0023b#0001</v>
      </c>
      <c r="L110" s="74" t="str">
        <f t="shared" si="24"/>
        <v>BasSw</v>
      </c>
      <c r="M110" s="139" t="str">
        <f t="shared" si="25"/>
        <v>--</v>
      </c>
      <c r="N110" s="147" t="str">
        <f>IFERROR(_xll.qlRateHelperQuoteName(M110,Trigger),"--")</f>
        <v>--</v>
      </c>
      <c r="O110" s="140" t="str">
        <f>IFERROR(_xll.qlRateHelperQuoteValue($M110,Trigger),"--")</f>
        <v>--</v>
      </c>
      <c r="P110" s="139" t="b">
        <v>0</v>
      </c>
      <c r="Q110" s="139">
        <v>50</v>
      </c>
      <c r="R110" s="139">
        <v>1</v>
      </c>
      <c r="S110" s="141" t="str">
        <f>IFERROR(_xll.qlRateHelperEarliestDate(M110,Trigger),"--")</f>
        <v>--</v>
      </c>
      <c r="T110" s="141" t="str">
        <f>IFERROR(_xll.qlRateHelperPillarDate(M110,Trigger),"--")</f>
        <v>--</v>
      </c>
      <c r="V110" s="4" t="str">
        <f t="shared" si="23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#N/A</v>
      </c>
    </row>
    <row r="111" spans="1:29" x14ac:dyDescent="0.2">
      <c r="A111" s="62" t="s">
        <v>121</v>
      </c>
      <c r="B111" s="115" t="s">
        <v>112</v>
      </c>
      <c r="C111" s="64" t="s">
        <v>6</v>
      </c>
      <c r="D111" s="64" t="s">
        <v>164</v>
      </c>
      <c r="E111" s="64" t="s">
        <v>7</v>
      </c>
      <c r="F111" s="64" t="s">
        <v>159</v>
      </c>
      <c r="G111" s="64" t="str">
        <f t="shared" si="26"/>
        <v>AudBBSW3M</v>
      </c>
      <c r="H111" s="62" t="str">
        <f t="shared" si="27"/>
        <v>AUDSM6AB26Y_Quote</v>
      </c>
      <c r="I111" s="126" t="str">
        <f t="shared" si="28"/>
        <v>AUD3BR6BR26Y_Quote</v>
      </c>
      <c r="J111" s="67"/>
      <c r="L111" s="75" t="str">
        <f t="shared" si="24"/>
        <v>BasSw</v>
      </c>
      <c r="M111" s="142" t="str">
        <f t="shared" si="25"/>
        <v>--</v>
      </c>
      <c r="N111" s="152" t="str">
        <f>IFERROR(_xll.qlRateHelperQuoteName(M111,Trigger),"--")</f>
        <v>--</v>
      </c>
      <c r="O111" s="153" t="str">
        <f>IFERROR(_xll.qlRateHelperQuoteValue($M111,Trigger),"--")</f>
        <v>--</v>
      </c>
      <c r="P111" s="142" t="b">
        <v>0</v>
      </c>
      <c r="Q111" s="142">
        <v>50</v>
      </c>
      <c r="R111" s="142">
        <v>1</v>
      </c>
      <c r="S111" s="151" t="str">
        <f>IFERROR(_xll.qlRateHelperEarliestDate(M111,Trigger),"--")</f>
        <v>--</v>
      </c>
      <c r="T111" s="151" t="str">
        <f>IFERROR(_xll.qlRateHelperPillarDate(M111,Trigger),"--")</f>
        <v>--</v>
      </c>
      <c r="V111" s="6" t="str">
        <f t="shared" si="23"/>
        <v/>
      </c>
      <c r="W111" s="6" t="e">
        <v>#N/A</v>
      </c>
      <c r="X111" s="6" t="str">
        <f>IFERROR(_xll.qlRateHelperQuoteName(W111,Trigger),"")</f>
        <v/>
      </c>
      <c r="Y111" s="83" t="str">
        <f>IFERROR(_xll.qlRateHelperRate(W111,Trigger),"")</f>
        <v/>
      </c>
      <c r="Z111" s="109" t="str">
        <f>IF(ISERROR(_xll.qlSwapRateHelperSpread($W111)),IF(ISERROR(_xll.qlFuturesRateHelperConvexityAdjustment($W111)),"",_xll.qlFuturesRateHelperConvexityAdjustment($W111)),_xll.qlSwapRateHelperSpread($W111))</f>
        <v/>
      </c>
      <c r="AA111" s="12" t="str">
        <f>IFERROR(_xll.qlRateHelperEarliestDate(W111,Trigger),"")</f>
        <v/>
      </c>
      <c r="AB111" s="12" t="str">
        <f>IFERROR(_xll.qlRateHelperPillarDate(W111,Trigger),"")</f>
        <v/>
      </c>
      <c r="AC111" s="82" t="e">
        <v>#N/A</v>
      </c>
    </row>
    <row r="112" spans="1:29" x14ac:dyDescent="0.2">
      <c r="A112" s="62" t="s">
        <v>121</v>
      </c>
      <c r="B112" s="115" t="s">
        <v>65</v>
      </c>
      <c r="C112" s="64" t="s">
        <v>6</v>
      </c>
      <c r="D112" s="64" t="s">
        <v>164</v>
      </c>
      <c r="E112" s="64" t="s">
        <v>7</v>
      </c>
      <c r="F112" s="64" t="s">
        <v>159</v>
      </c>
      <c r="G112" s="64" t="str">
        <f t="shared" si="26"/>
        <v>AudBBSW3M</v>
      </c>
      <c r="H112" s="62" t="str">
        <f t="shared" si="27"/>
        <v>AUDSM6AB27Y_Quote</v>
      </c>
      <c r="I112" s="126" t="str">
        <f t="shared" si="28"/>
        <v>AUD3BR6BR27Y_Quote</v>
      </c>
      <c r="J112" s="67"/>
      <c r="L112" s="174"/>
    </row>
    <row r="113" spans="1:12" x14ac:dyDescent="0.2">
      <c r="A113" s="62" t="s">
        <v>121</v>
      </c>
      <c r="B113" s="115" t="s">
        <v>113</v>
      </c>
      <c r="C113" s="64" t="s">
        <v>6</v>
      </c>
      <c r="D113" s="64" t="s">
        <v>164</v>
      </c>
      <c r="E113" s="64" t="s">
        <v>7</v>
      </c>
      <c r="F113" s="64" t="s">
        <v>159</v>
      </c>
      <c r="G113" s="64" t="str">
        <f t="shared" si="26"/>
        <v>AudBBSW3M</v>
      </c>
      <c r="H113" s="62" t="str">
        <f t="shared" si="27"/>
        <v>AUDSM6AB28Y_Quote</v>
      </c>
      <c r="I113" s="126" t="str">
        <f t="shared" si="28"/>
        <v>AUD3BR6BR28Y_Quote</v>
      </c>
      <c r="J113" s="67"/>
      <c r="L113" s="174"/>
    </row>
    <row r="114" spans="1:12" x14ac:dyDescent="0.2">
      <c r="A114" s="62" t="s">
        <v>121</v>
      </c>
      <c r="B114" s="115" t="s">
        <v>114</v>
      </c>
      <c r="C114" s="64" t="s">
        <v>6</v>
      </c>
      <c r="D114" s="64" t="s">
        <v>164</v>
      </c>
      <c r="E114" s="64" t="s">
        <v>7</v>
      </c>
      <c r="F114" s="64" t="s">
        <v>159</v>
      </c>
      <c r="G114" s="64" t="str">
        <f t="shared" si="26"/>
        <v>AudBBSW3M</v>
      </c>
      <c r="H114" s="62" t="str">
        <f t="shared" si="27"/>
        <v>AUDSM6AB29Y_Quote</v>
      </c>
      <c r="I114" s="126" t="str">
        <f t="shared" si="28"/>
        <v>AUD3BR6BR29Y_Quote</v>
      </c>
      <c r="J114" s="67"/>
      <c r="L114" s="174"/>
    </row>
    <row r="115" spans="1:12" x14ac:dyDescent="0.2">
      <c r="A115" s="62" t="s">
        <v>121</v>
      </c>
      <c r="B115" s="115" t="s">
        <v>66</v>
      </c>
      <c r="C115" s="64" t="s">
        <v>6</v>
      </c>
      <c r="D115" s="64" t="s">
        <v>164</v>
      </c>
      <c r="E115" s="64" t="s">
        <v>7</v>
      </c>
      <c r="F115" s="64" t="s">
        <v>159</v>
      </c>
      <c r="G115" s="64" t="str">
        <f t="shared" si="26"/>
        <v>AudBBSW3M</v>
      </c>
      <c r="H115" s="62" t="str">
        <f t="shared" si="27"/>
        <v>AUDSM6AB30Y_Quote</v>
      </c>
      <c r="I115" s="126" t="str">
        <f t="shared" si="28"/>
        <v>AUD3BR6BR30Y_Quote</v>
      </c>
      <c r="J115" s="67" t="str">
        <f>_xll.qlSwapRateHelper2(,H115,1,B115,Calendar,D115,E115,F115,G115,I115,C115,Discounting,PillarDate,,Permanent,Trigger,ObjectOverwrite)</f>
        <v>obj_00244#0001</v>
      </c>
      <c r="L115" s="174"/>
    </row>
    <row r="116" spans="1:12" x14ac:dyDescent="0.2">
      <c r="A116" s="62" t="s">
        <v>121</v>
      </c>
      <c r="B116" s="115" t="s">
        <v>67</v>
      </c>
      <c r="C116" s="64" t="s">
        <v>6</v>
      </c>
      <c r="D116" s="64" t="s">
        <v>164</v>
      </c>
      <c r="E116" s="64" t="s">
        <v>7</v>
      </c>
      <c r="F116" s="64" t="s">
        <v>159</v>
      </c>
      <c r="G116" s="64" t="str">
        <f t="shared" si="26"/>
        <v>AudBBSW3M</v>
      </c>
      <c r="H116" s="62" t="str">
        <f t="shared" si="27"/>
        <v>AUDSM6AB35Y_Quote</v>
      </c>
      <c r="I116" s="126" t="str">
        <f t="shared" si="28"/>
        <v>AUD3BR6BR35Y_Quote</v>
      </c>
      <c r="J116" s="67"/>
    </row>
    <row r="117" spans="1:12" x14ac:dyDescent="0.2">
      <c r="A117" s="62" t="s">
        <v>121</v>
      </c>
      <c r="B117" s="115" t="s">
        <v>68</v>
      </c>
      <c r="C117" s="64" t="s">
        <v>6</v>
      </c>
      <c r="D117" s="64" t="s">
        <v>164</v>
      </c>
      <c r="E117" s="64" t="s">
        <v>7</v>
      </c>
      <c r="F117" s="64" t="s">
        <v>159</v>
      </c>
      <c r="G117" s="64" t="str">
        <f t="shared" si="26"/>
        <v>AudBBSW3M</v>
      </c>
      <c r="H117" s="62" t="str">
        <f t="shared" si="27"/>
        <v>AUDSM6AB40Y_Quote</v>
      </c>
      <c r="I117" s="126" t="str">
        <f t="shared" si="28"/>
        <v>AUD3BR6BR40Y_Quote</v>
      </c>
      <c r="J117" s="67"/>
    </row>
    <row r="118" spans="1:12" x14ac:dyDescent="0.2">
      <c r="A118" s="62" t="s">
        <v>121</v>
      </c>
      <c r="B118" s="115" t="s">
        <v>69</v>
      </c>
      <c r="C118" s="64" t="s">
        <v>6</v>
      </c>
      <c r="D118" s="64" t="s">
        <v>164</v>
      </c>
      <c r="E118" s="64" t="s">
        <v>7</v>
      </c>
      <c r="F118" s="64" t="s">
        <v>159</v>
      </c>
      <c r="G118" s="64" t="str">
        <f t="shared" si="26"/>
        <v>AudBBSW3M</v>
      </c>
      <c r="H118" s="62" t="str">
        <f t="shared" si="27"/>
        <v>AUDSM6AB50Y_Quote</v>
      </c>
      <c r="I118" s="126" t="str">
        <f t="shared" si="28"/>
        <v>AUD3BR6BR50Y_Quote</v>
      </c>
      <c r="J118" s="67"/>
    </row>
    <row r="119" spans="1:12" x14ac:dyDescent="0.2">
      <c r="A119" s="1" t="s">
        <v>121</v>
      </c>
      <c r="B119" s="116" t="s">
        <v>115</v>
      </c>
      <c r="C119" s="7" t="s">
        <v>6</v>
      </c>
      <c r="D119" s="7" t="s">
        <v>164</v>
      </c>
      <c r="E119" s="7" t="s">
        <v>7</v>
      </c>
      <c r="F119" s="7" t="s">
        <v>159</v>
      </c>
      <c r="G119" s="7" t="str">
        <f t="shared" si="26"/>
        <v>AudBBSW3M</v>
      </c>
      <c r="H119" s="1" t="str">
        <f t="shared" si="27"/>
        <v>AUDSM6AB60Y_Quote</v>
      </c>
      <c r="I119" s="129" t="str">
        <f t="shared" si="28"/>
        <v>AUD3BR6BR60Y_Quote</v>
      </c>
      <c r="J119" s="3"/>
    </row>
  </sheetData>
  <dataValidations count="4">
    <dataValidation type="list" allowBlank="1" showInputMessage="1" showErrorMessage="1" sqref="D83:D119 D44:D80">
      <formula1>"Annual,Semiannual,EveryFourthMonth,Quarterly,Bimonthly,Monthly,Biweekly,Weekly,Daily,Once,NoFrequency"</formula1>
    </dataValidation>
    <dataValidation type="list" allowBlank="1" showInputMessage="1" showErrorMessage="1" sqref="E83:E119 E44:E80 E3:E6">
      <formula1>"Following,Modified Following,Preceding,Modified Preceding,Unadjusted,Half-Month Modified Following"</formula1>
    </dataValidation>
    <dataValidation type="list" allowBlank="1" showInputMessage="1" showErrorMessage="1" sqref="F83:F119 F44:F80 F3:F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01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30.710937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9.710937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"_SYNTH"&amp;$G$1</f>
        <v>_SYNTH6M</v>
      </c>
      <c r="L1" s="70" t="s">
        <v>24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AUD6M</v>
      </c>
      <c r="W1" s="69"/>
      <c r="X1" s="69"/>
      <c r="Y1" s="72"/>
      <c r="Z1" s="72"/>
      <c r="AA1" s="69"/>
      <c r="AB1" s="69"/>
      <c r="AC1" s="76" t="s">
        <v>31</v>
      </c>
    </row>
    <row r="2" spans="1:38" ht="21.75" customHeight="1" x14ac:dyDescent="0.2">
      <c r="A2" s="68" t="s">
        <v>8</v>
      </c>
      <c r="B2" s="68" t="s">
        <v>28</v>
      </c>
      <c r="C2" s="68" t="s">
        <v>94</v>
      </c>
      <c r="D2" s="68" t="s">
        <v>132</v>
      </c>
      <c r="E2" s="68" t="s">
        <v>33</v>
      </c>
      <c r="F2" s="68" t="s">
        <v>118</v>
      </c>
      <c r="G2" s="68" t="s">
        <v>4</v>
      </c>
      <c r="H2" s="68" t="s">
        <v>1</v>
      </c>
      <c r="I2" s="68"/>
      <c r="J2" s="68" t="s">
        <v>24</v>
      </c>
      <c r="L2" s="77" t="s">
        <v>8</v>
      </c>
      <c r="M2" s="77" t="s">
        <v>24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22</v>
      </c>
      <c r="T2" s="77" t="s">
        <v>78</v>
      </c>
      <c r="U2" s="97"/>
      <c r="V2" s="77" t="s">
        <v>8</v>
      </c>
      <c r="W2" s="77" t="s">
        <v>24</v>
      </c>
      <c r="X2" s="77" t="s">
        <v>81</v>
      </c>
      <c r="Y2" s="79" t="s">
        <v>23</v>
      </c>
      <c r="Z2" s="79" t="s">
        <v>86</v>
      </c>
      <c r="AA2" s="77" t="s">
        <v>22</v>
      </c>
      <c r="AB2" s="77" t="s">
        <v>78</v>
      </c>
      <c r="AC2" s="80">
        <f t="array" ref="AC2:AC95">_xll.qlPiecewiseYieldCurveData(YieldCurve_6M,Trigger)</f>
        <v>1</v>
      </c>
      <c r="AD2" s="175"/>
      <c r="AF2" s="176" t="s">
        <v>87</v>
      </c>
      <c r="AG2" s="177"/>
      <c r="AH2" s="177"/>
      <c r="AI2" s="177"/>
      <c r="AJ2" s="178"/>
    </row>
    <row r="3" spans="1:38" ht="11.25" customHeight="1" x14ac:dyDescent="0.2">
      <c r="A3" s="56" t="s">
        <v>26</v>
      </c>
      <c r="B3" s="57" t="s">
        <v>74</v>
      </c>
      <c r="C3" s="59" t="s">
        <v>75</v>
      </c>
      <c r="D3" s="59" t="b">
        <v>1</v>
      </c>
      <c r="E3" s="59" t="s">
        <v>158</v>
      </c>
      <c r="F3" s="59" t="s">
        <v>159</v>
      </c>
      <c r="G3" s="58" t="str">
        <f>_xll.qlIborIndex(,FamilyName,C3,0,Currency,Calendar,E3,D3,F3,,Permanent,Trigger,ObjectOverwrite)</f>
        <v>obj_00214#0001</v>
      </c>
      <c r="H3" s="154" t="str">
        <f t="shared" ref="H3:H12" si="0">Currency&amp;$B3&amp;"D"&amp;$H$1&amp;QuoteSuffix</f>
        <v>AUDSND_SYNTH6M_Quote</v>
      </c>
      <c r="I3" s="128"/>
      <c r="J3" s="61" t="str">
        <f>_xll.qlDepositRateHelper(,H3,G3,Permanent,Trigger,ObjectOverwrite)</f>
        <v>obj_00263#0001</v>
      </c>
      <c r="K3" s="52"/>
      <c r="L3" s="71" t="str">
        <f>A3</f>
        <v>Dp</v>
      </c>
      <c r="M3" s="130" t="str">
        <f>IF(ISBLANK(J3),"--",J3)</f>
        <v>obj_00263#0001</v>
      </c>
      <c r="N3" s="143" t="str">
        <f>IFERROR(_xll.qlRateHelperQuoteName(M3,Trigger),"--")</f>
        <v>AUDSND_SYNTH6M_Quote</v>
      </c>
      <c r="O3" s="132">
        <f>IFERROR(_xll.qlRateHelperQuoteValue($M3,Trigger),"--")</f>
        <v>2.4225E-2</v>
      </c>
      <c r="P3" s="135" t="b">
        <v>1</v>
      </c>
      <c r="Q3" s="130">
        <v>10</v>
      </c>
      <c r="R3" s="130">
        <v>1</v>
      </c>
      <c r="S3" s="133">
        <f>IFERROR(_xll.qlRateHelperEarliestDate(M3,Trigger),"--")</f>
        <v>42355</v>
      </c>
      <c r="T3" s="133">
        <f>IFERROR(_xll.qlRateHelperPillarDate(M3,Trigger),"--")</f>
        <v>42356</v>
      </c>
      <c r="V3" s="4" t="str">
        <f t="shared" ref="V3:V34" si="1">IFERROR(INDEX($L$3:$L$95,MATCH(X3,$N$3:$N$95,0),1),"")</f>
        <v>Dp</v>
      </c>
      <c r="W3" s="4" t="str">
        <f t="array" ref="W3:W95">_xll.qlRateHelperSelection(_xll.ohFilter(RateHelpers,IncludeFlag),_xll.ohFilter(Priority,IncludeFlag),$AJ$3,$AJ$4,$AJ$5,$AJ$6,_xll.ohFilter(MinDistance,IncludeFlag),Trigger)</f>
        <v>obj_00263</v>
      </c>
      <c r="X3" s="4" t="str">
        <f>IFERROR(_xll.qlRateHelperQuoteName(W3,Trigger),"")</f>
        <v>AUDSND_SYNTH6M_Quote</v>
      </c>
      <c r="Y3" s="73">
        <f>IFERROR(_xll.qlRateHelperRate(W3,Trigger),"")</f>
        <v>2.4225E-2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42355</v>
      </c>
      <c r="AB3" s="5">
        <f>IFERROR(_xll.qlRateHelperPillarDate(W3,Trigger),"")</f>
        <v>42356</v>
      </c>
      <c r="AC3" s="81">
        <v>0.99993363454165274</v>
      </c>
      <c r="AD3" s="175"/>
      <c r="AF3" s="185" t="s">
        <v>88</v>
      </c>
      <c r="AJ3" s="186">
        <v>0</v>
      </c>
    </row>
    <row r="4" spans="1:38" ht="11.25" customHeight="1" x14ac:dyDescent="0.2">
      <c r="A4" s="62" t="s">
        <v>26</v>
      </c>
      <c r="B4" s="63" t="s">
        <v>93</v>
      </c>
      <c r="C4" s="65" t="s">
        <v>38</v>
      </c>
      <c r="D4" s="65" t="b">
        <v>1</v>
      </c>
      <c r="E4" s="65" t="s">
        <v>158</v>
      </c>
      <c r="F4" s="65" t="s">
        <v>159</v>
      </c>
      <c r="G4" s="64" t="str">
        <f>_xll.qlIborIndex(,FamilyName,C4,0,Currency,Calendar,E4,D4,F4,,Permanent,Trigger,ObjectOverwrite)</f>
        <v>obj_00215#0001</v>
      </c>
      <c r="H4" s="120" t="str">
        <f t="shared" si="0"/>
        <v>AUDSWD_SYNTH6M_Quote</v>
      </c>
      <c r="I4" s="122"/>
      <c r="J4" s="67" t="str">
        <f>_xll.qlDepositRateHelper(,H4,G4,Permanent,Trigger,ObjectOverwrite)</f>
        <v>obj_0025c#0001</v>
      </c>
      <c r="K4" s="51"/>
      <c r="L4" s="10" t="str">
        <f t="shared" ref="L4:L9" si="2">A4</f>
        <v>Dp</v>
      </c>
      <c r="M4" s="98" t="str">
        <f t="shared" ref="M4:M9" si="3">IF(ISBLANK(J4),"--",J4)</f>
        <v>obj_0025c#0001</v>
      </c>
      <c r="N4" s="144" t="str">
        <f>IFERROR(_xll.qlRateHelperQuoteName(M4,Trigger),"--")</f>
        <v>AUDSWD_SYNTH6M_Quote</v>
      </c>
      <c r="O4" s="102">
        <f>IFERROR(_xll.qlRateHelperQuoteValue($M4,Trigger),"--")</f>
        <v>2.4237999999999999E-2</v>
      </c>
      <c r="P4" s="139" t="b">
        <v>1</v>
      </c>
      <c r="Q4" s="98">
        <v>10</v>
      </c>
      <c r="R4" s="98">
        <v>1</v>
      </c>
      <c r="S4" s="103">
        <f>IFERROR(_xll.qlRateHelperEarliestDate(M4,Trigger),"--")</f>
        <v>42355</v>
      </c>
      <c r="T4" s="103">
        <f>IFERROR(_xll.qlRateHelperPillarDate(M4,Trigger),"--")</f>
        <v>42362</v>
      </c>
      <c r="V4" s="4" t="str">
        <f t="shared" si="1"/>
        <v>Dp</v>
      </c>
      <c r="W4" s="4" t="str">
        <v>obj_0025c</v>
      </c>
      <c r="X4" s="4" t="str">
        <f>IFERROR(_xll.qlRateHelperQuoteName(W4,Trigger),"")</f>
        <v>AUDSWD_SYNTH6M_Quote</v>
      </c>
      <c r="Y4" s="73">
        <f>IFERROR(_xll.qlRateHelperRate(W4,Trigger),"")</f>
        <v>2.4237999999999999E-2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42355</v>
      </c>
      <c r="AB4" s="5">
        <f>IFERROR(_xll.qlRateHelperPillarDate(W4,Trigger),"")</f>
        <v>42362</v>
      </c>
      <c r="AC4" s="81">
        <v>0.99953537761813971</v>
      </c>
      <c r="AD4" s="175"/>
      <c r="AF4" s="111" t="s">
        <v>89</v>
      </c>
      <c r="AJ4" s="112">
        <v>0</v>
      </c>
    </row>
    <row r="5" spans="1:38" ht="11.25" customHeight="1" x14ac:dyDescent="0.2">
      <c r="A5" s="62" t="s">
        <v>26</v>
      </c>
      <c r="B5" s="63" t="s">
        <v>39</v>
      </c>
      <c r="C5" s="65" t="str">
        <f>B5</f>
        <v>2W</v>
      </c>
      <c r="D5" s="65" t="b">
        <v>1</v>
      </c>
      <c r="E5" s="65" t="s">
        <v>158</v>
      </c>
      <c r="F5" s="65" t="s">
        <v>159</v>
      </c>
      <c r="G5" s="64" t="str">
        <f>_xll.qlIborIndex(,FamilyName,C5,0,Currency,Calendar,E5,D5,F5,,Permanent,Trigger,ObjectOverwrite)</f>
        <v>obj_0024c#0001</v>
      </c>
      <c r="H5" s="120" t="str">
        <f t="shared" si="0"/>
        <v>AUD2WD_SYNTH6M_Quote</v>
      </c>
      <c r="I5" s="122"/>
      <c r="J5" s="67" t="str">
        <f>_xll.qlDepositRateHelper(,H5,G5,Permanent,Trigger,ObjectOverwrite)</f>
        <v>obj_00268#0001</v>
      </c>
      <c r="K5" s="51"/>
      <c r="L5" s="10" t="str">
        <f t="shared" si="2"/>
        <v>Dp</v>
      </c>
      <c r="M5" s="98" t="str">
        <f t="shared" si="3"/>
        <v>obj_00268#0001</v>
      </c>
      <c r="N5" s="144" t="str">
        <f>IFERROR(_xll.qlRateHelperQuoteName(M5,Trigger),"--")</f>
        <v>AUD2WD_SYNTH6M_Quote</v>
      </c>
      <c r="O5" s="102">
        <f>IFERROR(_xll.qlRateHelperQuoteValue($M5,Trigger),"--")</f>
        <v>2.4251999999999999E-2</v>
      </c>
      <c r="P5" s="139" t="b">
        <v>1</v>
      </c>
      <c r="Q5" s="98">
        <v>10</v>
      </c>
      <c r="R5" s="98">
        <v>1</v>
      </c>
      <c r="S5" s="103">
        <f>IFERROR(_xll.qlRateHelperEarliestDate(M5,Trigger),"--")</f>
        <v>42355</v>
      </c>
      <c r="T5" s="103">
        <f>IFERROR(_xll.qlRateHelperPillarDate(M5,Trigger),"--")</f>
        <v>42369</v>
      </c>
      <c r="V5" s="4" t="str">
        <f t="shared" si="1"/>
        <v>Dp</v>
      </c>
      <c r="W5" s="4" t="str">
        <v>obj_00268</v>
      </c>
      <c r="X5" s="4" t="str">
        <f>IFERROR(_xll.qlRateHelperQuoteName(W5,Trigger),"")</f>
        <v>AUD2WD_SYNTH6M_Quote</v>
      </c>
      <c r="Y5" s="73">
        <f>IFERROR(_xll.qlRateHelperRate(W5,Trigger),"")</f>
        <v>2.4251999999999999E-2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42355</v>
      </c>
      <c r="AB5" s="5">
        <f>IFERROR(_xll.qlRateHelperPillarDate(W5,Trigger),"")</f>
        <v>42369</v>
      </c>
      <c r="AC5" s="81">
        <v>0.99907065079473134</v>
      </c>
      <c r="AD5" s="175"/>
      <c r="AE5" s="84"/>
      <c r="AF5" s="111" t="s">
        <v>90</v>
      </c>
      <c r="AJ5" s="112">
        <v>0</v>
      </c>
    </row>
    <row r="6" spans="1:38" ht="11.25" customHeight="1" x14ac:dyDescent="0.2">
      <c r="A6" s="1" t="s">
        <v>26</v>
      </c>
      <c r="B6" s="8" t="s">
        <v>40</v>
      </c>
      <c r="C6" s="9" t="str">
        <f t="shared" ref="C6:C9" si="4">B6</f>
        <v>3W</v>
      </c>
      <c r="D6" s="9" t="b">
        <v>1</v>
      </c>
      <c r="E6" s="9" t="s">
        <v>158</v>
      </c>
      <c r="F6" s="9" t="s">
        <v>159</v>
      </c>
      <c r="G6" s="7" t="str">
        <f>_xll.qlIborIndex(,FamilyName,C6,0,Currency,Calendar,E6,D6,F6,,Permanent,Trigger,ObjectOverwrite)</f>
        <v>obj_00251#0001</v>
      </c>
      <c r="H6" s="121" t="str">
        <f t="shared" si="0"/>
        <v>AUD3WD_SYNTH6M_Quote</v>
      </c>
      <c r="I6" s="123"/>
      <c r="J6" s="3" t="str">
        <f>_xll.qlDepositRateHelper(,H6,G6,Permanent,Trigger,ObjectOverwrite)</f>
        <v>obj_00266#0001</v>
      </c>
      <c r="K6" s="51"/>
      <c r="L6" s="10" t="str">
        <f t="shared" si="2"/>
        <v>Dp</v>
      </c>
      <c r="M6" s="98" t="str">
        <f t="shared" si="3"/>
        <v>obj_00266#0001</v>
      </c>
      <c r="N6" s="144" t="str">
        <f>IFERROR(_xll.qlRateHelperQuoteName(M6,Trigger),"--")</f>
        <v>AUD3WD_SYNTH6M_Quote</v>
      </c>
      <c r="O6" s="102">
        <f>IFERROR(_xll.qlRateHelperQuoteValue($M6,Trigger),"--")</f>
        <v>2.4264999999999998E-2</v>
      </c>
      <c r="P6" s="139" t="b">
        <v>1</v>
      </c>
      <c r="Q6" s="98">
        <v>10</v>
      </c>
      <c r="R6" s="98">
        <v>1</v>
      </c>
      <c r="S6" s="103">
        <f>IFERROR(_xll.qlRateHelperEarliestDate(M6,Trigger),"--")</f>
        <v>42355</v>
      </c>
      <c r="T6" s="103">
        <f>IFERROR(_xll.qlRateHelperPillarDate(M6,Trigger),"--")</f>
        <v>42376</v>
      </c>
      <c r="V6" s="4" t="str">
        <f t="shared" si="1"/>
        <v>Dp</v>
      </c>
      <c r="W6" s="4" t="str">
        <v>obj_00266</v>
      </c>
      <c r="X6" s="4" t="str">
        <f>IFERROR(_xll.qlRateHelperQuoteName(W6,Trigger),"")</f>
        <v>AUD3WD_SYNTH6M_Quote</v>
      </c>
      <c r="Y6" s="73">
        <f>IFERROR(_xll.qlRateHelperRate(W6,Trigger),"")</f>
        <v>2.4264999999999998E-2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42355</v>
      </c>
      <c r="AB6" s="5">
        <f>IFERROR(_xll.qlRateHelperPillarDate(W6,Trigger),"")</f>
        <v>42376</v>
      </c>
      <c r="AC6" s="81">
        <v>0.99860587779693255</v>
      </c>
      <c r="AD6" s="175"/>
      <c r="AF6" s="111" t="s">
        <v>91</v>
      </c>
      <c r="AJ6" s="113" t="s">
        <v>92</v>
      </c>
    </row>
    <row r="7" spans="1:38" ht="11.25" customHeight="1" x14ac:dyDescent="0.2">
      <c r="A7" s="56" t="s">
        <v>26</v>
      </c>
      <c r="B7" s="57" t="s">
        <v>2</v>
      </c>
      <c r="C7" s="59" t="str">
        <f t="shared" si="4"/>
        <v>1M</v>
      </c>
      <c r="D7" s="128"/>
      <c r="E7" s="128"/>
      <c r="F7" s="128"/>
      <c r="G7" s="58" t="str">
        <f t="shared" ref="G7:G12" si="5">PROPER(Currency)&amp;FamilyName&amp;B7</f>
        <v>AudBBSW1M</v>
      </c>
      <c r="H7" s="154" t="str">
        <f t="shared" si="0"/>
        <v>AUD1MD_SYNTH6M_Quote</v>
      </c>
      <c r="I7" s="128"/>
      <c r="J7" s="61" t="str">
        <f>_xll.qlDepositRateHelper(,H7,G7,Permanent,Trigger,ObjectOverwrite)</f>
        <v>obj_00265#0001</v>
      </c>
      <c r="K7" s="51"/>
      <c r="L7" s="10" t="str">
        <f t="shared" si="2"/>
        <v>Dp</v>
      </c>
      <c r="M7" s="98" t="str">
        <f t="shared" si="3"/>
        <v>obj_00265#0001</v>
      </c>
      <c r="N7" s="144" t="str">
        <f>IFERROR(_xll.qlRateHelperQuoteName(M7,Trigger),"--")</f>
        <v>AUD1MD_SYNTH6M_Quote</v>
      </c>
      <c r="O7" s="102">
        <f>IFERROR(_xll.qlRateHelperQuoteValue($M7,Trigger),"--")</f>
        <v>2.4282999999999999E-2</v>
      </c>
      <c r="P7" s="139" t="b">
        <v>1</v>
      </c>
      <c r="Q7" s="98">
        <v>10</v>
      </c>
      <c r="R7" s="98">
        <v>1</v>
      </c>
      <c r="S7" s="103">
        <f>IFERROR(_xll.qlRateHelperEarliestDate(M7,Trigger),"--")</f>
        <v>42355</v>
      </c>
      <c r="T7" s="103">
        <f>IFERROR(_xll.qlRateHelperPillarDate(M7,Trigger),"--")</f>
        <v>42387</v>
      </c>
      <c r="V7" s="4" t="str">
        <f t="shared" si="1"/>
        <v>Dp</v>
      </c>
      <c r="W7" s="4" t="str">
        <v>obj_00265</v>
      </c>
      <c r="X7" s="4" t="str">
        <f>IFERROR(_xll.qlRateHelperQuoteName(W7,Trigger),"")</f>
        <v>AUD1MD_SYNTH6M_Quote</v>
      </c>
      <c r="Y7" s="73">
        <f>IFERROR(_xll.qlRateHelperRate(W7,Trigger),"")</f>
        <v>2.4282999999999999E-2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42355</v>
      </c>
      <c r="AB7" s="5">
        <f>IFERROR(_xll.qlRateHelperPillarDate(W7,Trigger),"")</f>
        <v>42387</v>
      </c>
      <c r="AC7" s="81">
        <v>0.99787560212633941</v>
      </c>
      <c r="AD7" s="175"/>
    </row>
    <row r="8" spans="1:38" ht="11.25" customHeight="1" x14ac:dyDescent="0.2">
      <c r="A8" s="62" t="s">
        <v>26</v>
      </c>
      <c r="B8" s="63" t="s">
        <v>41</v>
      </c>
      <c r="C8" s="65" t="str">
        <f t="shared" si="4"/>
        <v>2M</v>
      </c>
      <c r="D8" s="122"/>
      <c r="E8" s="122"/>
      <c r="F8" s="122"/>
      <c r="G8" s="64" t="str">
        <f t="shared" si="5"/>
        <v>AudBBSW2M</v>
      </c>
      <c r="H8" s="120" t="str">
        <f t="shared" si="0"/>
        <v>AUD2MD_SYNTH6M_Quote</v>
      </c>
      <c r="I8" s="122"/>
      <c r="J8" s="67" t="str">
        <f>_xll.qlDepositRateHelper(,H8,G8,Permanent,Trigger,ObjectOverwrite)</f>
        <v>obj_0024d#0001</v>
      </c>
      <c r="K8" s="51"/>
      <c r="L8" s="10" t="str">
        <f t="shared" si="2"/>
        <v>Dp</v>
      </c>
      <c r="M8" s="98" t="str">
        <f t="shared" si="3"/>
        <v>obj_0024d#0001</v>
      </c>
      <c r="N8" s="144" t="str">
        <f>IFERROR(_xll.qlRateHelperQuoteName(M8,Trigger),"--")</f>
        <v>AUD2MD_SYNTH6M_Quote</v>
      </c>
      <c r="O8" s="102">
        <f>IFERROR(_xll.qlRateHelperQuoteValue($M8,Trigger),"--")</f>
        <v>2.4289000000000002E-2</v>
      </c>
      <c r="P8" s="139" t="b">
        <v>1</v>
      </c>
      <c r="Q8" s="98">
        <v>10</v>
      </c>
      <c r="R8" s="98">
        <v>1</v>
      </c>
      <c r="S8" s="103">
        <f>IFERROR(_xll.qlRateHelperEarliestDate(M8,Trigger),"--")</f>
        <v>42355</v>
      </c>
      <c r="T8" s="103">
        <f>IFERROR(_xll.qlRateHelperPillarDate(M8,Trigger),"--")</f>
        <v>42417</v>
      </c>
      <c r="V8" s="4" t="str">
        <f t="shared" si="1"/>
        <v>Dp</v>
      </c>
      <c r="W8" s="4" t="str">
        <v>obj_0024d</v>
      </c>
      <c r="X8" s="4" t="str">
        <f>IFERROR(_xll.qlRateHelperQuoteName(W8,Trigger),"")</f>
        <v>AUD2MD_SYNTH6M_Quote</v>
      </c>
      <c r="Y8" s="73">
        <f>IFERROR(_xll.qlRateHelperRate(W8,Trigger),"")</f>
        <v>2.4289000000000002E-2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42355</v>
      </c>
      <c r="AB8" s="5">
        <f>IFERROR(_xll.qlRateHelperPillarDate(W8,Trigger),"")</f>
        <v>42417</v>
      </c>
      <c r="AC8" s="81">
        <v>0.99589114956664893</v>
      </c>
      <c r="AD8" s="175"/>
    </row>
    <row r="9" spans="1:38" ht="11.25" customHeight="1" x14ac:dyDescent="0.2">
      <c r="A9" s="62" t="s">
        <v>26</v>
      </c>
      <c r="B9" s="63" t="s">
        <v>0</v>
      </c>
      <c r="C9" s="65" t="str">
        <f t="shared" si="4"/>
        <v>3M</v>
      </c>
      <c r="D9" s="122"/>
      <c r="E9" s="122"/>
      <c r="F9" s="122"/>
      <c r="G9" s="64" t="str">
        <f t="shared" si="5"/>
        <v>AudBBSW3M</v>
      </c>
      <c r="H9" s="120" t="str">
        <f t="shared" si="0"/>
        <v>AUD3MD_SYNTH6M_Quote</v>
      </c>
      <c r="I9" s="122"/>
      <c r="J9" s="67" t="str">
        <f>_xll.qlDepositRateHelper(,H9,G9,Permanent,Trigger,ObjectOverwrite)</f>
        <v>obj_00267#0001</v>
      </c>
      <c r="K9" s="51"/>
      <c r="L9" s="10" t="str">
        <f t="shared" si="2"/>
        <v>Dp</v>
      </c>
      <c r="M9" s="98" t="str">
        <f t="shared" si="3"/>
        <v>obj_00267#0001</v>
      </c>
      <c r="N9" s="144" t="str">
        <f>IFERROR(_xll.qlRateHelperQuoteName(M9,Trigger),"--")</f>
        <v>AUD3MD_SYNTH6M_Quote</v>
      </c>
      <c r="O9" s="102">
        <f>IFERROR(_xll.qlRateHelperQuoteValue($M9,Trigger),"--")</f>
        <v>2.4230000000000002E-2</v>
      </c>
      <c r="P9" s="139" t="b">
        <v>1</v>
      </c>
      <c r="Q9" s="98">
        <v>10</v>
      </c>
      <c r="R9" s="98">
        <v>1</v>
      </c>
      <c r="S9" s="103">
        <f>IFERROR(_xll.qlRateHelperEarliestDate(M9,Trigger),"--")</f>
        <v>42355</v>
      </c>
      <c r="T9" s="103">
        <f>IFERROR(_xll.qlRateHelperPillarDate(M9,Trigger),"--")</f>
        <v>42446</v>
      </c>
      <c r="V9" s="4" t="str">
        <f t="shared" si="1"/>
        <v>Dp</v>
      </c>
      <c r="W9" s="4" t="str">
        <v>obj_00267</v>
      </c>
      <c r="X9" s="4" t="str">
        <f>IFERROR(_xll.qlRateHelperQuoteName(W9,Trigger),"")</f>
        <v>AUD3MD_SYNTH6M_Quote</v>
      </c>
      <c r="Y9" s="73">
        <f>IFERROR(_xll.qlRateHelperRate(W9,Trigger),"")</f>
        <v>2.4230000000000002E-2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42355</v>
      </c>
      <c r="AB9" s="5">
        <f>IFERROR(_xll.qlRateHelperPillarDate(W9,Trigger),"")</f>
        <v>42446</v>
      </c>
      <c r="AC9" s="81">
        <v>0.9939953692887511</v>
      </c>
      <c r="AD9" s="175"/>
      <c r="AG9" s="49" t="s">
        <v>129</v>
      </c>
    </row>
    <row r="10" spans="1:38" ht="11.25" customHeight="1" x14ac:dyDescent="0.2">
      <c r="A10" s="62" t="s">
        <v>26</v>
      </c>
      <c r="B10" s="63" t="s">
        <v>42</v>
      </c>
      <c r="C10" s="65" t="str">
        <f t="shared" ref="C10:C12" si="6">B10</f>
        <v>4M</v>
      </c>
      <c r="D10" s="122"/>
      <c r="E10" s="122"/>
      <c r="F10" s="122"/>
      <c r="G10" s="64" t="str">
        <f t="shared" si="5"/>
        <v>AudBBSW4M</v>
      </c>
      <c r="H10" s="120" t="str">
        <f t="shared" si="0"/>
        <v>AUD4MD_SYNTH6M_Quote</v>
      </c>
      <c r="I10" s="122"/>
      <c r="J10" s="67" t="str">
        <f>_xll.qlDepositRateHelper(,H10,G10,Permanent,Trigger,ObjectOverwrite)</f>
        <v>obj_00269#0001</v>
      </c>
      <c r="K10" s="51"/>
      <c r="L10" s="10" t="str">
        <f t="shared" ref="L10:L12" si="7">A10</f>
        <v>Dp</v>
      </c>
      <c r="M10" s="98" t="str">
        <f t="shared" ref="M10:M12" si="8">IF(ISBLANK(J10),"--",J10)</f>
        <v>obj_00269#0001</v>
      </c>
      <c r="N10" s="144" t="str">
        <f>IFERROR(_xll.qlRateHelperQuoteName(M10,Trigger),"--")</f>
        <v>AUD4MD_SYNTH6M_Quote</v>
      </c>
      <c r="O10" s="102">
        <f>IFERROR(_xll.qlRateHelperQuoteValue($M10,Trigger),"--")</f>
        <v>2.4192999999999999E-2</v>
      </c>
      <c r="P10" s="139" t="b">
        <v>1</v>
      </c>
      <c r="Q10" s="98">
        <v>10</v>
      </c>
      <c r="R10" s="98">
        <v>1</v>
      </c>
      <c r="S10" s="103">
        <f>IFERROR(_xll.qlRateHelperEarliestDate(M10,Trigger),"--")</f>
        <v>42355</v>
      </c>
      <c r="T10" s="103">
        <f>IFERROR(_xll.qlRateHelperPillarDate(M10,Trigger),"--")</f>
        <v>42478</v>
      </c>
      <c r="V10" s="4" t="str">
        <f t="shared" si="1"/>
        <v>Dp</v>
      </c>
      <c r="W10" s="4" t="str">
        <v>obj_00269</v>
      </c>
      <c r="X10" s="4" t="str">
        <f>IFERROR(_xll.qlRateHelperQuoteName(W10,Trigger),"")</f>
        <v>AUD4MD_SYNTH6M_Quote</v>
      </c>
      <c r="Y10" s="73">
        <f>IFERROR(_xll.qlRateHelperRate(W10,Trigger),"")</f>
        <v>2.4192999999999999E-2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42355</v>
      </c>
      <c r="AB10" s="5">
        <f>IFERROR(_xll.qlRateHelperPillarDate(W10,Trigger),"")</f>
        <v>42478</v>
      </c>
      <c r="AC10" s="81">
        <v>0.99191321958320744</v>
      </c>
      <c r="AD10" s="175"/>
      <c r="AE10" s="77" t="s">
        <v>123</v>
      </c>
      <c r="AF10" s="77" t="s">
        <v>124</v>
      </c>
      <c r="AG10" s="77" t="s">
        <v>125</v>
      </c>
      <c r="AH10" s="77" t="s">
        <v>133</v>
      </c>
      <c r="AI10" s="77" t="s">
        <v>126</v>
      </c>
      <c r="AJ10" s="77" t="s">
        <v>134</v>
      </c>
      <c r="AK10" s="77" t="s">
        <v>127</v>
      </c>
      <c r="AL10" s="77" t="s">
        <v>128</v>
      </c>
    </row>
    <row r="11" spans="1:38" ht="11.25" customHeight="1" x14ac:dyDescent="0.2">
      <c r="A11" s="62" t="s">
        <v>26</v>
      </c>
      <c r="B11" s="63" t="s">
        <v>43</v>
      </c>
      <c r="C11" s="65" t="str">
        <f t="shared" si="6"/>
        <v>5M</v>
      </c>
      <c r="D11" s="122"/>
      <c r="E11" s="122"/>
      <c r="F11" s="122"/>
      <c r="G11" s="64" t="str">
        <f t="shared" si="5"/>
        <v>AudBBSW5M</v>
      </c>
      <c r="H11" s="120" t="str">
        <f t="shared" si="0"/>
        <v>AUD5MD_SYNTH6M_Quote</v>
      </c>
      <c r="I11" s="122"/>
      <c r="J11" s="67" t="str">
        <f>_xll.qlDepositRateHelper(,H11,G11,Permanent,Trigger,ObjectOverwrite)</f>
        <v>obj_0025e#0001</v>
      </c>
      <c r="K11" s="51"/>
      <c r="L11" s="10" t="str">
        <f t="shared" si="7"/>
        <v>Dp</v>
      </c>
      <c r="M11" s="98" t="str">
        <f t="shared" si="8"/>
        <v>obj_0025e#0001</v>
      </c>
      <c r="N11" s="144" t="str">
        <f>IFERROR(_xll.qlRateHelperQuoteName(M11,Trigger),"--")</f>
        <v>AUD5MD_SYNTH6M_Quote</v>
      </c>
      <c r="O11" s="102">
        <f>IFERROR(_xll.qlRateHelperQuoteValue($M11,Trigger),"--")</f>
        <v>2.4098000000000001E-2</v>
      </c>
      <c r="P11" s="139" t="b">
        <v>1</v>
      </c>
      <c r="Q11" s="98">
        <v>10</v>
      </c>
      <c r="R11" s="98">
        <v>1</v>
      </c>
      <c r="S11" s="103">
        <f>IFERROR(_xll.qlRateHelperEarliestDate(M11,Trigger),"--")</f>
        <v>42355</v>
      </c>
      <c r="T11" s="103">
        <f>IFERROR(_xll.qlRateHelperPillarDate(M11,Trigger),"--")</f>
        <v>42507</v>
      </c>
      <c r="V11" s="4" t="str">
        <f t="shared" si="1"/>
        <v>Dp</v>
      </c>
      <c r="W11" s="4" t="str">
        <v>obj_0025e</v>
      </c>
      <c r="X11" s="4" t="str">
        <f>IFERROR(_xll.qlRateHelperQuoteName(W11,Trigger),"")</f>
        <v>AUD5MD_SYNTH6M_Quote</v>
      </c>
      <c r="Y11" s="73">
        <f>IFERROR(_xll.qlRateHelperRate(W11,Trigger),"")</f>
        <v>2.4098000000000001E-2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42355</v>
      </c>
      <c r="AB11" s="5">
        <f>IFERROR(_xll.qlRateHelperPillarDate(W11,Trigger),"")</f>
        <v>42507</v>
      </c>
      <c r="AC11" s="81">
        <v>0.99006437577596629</v>
      </c>
      <c r="AD11" s="175"/>
      <c r="AE11" s="157">
        <v>1</v>
      </c>
      <c r="AF11" s="158">
        <f>_xll.qlCalendarEndOfMonth(Calendar,Settlementdate,Trigger)</f>
        <v>42369</v>
      </c>
      <c r="AG11" s="157" t="str">
        <f t="shared" ref="AG11:AG23" si="9">Currency&amp;$AG$9&amp;AE11&amp;JumpSuffix&amp;QuoteSuffix</f>
        <v>AUDJump1_SYNTHON_Quote</v>
      </c>
      <c r="AH11" s="179">
        <f>_xll.qlDayCounterYearFraction("actual/360",AF11,_xll.qlCalendarAdvance(Calendar,AF11,"1D",,,Trigger))</f>
        <v>1.1111111111111112E-2</v>
      </c>
      <c r="AI11" s="159" t="e">
        <f>IF(_xll.qlQuoteIsValid(AG11,Trigger),_xll.qlQuoteValue(AG11,Trigger),1)</f>
        <v>#NUM!</v>
      </c>
      <c r="AJ11" s="182" t="e">
        <f>-LN(AI11)/AH11</f>
        <v>#NUM!</v>
      </c>
      <c r="AK11" s="160"/>
      <c r="AL11" s="159" t="str">
        <f>IF(ISBLANK(AK11),AG11,EXP(-AK11*AH11))</f>
        <v>AUDJump1_SYNTHON_Quote</v>
      </c>
    </row>
    <row r="12" spans="1:38" ht="11.25" customHeight="1" x14ac:dyDescent="0.2">
      <c r="A12" s="1" t="s">
        <v>26</v>
      </c>
      <c r="B12" s="8" t="s">
        <v>3</v>
      </c>
      <c r="C12" s="9" t="str">
        <f t="shared" si="6"/>
        <v>6M</v>
      </c>
      <c r="D12" s="123"/>
      <c r="E12" s="123"/>
      <c r="F12" s="123"/>
      <c r="G12" s="7" t="str">
        <f t="shared" si="5"/>
        <v>AudBBSW6M</v>
      </c>
      <c r="H12" s="121" t="str">
        <f t="shared" si="0"/>
        <v>AUD6MD_SYNTH6M_Quote</v>
      </c>
      <c r="I12" s="123"/>
      <c r="J12" s="3" t="str">
        <f>_xll.qlDepositRateHelper(,H12,G12,Permanent,Trigger,ObjectOverwrite)</f>
        <v>obj_0026f#0001</v>
      </c>
      <c r="K12" s="51" t="s">
        <v>35</v>
      </c>
      <c r="L12" s="11" t="str">
        <f t="shared" si="7"/>
        <v>Dp</v>
      </c>
      <c r="M12" s="99" t="str">
        <f t="shared" si="8"/>
        <v>obj_0026f#0001</v>
      </c>
      <c r="N12" s="145" t="str">
        <f>IFERROR(_xll.qlRateHelperQuoteName(M12,Trigger),"--")</f>
        <v>AUD6MD_SYNTH6M_Quote</v>
      </c>
      <c r="O12" s="105">
        <f>IFERROR(_xll.qlRateHelperQuoteValue($M12,Trigger),"--")</f>
        <v>2.4056999999999999E-2</v>
      </c>
      <c r="P12" s="142" t="b">
        <v>1</v>
      </c>
      <c r="Q12" s="99">
        <v>10</v>
      </c>
      <c r="R12" s="99">
        <v>1</v>
      </c>
      <c r="S12" s="106">
        <f>IFERROR(_xll.qlRateHelperEarliestDate(M12,Trigger),"--")</f>
        <v>42355</v>
      </c>
      <c r="T12" s="106">
        <f>IFERROR(_xll.qlRateHelperPillarDate(M12,Trigger),"--")</f>
        <v>42538</v>
      </c>
      <c r="V12" s="4" t="str">
        <f t="shared" si="1"/>
        <v>Dp</v>
      </c>
      <c r="W12" s="4" t="str">
        <v>obj_0026f</v>
      </c>
      <c r="X12" s="4" t="str">
        <f>IFERROR(_xll.qlRateHelperQuoteName(W12,Trigger),"")</f>
        <v>AUD6MD_SYNTH6M_Quote</v>
      </c>
      <c r="Y12" s="73">
        <f>IFERROR(_xll.qlRateHelperRate(W12,Trigger),"")</f>
        <v>2.4056999999999999E-2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42355</v>
      </c>
      <c r="AB12" s="5">
        <f>IFERROR(_xll.qlRateHelperPillarDate(W12,Trigger),"")</f>
        <v>42538</v>
      </c>
      <c r="AC12" s="81">
        <v>0.98808229012439819</v>
      </c>
      <c r="AD12" s="175"/>
      <c r="AE12" s="161">
        <v>2</v>
      </c>
      <c r="AF12" s="162">
        <f>_xll.qlCalendarEndOfMonth(Calendar,_xll.qlCalendarAdvance(Calendar,AF11,"1m","mf",TRUE),Trigger)</f>
        <v>42398</v>
      </c>
      <c r="AG12" s="161" t="str">
        <f t="shared" si="9"/>
        <v>AUDJump2_SYNTHON_Quote</v>
      </c>
      <c r="AH12" s="180">
        <f>_xll.qlDayCounterYearFraction("actual/360",AF12,_xll.qlCalendarAdvance(Calendar,AF12,"1D",,,Trigger))</f>
        <v>8.3333333333333332E-3</v>
      </c>
      <c r="AI12" s="163" t="e">
        <f>IF(_xll.qlQuoteIsValid(AG12,Trigger),_xll.qlQuoteValue(AG12,Trigger),1)</f>
        <v>#NUM!</v>
      </c>
      <c r="AJ12" s="183" t="e">
        <f t="shared" ref="AJ12:AJ23" si="10">-LN(AI12)/AH12</f>
        <v>#NUM!</v>
      </c>
      <c r="AK12" s="164"/>
      <c r="AL12" s="163" t="str">
        <f t="shared" ref="AL12:AL23" si="11">IF(ISBLANK(AK12),AG12,EXP(-AK12*AH12))</f>
        <v>AUDJump2_SYNTHON_Quote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0" t="str">
        <f>IF(ISBLANK(J15),"--",J15)</f>
        <v>qlFraRateHelper(,H15,B15&amp;"M",G15,PillarDate,,Permanent,Trigger,ObjectOverwrite)</v>
      </c>
      <c r="N13" s="143" t="str">
        <f>IFERROR(_xll.qlRateHelperQuoteName(M13,Trigger),"--")</f>
        <v>--</v>
      </c>
      <c r="O13" s="132" t="str">
        <f>IFERROR(_xll.qlRateHelperQuoteValue($M13,Trigger),"--")</f>
        <v>--</v>
      </c>
      <c r="P13" s="135" t="b">
        <v>0</v>
      </c>
      <c r="Q13" s="130">
        <v>20</v>
      </c>
      <c r="R13" s="130">
        <v>1</v>
      </c>
      <c r="S13" s="133" t="str">
        <f>IFERROR(_xll.qlRateHelperEarliestDate(M13,Trigger),"--")</f>
        <v>--</v>
      </c>
      <c r="T13" s="133" t="str">
        <f>IFERROR(_xll.qlRateHelperPillarDate(M13,Trigger),"--")</f>
        <v>--</v>
      </c>
      <c r="V13" s="4" t="str">
        <f t="shared" si="1"/>
        <v>BasSw</v>
      </c>
      <c r="W13" s="4" t="str">
        <v>obj_00233</v>
      </c>
      <c r="X13" s="4" t="str">
        <f>IFERROR(_xll.qlRateHelperQuoteName(W13,Trigger),"")</f>
        <v>AUDQM3AB1Y_S3BR6BR_Quote</v>
      </c>
      <c r="Y13" s="73">
        <f>IFERROR(_xll.qlRateHelperRate(W13,Trigger),"")</f>
        <v>2.3688867495138034E-2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42356</v>
      </c>
      <c r="AB13" s="5">
        <f>IFERROR(_xll.qlRateHelperPillarDate(W13,Trigger),"")</f>
        <v>42723</v>
      </c>
      <c r="AC13" s="81">
        <v>0.97648296547459168</v>
      </c>
      <c r="AD13" s="175"/>
      <c r="AE13" s="161">
        <v>3</v>
      </c>
      <c r="AF13" s="162">
        <f>_xll.qlCalendarEndOfMonth(Calendar,_xll.qlCalendarAdvance(Calendar,AF12,"1m","mf",TRUE),Trigger)</f>
        <v>42429</v>
      </c>
      <c r="AG13" s="161" t="str">
        <f t="shared" si="9"/>
        <v>AUDJump3_SYNTHON_Quote</v>
      </c>
      <c r="AH13" s="180">
        <f>_xll.qlDayCounterYearFraction("actual/360",AF13,_xll.qlCalendarAdvance(Calendar,AF13,"1D",,,Trigger))</f>
        <v>2.7777777777777779E-3</v>
      </c>
      <c r="AI13" s="163" t="e">
        <f>IF(_xll.qlQuoteIsValid(AG13,Trigger),_xll.qlQuoteValue(AG13,Trigger),1)</f>
        <v>#NUM!</v>
      </c>
      <c r="AJ13" s="183" t="e">
        <f t="shared" si="10"/>
        <v>#NUM!</v>
      </c>
      <c r="AK13" s="164"/>
      <c r="AL13" s="163" t="str">
        <f t="shared" si="11"/>
        <v>AUDJump3_SYNTHON_Quote</v>
      </c>
    </row>
    <row r="14" spans="1:38" ht="11.25" customHeight="1" x14ac:dyDescent="0.2">
      <c r="A14" s="68" t="s">
        <v>8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24</v>
      </c>
      <c r="K14" s="51"/>
      <c r="L14" s="10" t="str">
        <f t="shared" ref="L14:L21" si="12">A16</f>
        <v>FRA</v>
      </c>
      <c r="M14" s="98" t="str">
        <f t="shared" ref="M14:M21" si="13">IF(ISBLANK(J16),"--",J16)</f>
        <v>--</v>
      </c>
      <c r="N14" s="144" t="str">
        <f>IFERROR(_xll.qlRateHelperQuoteName(M14,Trigger),"--")</f>
        <v>--</v>
      </c>
      <c r="O14" s="102" t="str">
        <f>IFERROR(_xll.qlRateHelperQuoteValue($M14,Trigger),"--")</f>
        <v>--</v>
      </c>
      <c r="P14" s="139" t="b">
        <v>0</v>
      </c>
      <c r="Q14" s="98">
        <v>20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1"/>
        <v>BasSw</v>
      </c>
      <c r="W14" s="4" t="str">
        <v>obj_00239</v>
      </c>
      <c r="X14" s="4" t="str">
        <f>IFERROR(_xll.qlRateHelperQuoteName(W14,Trigger),"")</f>
        <v>AUDQM3AB2Y_S3BR6BR_Quote</v>
      </c>
      <c r="Y14" s="73">
        <f>IFERROR(_xll.qlRateHelperRate(W14,Trigger),"")</f>
        <v>2.3460577241291594E-2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42356</v>
      </c>
      <c r="AB14" s="5">
        <f>IFERROR(_xll.qlRateHelperPillarDate(W14,Trigger),"")</f>
        <v>43087</v>
      </c>
      <c r="AC14" s="81">
        <v>0.95419842616463146</v>
      </c>
      <c r="AD14" s="175"/>
      <c r="AE14" s="161">
        <v>4</v>
      </c>
      <c r="AF14" s="162">
        <f>_xll.qlCalendarEndOfMonth(Calendar,_xll.qlCalendarAdvance(Calendar,AF13,"1m","mf",TRUE),Trigger)</f>
        <v>42460</v>
      </c>
      <c r="AG14" s="161" t="str">
        <f t="shared" si="9"/>
        <v>AUDJump4_SYNTHON_Quote</v>
      </c>
      <c r="AH14" s="180">
        <f>_xll.qlDayCounterYearFraction("actual/360",AF14,_xll.qlCalendarAdvance(Calendar,AF14,"1D",,,Trigger))</f>
        <v>2.7777777777777779E-3</v>
      </c>
      <c r="AI14" s="163" t="e">
        <f>IF(_xll.qlQuoteIsValid(AG14,Trigger),_xll.qlQuoteValue(AG14,Trigger),1)</f>
        <v>#NUM!</v>
      </c>
      <c r="AJ14" s="183" t="e">
        <f t="shared" si="10"/>
        <v>#NUM!</v>
      </c>
      <c r="AK14" s="164"/>
      <c r="AL14" s="163" t="str">
        <f t="shared" si="11"/>
        <v>AUDJump4_SYNTHON_Quote</v>
      </c>
    </row>
    <row r="15" spans="1:38" ht="11.25" customHeight="1" x14ac:dyDescent="0.2">
      <c r="A15" s="56" t="s">
        <v>97</v>
      </c>
      <c r="B15" s="114">
        <v>1</v>
      </c>
      <c r="C15" s="59" t="str">
        <f t="shared" ref="C15:C23" si="14">"x"&amp;B15+SUBSTITUTE($G$1,"M","")&amp;"F"</f>
        <v>x7F</v>
      </c>
      <c r="D15" s="128"/>
      <c r="E15" s="128"/>
      <c r="F15" s="128"/>
      <c r="G15" s="58" t="str">
        <f t="shared" ref="G15:G23" si="15">PROPER(Currency)&amp;FamilyName&amp;$G$1</f>
        <v>AudBBSW6M</v>
      </c>
      <c r="H15" s="117" t="str">
        <f t="shared" ref="H15:H23" si="16">Currency&amp;B15&amp;C15&amp;QuoteSuffix</f>
        <v>AUD1x7F_Quote</v>
      </c>
      <c r="I15" s="128"/>
      <c r="J15" s="61" t="s">
        <v>167</v>
      </c>
      <c r="K15" s="51"/>
      <c r="L15" s="10" t="str">
        <f t="shared" si="12"/>
        <v>FRA</v>
      </c>
      <c r="M15" s="98" t="str">
        <f t="shared" si="13"/>
        <v>--</v>
      </c>
      <c r="N15" s="144" t="str">
        <f>IFERROR(_xll.qlRateHelperQuoteName(M15,Trigger),"--")</f>
        <v>--</v>
      </c>
      <c r="O15" s="102" t="str">
        <f>IFERROR(_xll.qlRateHelperQuoteValue($M15,Trigger),"--")</f>
        <v>--</v>
      </c>
      <c r="P15" s="139" t="b">
        <v>0</v>
      </c>
      <c r="Q15" s="98">
        <v>20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1"/>
        <v>BasSw</v>
      </c>
      <c r="W15" s="4" t="str">
        <v>obj_00248</v>
      </c>
      <c r="X15" s="4" t="str">
        <f>IFERROR(_xll.qlRateHelperQuoteName(W15,Trigger),"")</f>
        <v>AUDQM3AB3Y_S3BR6BR_Quote</v>
      </c>
      <c r="Y15" s="73">
        <f>IFERROR(_xll.qlRateHelperRate(W15,Trigger),"")</f>
        <v>2.4055597227684355E-2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42356</v>
      </c>
      <c r="AB15" s="5">
        <f>IFERROR(_xll.qlRateHelperPillarDate(W15,Trigger),"")</f>
        <v>43452</v>
      </c>
      <c r="AC15" s="81">
        <v>0.93045567020475228</v>
      </c>
      <c r="AD15" s="175"/>
      <c r="AE15" s="161">
        <v>5</v>
      </c>
      <c r="AF15" s="162">
        <f>_xll.qlCalendarEndOfMonth(Calendar,_xll.qlCalendarAdvance(Calendar,AF14,"1m","mf",TRUE),Trigger)</f>
        <v>42489</v>
      </c>
      <c r="AG15" s="161" t="str">
        <f t="shared" si="9"/>
        <v>AUDJump5_SYNTHON_Quote</v>
      </c>
      <c r="AH15" s="180">
        <f>_xll.qlDayCounterYearFraction("actual/360",AF15,_xll.qlCalendarAdvance(Calendar,AF15,"1D",,,Trigger))</f>
        <v>8.3333333333333332E-3</v>
      </c>
      <c r="AI15" s="163" t="e">
        <f>IF(_xll.qlQuoteIsValid(AG15,Trigger),_xll.qlQuoteValue(AG15,Trigger),1)</f>
        <v>#NUM!</v>
      </c>
      <c r="AJ15" s="183" t="e">
        <f t="shared" si="10"/>
        <v>#NUM!</v>
      </c>
      <c r="AK15" s="164"/>
      <c r="AL15" s="163" t="str">
        <f t="shared" si="11"/>
        <v>AUDJump5_SYNTHON_Quote</v>
      </c>
    </row>
    <row r="16" spans="1:38" ht="11.25" customHeight="1" x14ac:dyDescent="0.2">
      <c r="A16" s="62" t="s">
        <v>97</v>
      </c>
      <c r="B16" s="115">
        <v>2</v>
      </c>
      <c r="C16" s="65" t="str">
        <f t="shared" si="14"/>
        <v>x8F</v>
      </c>
      <c r="D16" s="122"/>
      <c r="E16" s="122"/>
      <c r="F16" s="122"/>
      <c r="G16" s="64" t="str">
        <f t="shared" si="15"/>
        <v>AudBBSW6M</v>
      </c>
      <c r="H16" s="118" t="str">
        <f t="shared" si="16"/>
        <v>AUD2x8F_Quote</v>
      </c>
      <c r="I16" s="122"/>
      <c r="J16" s="67"/>
      <c r="K16" s="51"/>
      <c r="L16" s="10" t="str">
        <f t="shared" si="12"/>
        <v>FRA</v>
      </c>
      <c r="M16" s="98" t="str">
        <f t="shared" si="13"/>
        <v>--</v>
      </c>
      <c r="N16" s="144" t="str">
        <f>IFERROR(_xll.qlRateHelperQuoteName(M16,Trigger),"--")</f>
        <v>--</v>
      </c>
      <c r="O16" s="102" t="str">
        <f>IFERROR(_xll.qlRateHelperQuoteValue($M16,Trigger),"--")</f>
        <v>--</v>
      </c>
      <c r="P16" s="139" t="b">
        <v>0</v>
      </c>
      <c r="Q16" s="98">
        <v>20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1"/>
        <v>Sw</v>
      </c>
      <c r="W16" s="4" t="str">
        <v>obj_0025a</v>
      </c>
      <c r="X16" s="4" t="str">
        <f>IFERROR(_xll.qlRateHelperQuoteName(W16,Trigger),"")</f>
        <v>AUDSM6AB4Y_Quote</v>
      </c>
      <c r="Y16" s="73">
        <f>IFERROR(_xll.qlRateHelperRate(W16,Trigger),"")</f>
        <v>2.48875E-2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42356</v>
      </c>
      <c r="AB16" s="5">
        <f>IFERROR(_xll.qlRateHelperPillarDate(W16,Trigger),"")</f>
        <v>43817</v>
      </c>
      <c r="AC16" s="81">
        <v>0.90555303564388256</v>
      </c>
      <c r="AD16" s="175"/>
      <c r="AE16" s="161">
        <v>6</v>
      </c>
      <c r="AF16" s="162">
        <f>_xll.qlCalendarEndOfMonth(Calendar,_xll.qlCalendarAdvance(Calendar,AF15,"1m","mf",TRUE),Trigger)</f>
        <v>42521</v>
      </c>
      <c r="AG16" s="161" t="str">
        <f t="shared" si="9"/>
        <v>AUDJump6_SYNTHON_Quote</v>
      </c>
      <c r="AH16" s="180">
        <f>_xll.qlDayCounterYearFraction("actual/360",AF16,_xll.qlCalendarAdvance(Calendar,AF16,"1D",,,Trigger))</f>
        <v>2.7777777777777779E-3</v>
      </c>
      <c r="AI16" s="163" t="e">
        <f>IF(_xll.qlQuoteIsValid(AG16,Trigger),_xll.qlQuoteValue(AG16,Trigger),1)</f>
        <v>#NUM!</v>
      </c>
      <c r="AJ16" s="183" t="e">
        <f t="shared" si="10"/>
        <v>#NUM!</v>
      </c>
      <c r="AK16" s="164"/>
      <c r="AL16" s="163" t="str">
        <f t="shared" si="11"/>
        <v>AUDJump6_SYNTHON_Quote</v>
      </c>
    </row>
    <row r="17" spans="1:38" ht="11.25" customHeight="1" x14ac:dyDescent="0.2">
      <c r="A17" s="62" t="s">
        <v>97</v>
      </c>
      <c r="B17" s="115">
        <v>3</v>
      </c>
      <c r="C17" s="65" t="str">
        <f t="shared" si="14"/>
        <v>x9F</v>
      </c>
      <c r="D17" s="122"/>
      <c r="E17" s="122"/>
      <c r="F17" s="122"/>
      <c r="G17" s="64" t="str">
        <f t="shared" si="15"/>
        <v>AudBBSW6M</v>
      </c>
      <c r="H17" s="118" t="str">
        <f t="shared" si="16"/>
        <v>AUD3x9F_Quote</v>
      </c>
      <c r="I17" s="122"/>
      <c r="J17" s="67"/>
      <c r="K17" s="51"/>
      <c r="L17" s="10" t="str">
        <f t="shared" si="12"/>
        <v>FRA</v>
      </c>
      <c r="M17" s="98" t="str">
        <f t="shared" si="13"/>
        <v>--</v>
      </c>
      <c r="N17" s="144" t="str">
        <f>IFERROR(_xll.qlRateHelperQuoteName(M17,Trigger),"--")</f>
        <v>--</v>
      </c>
      <c r="O17" s="102" t="str">
        <f>IFERROR(_xll.qlRateHelperQuoteValue($M17,Trigger),"--")</f>
        <v>--</v>
      </c>
      <c r="P17" s="139" t="b">
        <v>0</v>
      </c>
      <c r="Q17" s="98">
        <v>20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1"/>
        <v>Sw</v>
      </c>
      <c r="W17" s="4" t="str">
        <v>obj_00255</v>
      </c>
      <c r="X17" s="4" t="str">
        <f>IFERROR(_xll.qlRateHelperQuoteName(W17,Trigger),"")</f>
        <v>AUDSM6AB5Y_Quote</v>
      </c>
      <c r="Y17" s="73">
        <f>IFERROR(_xll.qlRateHelperRate(W17,Trigger),"")</f>
        <v>2.5975000000000002E-2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42356</v>
      </c>
      <c r="AB17" s="5">
        <f>IFERROR(_xll.qlRateHelperPillarDate(W17,Trigger),"")</f>
        <v>44183</v>
      </c>
      <c r="AC17" s="81">
        <v>0.87840160703737702</v>
      </c>
      <c r="AD17" s="175"/>
      <c r="AE17" s="161">
        <v>7</v>
      </c>
      <c r="AF17" s="162">
        <f>_xll.qlCalendarEndOfMonth(Calendar,_xll.qlCalendarAdvance(Calendar,AF16,"1m","mf",TRUE),Trigger)</f>
        <v>42551</v>
      </c>
      <c r="AG17" s="161" t="str">
        <f t="shared" si="9"/>
        <v>AUDJump7_SYNTHON_Quote</v>
      </c>
      <c r="AH17" s="180">
        <f>_xll.qlDayCounterYearFraction("actual/360",AF17,_xll.qlCalendarAdvance(Calendar,AF17,"1D",,,Trigger))</f>
        <v>2.7777777777777779E-3</v>
      </c>
      <c r="AI17" s="163" t="e">
        <f>IF(_xll.qlQuoteIsValid(AG17,Trigger),_xll.qlQuoteValue(AG17,Trigger),1)</f>
        <v>#NUM!</v>
      </c>
      <c r="AJ17" s="183" t="e">
        <f t="shared" si="10"/>
        <v>#NUM!</v>
      </c>
      <c r="AK17" s="164"/>
      <c r="AL17" s="163" t="str">
        <f t="shared" si="11"/>
        <v>AUDJump7_SYNTHON_Quote</v>
      </c>
    </row>
    <row r="18" spans="1:38" ht="11.25" customHeight="1" x14ac:dyDescent="0.2">
      <c r="A18" s="62" t="s">
        <v>97</v>
      </c>
      <c r="B18" s="115">
        <v>4</v>
      </c>
      <c r="C18" s="65" t="str">
        <f t="shared" si="14"/>
        <v>x10F</v>
      </c>
      <c r="D18" s="122"/>
      <c r="E18" s="122"/>
      <c r="F18" s="122"/>
      <c r="G18" s="64" t="str">
        <f t="shared" si="15"/>
        <v>AudBBSW6M</v>
      </c>
      <c r="H18" s="118" t="str">
        <f t="shared" si="16"/>
        <v>AUD4x10F_Quote</v>
      </c>
      <c r="I18" s="122"/>
      <c r="J18" s="67"/>
      <c r="K18" s="51"/>
      <c r="L18" s="10" t="str">
        <f t="shared" si="12"/>
        <v>FRA</v>
      </c>
      <c r="M18" s="98" t="str">
        <f t="shared" si="13"/>
        <v>--</v>
      </c>
      <c r="N18" s="144" t="str">
        <f>IFERROR(_xll.qlRateHelperQuoteName(M18,Trigger),"--")</f>
        <v>--</v>
      </c>
      <c r="O18" s="102" t="str">
        <f>IFERROR(_xll.qlRateHelperQuoteValue($M18,Trigger),"--")</f>
        <v>--</v>
      </c>
      <c r="P18" s="139" t="b">
        <v>0</v>
      </c>
      <c r="Q18" s="98">
        <v>20</v>
      </c>
      <c r="R18" s="98">
        <v>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 t="shared" si="1"/>
        <v>Sw</v>
      </c>
      <c r="W18" s="4" t="str">
        <v>obj_0024e</v>
      </c>
      <c r="X18" s="4" t="str">
        <f>IFERROR(_xll.qlRateHelperQuoteName(W18,Trigger),"")</f>
        <v>AUDSM6AB6Y_Quote</v>
      </c>
      <c r="Y18" s="73">
        <f>IFERROR(_xll.qlRateHelperRate(W18,Trigger),"")</f>
        <v>2.7037500000000003E-2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42356</v>
      </c>
      <c r="AB18" s="5">
        <f>IFERROR(_xll.qlRateHelperPillarDate(W18,Trigger),"")</f>
        <v>44550</v>
      </c>
      <c r="AC18" s="81">
        <v>0.85016781589840484</v>
      </c>
      <c r="AD18" s="175"/>
      <c r="AE18" s="161">
        <v>8</v>
      </c>
      <c r="AF18" s="162">
        <f>_xll.qlCalendarEndOfMonth(Calendar,_xll.qlCalendarAdvance(Calendar,AF17,"1m","mf",TRUE),Trigger)</f>
        <v>42580</v>
      </c>
      <c r="AG18" s="161" t="str">
        <f t="shared" si="9"/>
        <v>AUDJump8_SYNTHON_Quote</v>
      </c>
      <c r="AH18" s="180">
        <f>_xll.qlDayCounterYearFraction("actual/360",AF18,_xll.qlCalendarAdvance(Calendar,AF18,"1D",,,Trigger))</f>
        <v>1.1111111111111112E-2</v>
      </c>
      <c r="AI18" s="163" t="e">
        <f>IF(_xll.qlQuoteIsValid(AG18,Trigger),_xll.qlQuoteValue(AG18,Trigger),1)</f>
        <v>#NUM!</v>
      </c>
      <c r="AJ18" s="183" t="e">
        <f t="shared" si="10"/>
        <v>#NUM!</v>
      </c>
      <c r="AK18" s="164"/>
      <c r="AL18" s="163" t="str">
        <f t="shared" si="11"/>
        <v>AUDJump8_SYNTHON_Quote</v>
      </c>
    </row>
    <row r="19" spans="1:38" ht="11.25" customHeight="1" x14ac:dyDescent="0.2">
      <c r="A19" s="62" t="s">
        <v>97</v>
      </c>
      <c r="B19" s="115">
        <v>5</v>
      </c>
      <c r="C19" s="65" t="str">
        <f t="shared" si="14"/>
        <v>x11F</v>
      </c>
      <c r="D19" s="122"/>
      <c r="E19" s="122"/>
      <c r="F19" s="122"/>
      <c r="G19" s="64" t="str">
        <f t="shared" si="15"/>
        <v>AudBBSW6M</v>
      </c>
      <c r="H19" s="118" t="str">
        <f t="shared" si="16"/>
        <v>AUD5x11F_Quote</v>
      </c>
      <c r="I19" s="122"/>
      <c r="J19" s="67"/>
      <c r="K19" s="51"/>
      <c r="L19" s="10" t="str">
        <f t="shared" si="12"/>
        <v>FRA</v>
      </c>
      <c r="M19" s="98" t="str">
        <f t="shared" si="13"/>
        <v>--</v>
      </c>
      <c r="N19" s="144" t="str">
        <f>IFERROR(_xll.qlRateHelperQuoteName(M19,Trigger),"--")</f>
        <v>--</v>
      </c>
      <c r="O19" s="102" t="str">
        <f>IFERROR(_xll.qlRateHelperQuoteValue($M19,Trigger),"--")</f>
        <v>--</v>
      </c>
      <c r="P19" s="139" t="b">
        <v>0</v>
      </c>
      <c r="Q19" s="98">
        <v>20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Sw</v>
      </c>
      <c r="W19" s="4" t="str">
        <v>obj_00258</v>
      </c>
      <c r="X19" s="4" t="str">
        <f>IFERROR(_xll.qlRateHelperQuoteName(W19,Trigger),"")</f>
        <v>AUDSM6AB7Y_Quote</v>
      </c>
      <c r="Y19" s="73">
        <f>IFERROR(_xll.qlRateHelperRate(W19,Trigger),"")</f>
        <v>2.7999999999999997E-2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42356</v>
      </c>
      <c r="AB19" s="5">
        <f>IFERROR(_xll.qlRateHelperPillarDate(W19,Trigger),"")</f>
        <v>44914</v>
      </c>
      <c r="AC19" s="81">
        <v>0.8217383007054998</v>
      </c>
      <c r="AD19" s="175"/>
      <c r="AE19" s="161">
        <v>9</v>
      </c>
      <c r="AF19" s="162">
        <f>_xll.qlCalendarEndOfMonth(Calendar,_xll.qlCalendarAdvance(Calendar,AF18,"1m","mf",TRUE),Trigger)</f>
        <v>42613</v>
      </c>
      <c r="AG19" s="161" t="str">
        <f t="shared" si="9"/>
        <v>AUDJump9_SYNTHON_Quote</v>
      </c>
      <c r="AH19" s="180">
        <f>_xll.qlDayCounterYearFraction("actual/360",AF19,_xll.qlCalendarAdvance(Calendar,AF19,"1D",,,Trigger))</f>
        <v>2.7777777777777779E-3</v>
      </c>
      <c r="AI19" s="163" t="e">
        <f>IF(_xll.qlQuoteIsValid(AG19,Trigger),_xll.qlQuoteValue(AG19,Trigger),1)</f>
        <v>#NUM!</v>
      </c>
      <c r="AJ19" s="183" t="e">
        <f t="shared" si="10"/>
        <v>#NUM!</v>
      </c>
      <c r="AK19" s="164"/>
      <c r="AL19" s="163" t="str">
        <f t="shared" si="11"/>
        <v>AUDJump9_SYNTHON_Quote</v>
      </c>
    </row>
    <row r="20" spans="1:38" ht="11.25" customHeight="1" x14ac:dyDescent="0.2">
      <c r="A20" s="62" t="s">
        <v>97</v>
      </c>
      <c r="B20" s="115">
        <v>6</v>
      </c>
      <c r="C20" s="65" t="str">
        <f t="shared" si="14"/>
        <v>x12F</v>
      </c>
      <c r="D20" s="122"/>
      <c r="E20" s="122"/>
      <c r="F20" s="122"/>
      <c r="G20" s="64" t="str">
        <f t="shared" si="15"/>
        <v>AudBBSW6M</v>
      </c>
      <c r="H20" s="118" t="str">
        <f t="shared" si="16"/>
        <v>AUD6x12F_Quote</v>
      </c>
      <c r="I20" s="122"/>
      <c r="J20" s="67"/>
      <c r="K20" s="51"/>
      <c r="L20" s="10" t="str">
        <f t="shared" si="12"/>
        <v>FRA</v>
      </c>
      <c r="M20" s="98" t="str">
        <f t="shared" si="13"/>
        <v>--</v>
      </c>
      <c r="N20" s="144" t="str">
        <f>IFERROR(_xll.qlRateHelperQuoteName(M20,Trigger),"--")</f>
        <v>--</v>
      </c>
      <c r="O20" s="102" t="str">
        <f>IFERROR(_xll.qlRateHelperQuoteValue($M20,Trigger),"--")</f>
        <v>--</v>
      </c>
      <c r="P20" s="139" t="b">
        <v>0</v>
      </c>
      <c r="Q20" s="98">
        <v>20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Sw</v>
      </c>
      <c r="W20" s="4" t="str">
        <v>obj_00253</v>
      </c>
      <c r="X20" s="4" t="str">
        <f>IFERROR(_xll.qlRateHelperQuoteName(W20,Trigger),"")</f>
        <v>AUDSM6AB8Y_Quote</v>
      </c>
      <c r="Y20" s="73">
        <f>IFERROR(_xll.qlRateHelperRate(W20,Trigger),"")</f>
        <v>2.8875000000000001E-2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42356</v>
      </c>
      <c r="AB20" s="5">
        <f>IFERROR(_xll.qlRateHelperPillarDate(W20,Trigger),"")</f>
        <v>45278</v>
      </c>
      <c r="AC20" s="81">
        <v>0.79318278505449402</v>
      </c>
      <c r="AD20" s="175"/>
      <c r="AE20" s="161">
        <v>10</v>
      </c>
      <c r="AF20" s="162">
        <f>_xll.qlCalendarEndOfMonth(Calendar,_xll.qlCalendarAdvance(Calendar,AF19,"1m","mf",TRUE),Trigger)</f>
        <v>42643</v>
      </c>
      <c r="AG20" s="161" t="str">
        <f t="shared" si="9"/>
        <v>AUDJump10_SYNTHON_Quote</v>
      </c>
      <c r="AH20" s="180">
        <f>_xll.qlDayCounterYearFraction("actual/360",AF20,_xll.qlCalendarAdvance(Calendar,AF20,"1D",,,Trigger))</f>
        <v>1.1111111111111112E-2</v>
      </c>
      <c r="AI20" s="163" t="e">
        <f>IF(_xll.qlQuoteIsValid(AG20,Trigger),_xll.qlQuoteValue(AG20,Trigger),1)</f>
        <v>#NUM!</v>
      </c>
      <c r="AJ20" s="183" t="e">
        <f t="shared" si="10"/>
        <v>#NUM!</v>
      </c>
      <c r="AK20" s="164"/>
      <c r="AL20" s="163" t="str">
        <f t="shared" si="11"/>
        <v>AUDJump10_SYNTHON_Quote</v>
      </c>
    </row>
    <row r="21" spans="1:38" ht="11.25" customHeight="1" x14ac:dyDescent="0.2">
      <c r="A21" s="62" t="s">
        <v>97</v>
      </c>
      <c r="B21" s="115">
        <v>9</v>
      </c>
      <c r="C21" s="65" t="str">
        <f t="shared" si="14"/>
        <v>x15F</v>
      </c>
      <c r="D21" s="122"/>
      <c r="E21" s="122"/>
      <c r="F21" s="122"/>
      <c r="G21" s="64" t="str">
        <f t="shared" si="15"/>
        <v>AudBBSW6M</v>
      </c>
      <c r="H21" s="118" t="str">
        <f t="shared" si="16"/>
        <v>AUD9x15F_Quote</v>
      </c>
      <c r="I21" s="122"/>
      <c r="J21" s="67"/>
      <c r="K21" s="51"/>
      <c r="L21" s="11" t="str">
        <f t="shared" si="12"/>
        <v>FRA</v>
      </c>
      <c r="M21" s="99" t="str">
        <f t="shared" si="13"/>
        <v>--</v>
      </c>
      <c r="N21" s="145" t="str">
        <f>IFERROR(_xll.qlRateHelperQuoteName(M21,Trigger),"--")</f>
        <v>--</v>
      </c>
      <c r="O21" s="105" t="str">
        <f>IFERROR(_xll.qlRateHelperQuoteValue($M21,Trigger),"--")</f>
        <v>--</v>
      </c>
      <c r="P21" s="142" t="b">
        <v>0</v>
      </c>
      <c r="Q21" s="99">
        <v>20</v>
      </c>
      <c r="R21" s="99">
        <v>1</v>
      </c>
      <c r="S21" s="106" t="str">
        <f>IFERROR(_xll.qlRateHelperEarliestDate(M21,Trigger),"--")</f>
        <v>--</v>
      </c>
      <c r="T21" s="106" t="str">
        <f>IFERROR(_xll.qlRateHelperPillarDate(M21,Trigger),"--")</f>
        <v>--</v>
      </c>
      <c r="V21" s="4" t="str">
        <f t="shared" si="1"/>
        <v>Sw</v>
      </c>
      <c r="W21" s="4" t="str">
        <v>obj_0024f</v>
      </c>
      <c r="X21" s="4" t="str">
        <f>IFERROR(_xll.qlRateHelperQuoteName(W21,Trigger),"")</f>
        <v>AUDSM6AB9Y_Quote</v>
      </c>
      <c r="Y21" s="73">
        <f>IFERROR(_xll.qlRateHelperRate(W21,Trigger),"")</f>
        <v>2.9637500000000001E-2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42356</v>
      </c>
      <c r="AB21" s="5">
        <f>IFERROR(_xll.qlRateHelperPillarDate(W21,Trigger),"")</f>
        <v>45644</v>
      </c>
      <c r="AC21" s="81">
        <v>0.76484883774325807</v>
      </c>
      <c r="AD21" s="175"/>
      <c r="AE21" s="161">
        <v>11</v>
      </c>
      <c r="AF21" s="162">
        <f>_xll.qlCalendarEndOfMonth(Calendar,_xll.qlCalendarAdvance(Calendar,AF20,"1m","mf",TRUE),Trigger)</f>
        <v>42674</v>
      </c>
      <c r="AG21" s="161" t="str">
        <f t="shared" si="9"/>
        <v>AUDJump11_SYNTHON_Quote</v>
      </c>
      <c r="AH21" s="180">
        <f>_xll.qlDayCounterYearFraction("actual/360",AF21,_xll.qlCalendarAdvance(Calendar,AF21,"1D",,,Trigger))</f>
        <v>2.7777777777777779E-3</v>
      </c>
      <c r="AI21" s="163" t="e">
        <f>IF(_xll.qlQuoteIsValid(AG21,Trigger),_xll.qlQuoteValue(AG21,Trigger),1)</f>
        <v>#NUM!</v>
      </c>
      <c r="AJ21" s="183" t="e">
        <f t="shared" si="10"/>
        <v>#NUM!</v>
      </c>
      <c r="AK21" s="164"/>
      <c r="AL21" s="163" t="str">
        <f t="shared" si="11"/>
        <v>AUDJump11_SYNTHON_Quote</v>
      </c>
    </row>
    <row r="22" spans="1:38" ht="11.25" customHeight="1" x14ac:dyDescent="0.2">
      <c r="A22" s="62" t="s">
        <v>97</v>
      </c>
      <c r="B22" s="115">
        <v>12</v>
      </c>
      <c r="C22" s="65" t="str">
        <f t="shared" si="14"/>
        <v>x18F</v>
      </c>
      <c r="D22" s="122"/>
      <c r="E22" s="122"/>
      <c r="F22" s="122"/>
      <c r="G22" s="64" t="str">
        <f t="shared" si="15"/>
        <v>AudBBSW6M</v>
      </c>
      <c r="H22" s="118" t="str">
        <f t="shared" si="16"/>
        <v>AUD12x18F_Quote</v>
      </c>
      <c r="I22" s="122"/>
      <c r="J22" s="67"/>
      <c r="K22" s="51"/>
      <c r="L22" s="10" t="str">
        <f t="shared" ref="L22:L58" si="17">A26</f>
        <v>Sw</v>
      </c>
      <c r="M22" s="98" t="str">
        <f t="shared" ref="M22:M58" si="18">IF(ISBLANK(J26),"--",J26)</f>
        <v>--</v>
      </c>
      <c r="N22" s="144" t="str">
        <f>IFERROR(_xll.qlRateHelperQuoteName(M22,Trigger),"--")</f>
        <v>--</v>
      </c>
      <c r="O22" s="102" t="str">
        <f>IFERROR(_xll.qlRateHelperQuoteValue($M22,Trigger),"--")</f>
        <v>--</v>
      </c>
      <c r="P22" s="139" t="b">
        <v>0</v>
      </c>
      <c r="Q22" s="98">
        <v>50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1"/>
        <v>Sw</v>
      </c>
      <c r="W22" s="4" t="str">
        <v>obj_00257</v>
      </c>
      <c r="X22" s="4" t="str">
        <f>IFERROR(_xll.qlRateHelperQuoteName(W22,Trigger),"")</f>
        <v>AUDSM6AB10Y_Quote</v>
      </c>
      <c r="Y22" s="73">
        <f>IFERROR(_xll.qlRateHelperRate(W22,Trigger),"")</f>
        <v>3.0312499999999999E-2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42356</v>
      </c>
      <c r="AB22" s="5">
        <f>IFERROR(_xll.qlRateHelperPillarDate(W22,Trigger),"")</f>
        <v>46009</v>
      </c>
      <c r="AC22" s="81">
        <v>0.7370088132877729</v>
      </c>
      <c r="AD22" s="175"/>
      <c r="AE22" s="161">
        <v>12</v>
      </c>
      <c r="AF22" s="162">
        <f>_xll.qlCalendarEndOfMonth(Calendar,_xll.qlCalendarAdvance(Calendar,AF21,"1m","mf",TRUE),Trigger)</f>
        <v>42704</v>
      </c>
      <c r="AG22" s="161" t="str">
        <f t="shared" si="9"/>
        <v>AUDJump12_SYNTHON_Quote</v>
      </c>
      <c r="AH22" s="180">
        <f>_xll.qlDayCounterYearFraction("actual/360",AF22,_xll.qlCalendarAdvance(Calendar,AF22,"1D",,,Trigger))</f>
        <v>2.7777777777777779E-3</v>
      </c>
      <c r="AI22" s="163" t="e">
        <f>IF(_xll.qlQuoteIsValid(AG22,Trigger),_xll.qlQuoteValue(AG22,Trigger),1)</f>
        <v>#NUM!</v>
      </c>
      <c r="AJ22" s="183" t="e">
        <f t="shared" si="10"/>
        <v>#NUM!</v>
      </c>
      <c r="AK22" s="164"/>
      <c r="AL22" s="163" t="str">
        <f t="shared" si="11"/>
        <v>AUDJump12_SYNTHON_Quote</v>
      </c>
    </row>
    <row r="23" spans="1:38" ht="11.25" customHeight="1" x14ac:dyDescent="0.2">
      <c r="A23" s="1" t="s">
        <v>97</v>
      </c>
      <c r="B23" s="116">
        <v>18</v>
      </c>
      <c r="C23" s="9" t="str">
        <f t="shared" si="14"/>
        <v>x24F</v>
      </c>
      <c r="D23" s="123"/>
      <c r="E23" s="123"/>
      <c r="F23" s="123"/>
      <c r="G23" s="7" t="str">
        <f t="shared" si="15"/>
        <v>AudBBSW6M</v>
      </c>
      <c r="H23" s="119" t="str">
        <f t="shared" si="16"/>
        <v>AUD18x24F_Quote</v>
      </c>
      <c r="I23" s="123"/>
      <c r="J23" s="3"/>
      <c r="K23" s="51"/>
      <c r="L23" s="10" t="str">
        <f t="shared" si="17"/>
        <v>Sw</v>
      </c>
      <c r="M23" s="98" t="str">
        <f t="shared" si="18"/>
        <v>--</v>
      </c>
      <c r="N23" s="144" t="str">
        <f>IFERROR(_xll.qlRateHelperQuoteName(M23,Trigger),"--")</f>
        <v>--</v>
      </c>
      <c r="O23" s="102" t="str">
        <f>IFERROR(_xll.qlRateHelperQuoteValue($M23,Trigger),"--")</f>
        <v>--</v>
      </c>
      <c r="P23" s="139" t="b">
        <v>0</v>
      </c>
      <c r="Q23" s="98">
        <v>50</v>
      </c>
      <c r="R23" s="98">
        <v>1</v>
      </c>
      <c r="S23" s="103" t="str">
        <f>IFERROR(_xll.qlRateHelperEarliestDate(M23,Trigger),"--")</f>
        <v>--</v>
      </c>
      <c r="T23" s="103" t="str">
        <f>IFERROR(_xll.qlRateHelperPillarDate(M23,Trigger),"--")</f>
        <v>--</v>
      </c>
      <c r="V23" s="4" t="str">
        <f t="shared" si="1"/>
        <v>Sw</v>
      </c>
      <c r="W23" s="4" t="str">
        <v>obj_00250</v>
      </c>
      <c r="X23" s="4" t="str">
        <f>IFERROR(_xll.qlRateHelperQuoteName(W23,Trigger),"")</f>
        <v>AUDSM6AB12Y_Quote</v>
      </c>
      <c r="Y23" s="73">
        <f>IFERROR(_xll.qlRateHelperRate(W23,Trigger),"")</f>
        <v>3.15625E-2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42356</v>
      </c>
      <c r="AB23" s="5">
        <f>IFERROR(_xll.qlRateHelperPillarDate(W23,Trigger),"")</f>
        <v>46741</v>
      </c>
      <c r="AC23" s="81">
        <v>0.6818614930712531</v>
      </c>
      <c r="AD23" s="175"/>
      <c r="AE23" s="165">
        <v>13</v>
      </c>
      <c r="AF23" s="166">
        <f>_xll.qlCalendarAdjust(Calendar,DATE(YEAR(AF11)+1,12,31),"preceding",Trigger)</f>
        <v>42734</v>
      </c>
      <c r="AG23" s="165" t="str">
        <f t="shared" si="9"/>
        <v>AUDJump13_SYNTHON_Quote</v>
      </c>
      <c r="AH23" s="181">
        <f>_xll.qlDayCounterYearFraction("actual/360",AF23,_xll.qlCalendarAdvance(Calendar,AF23,"1D",,,Trigger))</f>
        <v>8.3333333333333332E-3</v>
      </c>
      <c r="AI23" s="167" t="e">
        <f>IF(_xll.qlQuoteIsValid(AG23,Trigger),_xll.qlQuoteValue(AG23,Trigger),1)</f>
        <v>#NUM!</v>
      </c>
      <c r="AJ23" s="184" t="e">
        <f t="shared" si="10"/>
        <v>#NUM!</v>
      </c>
      <c r="AK23" s="168"/>
      <c r="AL23" s="167" t="str">
        <f t="shared" si="11"/>
        <v>AUDJump13_SYNTHON_Quote</v>
      </c>
    </row>
    <row r="24" spans="1:38" ht="11.25" customHeight="1" x14ac:dyDescent="0.2">
      <c r="B24" s="49"/>
      <c r="C24" s="49"/>
      <c r="D24" s="49"/>
      <c r="E24" s="49"/>
      <c r="F24" s="49"/>
      <c r="G24" s="107" t="s">
        <v>165</v>
      </c>
      <c r="H24" s="107" t="s">
        <v>166</v>
      </c>
      <c r="K24" s="51"/>
      <c r="L24" s="10" t="str">
        <f t="shared" si="17"/>
        <v>Sw</v>
      </c>
      <c r="M24" s="98" t="str">
        <f t="shared" si="18"/>
        <v>--</v>
      </c>
      <c r="N24" s="144" t="str">
        <f>IFERROR(_xll.qlRateHelperQuoteName(M24,Trigger),"--")</f>
        <v>--</v>
      </c>
      <c r="O24" s="102" t="str">
        <f>IFERROR(_xll.qlRateHelperQuoteValue($M24,Trigger),"--")</f>
        <v>--</v>
      </c>
      <c r="P24" s="139" t="b">
        <v>0</v>
      </c>
      <c r="Q24" s="98">
        <v>50</v>
      </c>
      <c r="R24" s="98">
        <v>1</v>
      </c>
      <c r="S24" s="103" t="str">
        <f>IFERROR(_xll.qlRateHelperEarliestDate(M24,Trigger),"--")</f>
        <v>--</v>
      </c>
      <c r="T24" s="103" t="str">
        <f>IFERROR(_xll.qlRateHelperPillarDate(M24,Trigger),"--")</f>
        <v>--</v>
      </c>
      <c r="V24" s="4" t="str">
        <f t="shared" si="1"/>
        <v>Sw</v>
      </c>
      <c r="W24" s="4" t="str">
        <v>obj_00252</v>
      </c>
      <c r="X24" s="4" t="str">
        <f>IFERROR(_xll.qlRateHelperQuoteName(W24,Trigger),"")</f>
        <v>AUDSM6AB15Y_Quote</v>
      </c>
      <c r="Y24" s="73">
        <f>IFERROR(_xll.qlRateHelperRate(W24,Trigger),"")</f>
        <v>3.2912499999999997E-2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42356</v>
      </c>
      <c r="AB24" s="5">
        <f>IFERROR(_xll.qlRateHelperPillarDate(W24,Trigger),"")</f>
        <v>47835</v>
      </c>
      <c r="AC24" s="81">
        <v>0.60567871413498231</v>
      </c>
      <c r="AD24" s="175"/>
    </row>
    <row r="25" spans="1:38" ht="11.25" customHeight="1" x14ac:dyDescent="0.2">
      <c r="A25" s="68" t="s">
        <v>8</v>
      </c>
      <c r="B25" s="68" t="s">
        <v>28</v>
      </c>
      <c r="C25" s="68" t="s">
        <v>117</v>
      </c>
      <c r="D25" s="68" t="s">
        <v>5</v>
      </c>
      <c r="E25" s="68" t="s">
        <v>33</v>
      </c>
      <c r="F25" s="68" t="s">
        <v>118</v>
      </c>
      <c r="G25" s="68" t="s">
        <v>4</v>
      </c>
      <c r="H25" s="68" t="s">
        <v>1</v>
      </c>
      <c r="I25" s="68" t="s">
        <v>116</v>
      </c>
      <c r="J25" s="68" t="s">
        <v>24</v>
      </c>
      <c r="K25" s="51"/>
      <c r="L25" s="10" t="str">
        <f t="shared" si="17"/>
        <v>Sw</v>
      </c>
      <c r="M25" s="98" t="str">
        <f t="shared" si="18"/>
        <v>--</v>
      </c>
      <c r="N25" s="144" t="str">
        <f>IFERROR(_xll.qlRateHelperQuoteName(M25,Trigger),"--")</f>
        <v>--</v>
      </c>
      <c r="O25" s="102" t="str">
        <f>IFERROR(_xll.qlRateHelperQuoteValue($M25,Trigger),"--")</f>
        <v>--</v>
      </c>
      <c r="P25" s="139" t="b">
        <v>0</v>
      </c>
      <c r="Q25" s="98">
        <v>50</v>
      </c>
      <c r="R25" s="98">
        <v>1</v>
      </c>
      <c r="S25" s="103" t="str">
        <f>IFERROR(_xll.qlRateHelperEarliestDate(M25,Trigger),"--")</f>
        <v>--</v>
      </c>
      <c r="T25" s="103" t="str">
        <f>IFERROR(_xll.qlRateHelperPillarDate(M25,Trigger),"--")</f>
        <v>--</v>
      </c>
      <c r="V25" s="4" t="str">
        <f t="shared" si="1"/>
        <v>Sw</v>
      </c>
      <c r="W25" s="4" t="str">
        <v>obj_00254</v>
      </c>
      <c r="X25" s="4" t="str">
        <f>IFERROR(_xll.qlRateHelperQuoteName(W25,Trigger),"")</f>
        <v>AUDSM6AB20Y_Quote</v>
      </c>
      <c r="Y25" s="73">
        <f>IFERROR(_xll.qlRateHelperRate(W25,Trigger),"")</f>
        <v>3.4387499999999994E-2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42356</v>
      </c>
      <c r="AB25" s="5">
        <f>IFERROR(_xll.qlRateHelperPillarDate(W25,Trigger),"")</f>
        <v>49661</v>
      </c>
      <c r="AC25" s="81">
        <v>0.49503264773530065</v>
      </c>
      <c r="AD25" s="175"/>
    </row>
    <row r="26" spans="1:38" ht="11.25" customHeight="1" x14ac:dyDescent="0.2">
      <c r="A26" s="56" t="s">
        <v>25</v>
      </c>
      <c r="B26" s="57" t="s">
        <v>27</v>
      </c>
      <c r="C26" s="58" t="s">
        <v>6</v>
      </c>
      <c r="D26" s="58" t="s">
        <v>164</v>
      </c>
      <c r="E26" s="58" t="s">
        <v>7</v>
      </c>
      <c r="F26" s="58" t="s">
        <v>159</v>
      </c>
      <c r="G26" s="58" t="str">
        <f t="shared" ref="G26:G62" si="19">PROPER(Currency)&amp;FamilyName&amp;$G$1</f>
        <v>AudBBSW6M</v>
      </c>
      <c r="H26" s="56" t="str">
        <f t="shared" ref="H26:H62" si="20">Currency&amp;$G$24&amp;$H$24&amp;$B26&amp;QuoteSuffix</f>
        <v>AUDSM6AB1Y_Quote</v>
      </c>
      <c r="I26" s="125">
        <v>0</v>
      </c>
      <c r="J26" s="67"/>
      <c r="K26" s="51"/>
      <c r="L26" s="10" t="str">
        <f t="shared" si="17"/>
        <v>Sw</v>
      </c>
      <c r="M26" s="98" t="str">
        <f t="shared" si="18"/>
        <v>--</v>
      </c>
      <c r="N26" s="144" t="str">
        <f>IFERROR(_xll.qlRateHelperQuoteName(M26,Trigger),"--")</f>
        <v>--</v>
      </c>
      <c r="O26" s="102" t="str">
        <f>IFERROR(_xll.qlRateHelperQuoteValue($M26,Trigger),"--")</f>
        <v>--</v>
      </c>
      <c r="P26" s="139" t="b">
        <v>0</v>
      </c>
      <c r="Q26" s="98">
        <v>50</v>
      </c>
      <c r="R26" s="98">
        <v>1</v>
      </c>
      <c r="S26" s="103" t="str">
        <f>IFERROR(_xll.qlRateHelperEarliestDate(M26,Trigger),"--")</f>
        <v>--</v>
      </c>
      <c r="T26" s="103" t="str">
        <f>IFERROR(_xll.qlRateHelperPillarDate(M26,Trigger),"--")</f>
        <v>--</v>
      </c>
      <c r="V26" s="4" t="str">
        <f t="shared" si="1"/>
        <v>Sw</v>
      </c>
      <c r="W26" s="4" t="str">
        <v>obj_00256</v>
      </c>
      <c r="X26" s="4" t="str">
        <f>IFERROR(_xll.qlRateHelperQuoteName(W26,Trigger),"")</f>
        <v>AUDSM6AB25Y_Quote</v>
      </c>
      <c r="Y26" s="73">
        <f>IFERROR(_xll.qlRateHelperRate(W26,Trigger),"")</f>
        <v>3.4812500000000003E-2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42356</v>
      </c>
      <c r="AB26" s="5">
        <f>IFERROR(_xll.qlRateHelperPillarDate(W26,Trigger),"")</f>
        <v>51488</v>
      </c>
      <c r="AC26" s="81">
        <v>0.41112233310197488</v>
      </c>
      <c r="AD26" s="175"/>
    </row>
    <row r="27" spans="1:38" ht="11.25" customHeight="1" x14ac:dyDescent="0.2">
      <c r="A27" s="62" t="s">
        <v>25</v>
      </c>
      <c r="B27" s="63" t="s">
        <v>49</v>
      </c>
      <c r="C27" s="64" t="s">
        <v>6</v>
      </c>
      <c r="D27" s="64" t="s">
        <v>164</v>
      </c>
      <c r="E27" s="64" t="s">
        <v>7</v>
      </c>
      <c r="F27" s="64" t="s">
        <v>159</v>
      </c>
      <c r="G27" s="64" t="str">
        <f t="shared" si="19"/>
        <v>AudBBSW6M</v>
      </c>
      <c r="H27" s="62" t="str">
        <f t="shared" si="20"/>
        <v>AUDSM6AB15M_Quote</v>
      </c>
      <c r="I27" s="126">
        <v>0</v>
      </c>
      <c r="J27" s="67"/>
      <c r="K27" s="51"/>
      <c r="L27" s="10" t="str">
        <f t="shared" si="17"/>
        <v>Sw</v>
      </c>
      <c r="M27" s="98" t="str">
        <f t="shared" si="18"/>
        <v>--</v>
      </c>
      <c r="N27" s="144" t="str">
        <f>IFERROR(_xll.qlRateHelperQuoteName(M27,Trigger),"--")</f>
        <v>--</v>
      </c>
      <c r="O27" s="102" t="str">
        <f>IFERROR(_xll.qlRateHelperQuoteValue($M27,Trigger),"--")</f>
        <v>--</v>
      </c>
      <c r="P27" s="139" t="b">
        <v>0</v>
      </c>
      <c r="Q27" s="98">
        <v>50</v>
      </c>
      <c r="R27" s="98">
        <v>1</v>
      </c>
      <c r="S27" s="103" t="str">
        <f>IFERROR(_xll.qlRateHelperEarliestDate(M27,Trigger),"--")</f>
        <v>--</v>
      </c>
      <c r="T27" s="103" t="str">
        <f>IFERROR(_xll.qlRateHelperPillarDate(M27,Trigger),"--")</f>
        <v>--</v>
      </c>
      <c r="V27" s="4" t="str">
        <f t="shared" si="1"/>
        <v>Sw</v>
      </c>
      <c r="W27" s="4" t="str">
        <v>obj_00259</v>
      </c>
      <c r="X27" s="4" t="str">
        <f>IFERROR(_xll.qlRateHelperQuoteName(W27,Trigger),"")</f>
        <v>AUDSM6AB30Y_Quote</v>
      </c>
      <c r="Y27" s="73">
        <f>IFERROR(_xll.qlRateHelperRate(W27,Trigger),"")</f>
        <v>3.4662499999999999E-2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42356</v>
      </c>
      <c r="AB27" s="5">
        <f>IFERROR(_xll.qlRateHelperPillarDate(W27,Trigger),"")</f>
        <v>53314</v>
      </c>
      <c r="AC27" s="81">
        <v>0.34846080696832399</v>
      </c>
      <c r="AD27" s="175"/>
    </row>
    <row r="28" spans="1:38" ht="11.25" customHeight="1" x14ac:dyDescent="0.2">
      <c r="A28" s="62" t="s">
        <v>25</v>
      </c>
      <c r="B28" s="63" t="s">
        <v>50</v>
      </c>
      <c r="C28" s="64" t="s">
        <v>6</v>
      </c>
      <c r="D28" s="64" t="s">
        <v>164</v>
      </c>
      <c r="E28" s="64" t="s">
        <v>7</v>
      </c>
      <c r="F28" s="64" t="s">
        <v>159</v>
      </c>
      <c r="G28" s="64" t="str">
        <f t="shared" si="19"/>
        <v>AudBBSW6M</v>
      </c>
      <c r="H28" s="62" t="str">
        <f t="shared" si="20"/>
        <v>AUDSM6AB18M_Quote</v>
      </c>
      <c r="I28" s="126">
        <v>0</v>
      </c>
      <c r="J28" s="67"/>
      <c r="K28" s="51"/>
      <c r="L28" s="10" t="str">
        <f t="shared" si="17"/>
        <v>Sw</v>
      </c>
      <c r="M28" s="98" t="str">
        <f t="shared" si="18"/>
        <v>obj_0025a#0001</v>
      </c>
      <c r="N28" s="144" t="str">
        <f>IFERROR(_xll.qlRateHelperQuoteName(M28,Trigger),"--")</f>
        <v>AUDSM6AB4Y_Quote</v>
      </c>
      <c r="O28" s="102">
        <f>IFERROR(_xll.qlRateHelperQuoteValue($M28,Trigger),"--")</f>
        <v>2.48875E-2</v>
      </c>
      <c r="P28" s="139" t="b">
        <v>1</v>
      </c>
      <c r="Q28" s="98">
        <v>50</v>
      </c>
      <c r="R28" s="98">
        <v>1</v>
      </c>
      <c r="S28" s="103">
        <f>IFERROR(_xll.qlRateHelperEarliestDate(M28,Trigger),"--")</f>
        <v>42356</v>
      </c>
      <c r="T28" s="103">
        <f>IFERROR(_xll.qlRateHelperPillarDate(M28,Trigger),"--")</f>
        <v>43817</v>
      </c>
      <c r="V28" s="4" t="str">
        <f t="shared" si="1"/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#N/A</v>
      </c>
      <c r="AD28" s="175"/>
    </row>
    <row r="29" spans="1:38" ht="11.25" customHeight="1" x14ac:dyDescent="0.2">
      <c r="A29" s="62" t="s">
        <v>25</v>
      </c>
      <c r="B29" s="63" t="s">
        <v>51</v>
      </c>
      <c r="C29" s="64" t="s">
        <v>6</v>
      </c>
      <c r="D29" s="64" t="s">
        <v>164</v>
      </c>
      <c r="E29" s="64" t="s">
        <v>7</v>
      </c>
      <c r="F29" s="64" t="s">
        <v>159</v>
      </c>
      <c r="G29" s="64" t="str">
        <f t="shared" si="19"/>
        <v>AudBBSW6M</v>
      </c>
      <c r="H29" s="62" t="str">
        <f t="shared" si="20"/>
        <v>AUDSM6AB21M_Quote</v>
      </c>
      <c r="I29" s="126">
        <v>0</v>
      </c>
      <c r="J29" s="67"/>
      <c r="K29" s="51"/>
      <c r="L29" s="10" t="str">
        <f t="shared" si="17"/>
        <v>Sw</v>
      </c>
      <c r="M29" s="98" t="str">
        <f t="shared" si="18"/>
        <v>obj_00255#0001</v>
      </c>
      <c r="N29" s="144" t="str">
        <f>IFERROR(_xll.qlRateHelperQuoteName(M29,Trigger),"--")</f>
        <v>AUDSM6AB5Y_Quote</v>
      </c>
      <c r="O29" s="102">
        <f>IFERROR(_xll.qlRateHelperQuoteValue($M29,Trigger),"--")</f>
        <v>2.5975000000000002E-2</v>
      </c>
      <c r="P29" s="139" t="b">
        <v>1</v>
      </c>
      <c r="Q29" s="98">
        <v>50</v>
      </c>
      <c r="R29" s="98">
        <v>1</v>
      </c>
      <c r="S29" s="103">
        <f>IFERROR(_xll.qlRateHelperEarliestDate(M29,Trigger),"--")</f>
        <v>42356</v>
      </c>
      <c r="T29" s="103">
        <f>IFERROR(_xll.qlRateHelperPillarDate(M29,Trigger),"--")</f>
        <v>44183</v>
      </c>
      <c r="V29" s="4" t="str">
        <f t="shared" si="1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#N/A</v>
      </c>
      <c r="AD29" s="175"/>
    </row>
    <row r="30" spans="1:38" ht="11.25" customHeight="1" x14ac:dyDescent="0.2">
      <c r="A30" s="62" t="s">
        <v>25</v>
      </c>
      <c r="B30" s="63" t="s">
        <v>52</v>
      </c>
      <c r="C30" s="64" t="s">
        <v>6</v>
      </c>
      <c r="D30" s="64" t="s">
        <v>164</v>
      </c>
      <c r="E30" s="64" t="s">
        <v>7</v>
      </c>
      <c r="F30" s="64" t="s">
        <v>159</v>
      </c>
      <c r="G30" s="64" t="str">
        <f t="shared" si="19"/>
        <v>AudBBSW6M</v>
      </c>
      <c r="H30" s="62" t="str">
        <f t="shared" si="20"/>
        <v>AUDSM6AB2Y_Quote</v>
      </c>
      <c r="I30" s="126">
        <v>0</v>
      </c>
      <c r="J30" s="67"/>
      <c r="K30" s="51"/>
      <c r="L30" s="10" t="str">
        <f t="shared" si="17"/>
        <v>Sw</v>
      </c>
      <c r="M30" s="98" t="str">
        <f t="shared" si="18"/>
        <v>obj_0024e#0001</v>
      </c>
      <c r="N30" s="144" t="str">
        <f>IFERROR(_xll.qlRateHelperQuoteName(M30,Trigger),"--")</f>
        <v>AUDSM6AB6Y_Quote</v>
      </c>
      <c r="O30" s="102">
        <f>IFERROR(_xll.qlRateHelperQuoteValue($M30,Trigger),"--")</f>
        <v>2.7037500000000003E-2</v>
      </c>
      <c r="P30" s="139" t="b">
        <v>1</v>
      </c>
      <c r="Q30" s="98">
        <v>50</v>
      </c>
      <c r="R30" s="98">
        <v>1</v>
      </c>
      <c r="S30" s="103">
        <f>IFERROR(_xll.qlRateHelperEarliestDate(M30,Trigger),"--")</f>
        <v>42356</v>
      </c>
      <c r="T30" s="103">
        <f>IFERROR(_xll.qlRateHelperPillarDate(M30,Trigger),"--")</f>
        <v>44550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  <c r="AD30" s="175"/>
    </row>
    <row r="31" spans="1:38" ht="11.25" customHeight="1" x14ac:dyDescent="0.2">
      <c r="A31" s="62" t="s">
        <v>25</v>
      </c>
      <c r="B31" s="63" t="s">
        <v>53</v>
      </c>
      <c r="C31" s="64" t="s">
        <v>6</v>
      </c>
      <c r="D31" s="64" t="s">
        <v>164</v>
      </c>
      <c r="E31" s="64" t="s">
        <v>7</v>
      </c>
      <c r="F31" s="64" t="s">
        <v>159</v>
      </c>
      <c r="G31" s="64" t="str">
        <f t="shared" si="19"/>
        <v>AudBBSW6M</v>
      </c>
      <c r="H31" s="62" t="str">
        <f t="shared" si="20"/>
        <v>AUDSM6AB3Y_Quote</v>
      </c>
      <c r="I31" s="126">
        <v>0</v>
      </c>
      <c r="J31" s="67"/>
      <c r="K31" s="51"/>
      <c r="L31" s="10" t="str">
        <f t="shared" si="17"/>
        <v>Sw</v>
      </c>
      <c r="M31" s="98" t="str">
        <f t="shared" si="18"/>
        <v>obj_00258#0001</v>
      </c>
      <c r="N31" s="144" t="str">
        <f>IFERROR(_xll.qlRateHelperQuoteName(M31,Trigger),"--")</f>
        <v>AUDSM6AB7Y_Quote</v>
      </c>
      <c r="O31" s="102">
        <f>IFERROR(_xll.qlRateHelperQuoteValue($M31,Trigger),"--")</f>
        <v>2.7999999999999997E-2</v>
      </c>
      <c r="P31" s="139" t="b">
        <v>1</v>
      </c>
      <c r="Q31" s="98">
        <v>50</v>
      </c>
      <c r="R31" s="98">
        <v>1</v>
      </c>
      <c r="S31" s="103">
        <f>IFERROR(_xll.qlRateHelperEarliestDate(M31,Trigger),"--")</f>
        <v>42356</v>
      </c>
      <c r="T31" s="103">
        <f>IFERROR(_xll.qlRateHelperPillarDate(M31,Trigger),"--")</f>
        <v>44914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  <c r="AD31" s="175"/>
    </row>
    <row r="32" spans="1:38" ht="11.25" customHeight="1" x14ac:dyDescent="0.2">
      <c r="A32" s="62" t="s">
        <v>25</v>
      </c>
      <c r="B32" s="63" t="s">
        <v>54</v>
      </c>
      <c r="C32" s="64" t="s">
        <v>6</v>
      </c>
      <c r="D32" s="64" t="s">
        <v>164</v>
      </c>
      <c r="E32" s="64" t="s">
        <v>7</v>
      </c>
      <c r="F32" s="64" t="s">
        <v>159</v>
      </c>
      <c r="G32" s="64" t="str">
        <f t="shared" si="19"/>
        <v>AudBBSW6M</v>
      </c>
      <c r="H32" s="62" t="str">
        <f t="shared" si="20"/>
        <v>AUDSM6AB4Y_Quote</v>
      </c>
      <c r="I32" s="126">
        <v>0</v>
      </c>
      <c r="J32" s="67" t="str">
        <f>_xll.qlSwapRateHelper2(,H32,1,B32,Calendar,D32,E32,F32,G32,I32,C32,Discounting,PillarDate,,Permanent,Trigger,ObjectOverwrite)</f>
        <v>obj_0025a#0001</v>
      </c>
      <c r="K32" s="51"/>
      <c r="L32" s="10" t="str">
        <f t="shared" si="17"/>
        <v>Sw</v>
      </c>
      <c r="M32" s="98" t="str">
        <f t="shared" si="18"/>
        <v>obj_00253#0001</v>
      </c>
      <c r="N32" s="144" t="str">
        <f>IFERROR(_xll.qlRateHelperQuoteName(M32,Trigger),"--")</f>
        <v>AUDSM6AB8Y_Quote</v>
      </c>
      <c r="O32" s="102">
        <f>IFERROR(_xll.qlRateHelperQuoteValue($M32,Trigger),"--")</f>
        <v>2.8875000000000001E-2</v>
      </c>
      <c r="P32" s="139" t="b">
        <v>1</v>
      </c>
      <c r="Q32" s="98">
        <v>50</v>
      </c>
      <c r="R32" s="98">
        <v>1</v>
      </c>
      <c r="S32" s="103">
        <f>IFERROR(_xll.qlRateHelperEarliestDate(M32,Trigger),"--")</f>
        <v>42356</v>
      </c>
      <c r="T32" s="103">
        <f>IFERROR(_xll.qlRateHelperPillarDate(M32,Trigger),"--")</f>
        <v>45278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  <c r="AD32" s="175"/>
    </row>
    <row r="33" spans="1:30" ht="11.25" customHeight="1" x14ac:dyDescent="0.2">
      <c r="A33" s="62" t="s">
        <v>25</v>
      </c>
      <c r="B33" s="63" t="s">
        <v>55</v>
      </c>
      <c r="C33" s="64" t="s">
        <v>6</v>
      </c>
      <c r="D33" s="64" t="s">
        <v>164</v>
      </c>
      <c r="E33" s="64" t="s">
        <v>7</v>
      </c>
      <c r="F33" s="64" t="s">
        <v>159</v>
      </c>
      <c r="G33" s="64" t="str">
        <f t="shared" si="19"/>
        <v>AudBBSW6M</v>
      </c>
      <c r="H33" s="62" t="str">
        <f t="shared" si="20"/>
        <v>AUDSM6AB5Y_Quote</v>
      </c>
      <c r="I33" s="126">
        <v>0</v>
      </c>
      <c r="J33" s="67" t="str">
        <f>_xll.qlSwapRateHelper2(,H33,1,B33,Calendar,D33,E33,F33,G33,I33,C33,Discounting,PillarDate,,Permanent,Trigger,ObjectOverwrite)</f>
        <v>obj_00255#0001</v>
      </c>
      <c r="K33" s="51"/>
      <c r="L33" s="10" t="str">
        <f t="shared" si="17"/>
        <v>Sw</v>
      </c>
      <c r="M33" s="98" t="str">
        <f t="shared" si="18"/>
        <v>obj_0024f#0001</v>
      </c>
      <c r="N33" s="144" t="str">
        <f>IFERROR(_xll.qlRateHelperQuoteName(M33,Trigger),"--")</f>
        <v>AUDSM6AB9Y_Quote</v>
      </c>
      <c r="O33" s="102">
        <f>IFERROR(_xll.qlRateHelperQuoteValue($M33,Trigger),"--")</f>
        <v>2.9637500000000001E-2</v>
      </c>
      <c r="P33" s="139" t="b">
        <v>1</v>
      </c>
      <c r="Q33" s="98">
        <v>50</v>
      </c>
      <c r="R33" s="98">
        <v>1</v>
      </c>
      <c r="S33" s="103">
        <f>IFERROR(_xll.qlRateHelperEarliestDate(M33,Trigger),"--")</f>
        <v>42356</v>
      </c>
      <c r="T33" s="103">
        <f>IFERROR(_xll.qlRateHelperPillarDate(M33,Trigger),"--")</f>
        <v>45644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  <c r="AD33" s="175"/>
    </row>
    <row r="34" spans="1:30" ht="11.25" customHeight="1" x14ac:dyDescent="0.2">
      <c r="A34" s="62" t="s">
        <v>25</v>
      </c>
      <c r="B34" s="63" t="s">
        <v>56</v>
      </c>
      <c r="C34" s="64" t="s">
        <v>6</v>
      </c>
      <c r="D34" s="64" t="s">
        <v>164</v>
      </c>
      <c r="E34" s="64" t="s">
        <v>7</v>
      </c>
      <c r="F34" s="64" t="s">
        <v>159</v>
      </c>
      <c r="G34" s="64" t="str">
        <f t="shared" si="19"/>
        <v>AudBBSW6M</v>
      </c>
      <c r="H34" s="62" t="str">
        <f t="shared" si="20"/>
        <v>AUDSM6AB6Y_Quote</v>
      </c>
      <c r="I34" s="126">
        <v>0</v>
      </c>
      <c r="J34" s="67" t="str">
        <f>_xll.qlSwapRateHelper2(,H34,1,B34,Calendar,D34,E34,F34,G34,I34,C34,Discounting,PillarDate,,Permanent,Trigger,ObjectOverwrite)</f>
        <v>obj_0024e#0001</v>
      </c>
      <c r="K34" s="51"/>
      <c r="L34" s="10" t="str">
        <f t="shared" si="17"/>
        <v>Sw</v>
      </c>
      <c r="M34" s="98" t="str">
        <f t="shared" si="18"/>
        <v>obj_00257#0001</v>
      </c>
      <c r="N34" s="144" t="str">
        <f>IFERROR(_xll.qlRateHelperQuoteName(M34,Trigger),"--")</f>
        <v>AUDSM6AB10Y_Quote</v>
      </c>
      <c r="O34" s="102">
        <f>IFERROR(_xll.qlRateHelperQuoteValue($M34,Trigger),"--")</f>
        <v>3.0312499999999999E-2</v>
      </c>
      <c r="P34" s="139" t="b">
        <v>1</v>
      </c>
      <c r="Q34" s="98">
        <v>50</v>
      </c>
      <c r="R34" s="98">
        <v>1</v>
      </c>
      <c r="S34" s="103">
        <f>IFERROR(_xll.qlRateHelperEarliestDate(M34,Trigger),"--")</f>
        <v>42356</v>
      </c>
      <c r="T34" s="103">
        <f>IFERROR(_xll.qlRateHelperPillarDate(M34,Trigger),"--")</f>
        <v>46009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  <c r="AD34" s="175"/>
    </row>
    <row r="35" spans="1:30" ht="11.25" customHeight="1" x14ac:dyDescent="0.2">
      <c r="A35" s="62" t="s">
        <v>25</v>
      </c>
      <c r="B35" s="63" t="s">
        <v>57</v>
      </c>
      <c r="C35" s="64" t="s">
        <v>6</v>
      </c>
      <c r="D35" s="64" t="s">
        <v>164</v>
      </c>
      <c r="E35" s="64" t="s">
        <v>7</v>
      </c>
      <c r="F35" s="64" t="s">
        <v>159</v>
      </c>
      <c r="G35" s="64" t="str">
        <f t="shared" si="19"/>
        <v>AudBBSW6M</v>
      </c>
      <c r="H35" s="62" t="str">
        <f t="shared" si="20"/>
        <v>AUDSM6AB7Y_Quote</v>
      </c>
      <c r="I35" s="126">
        <v>0</v>
      </c>
      <c r="J35" s="67" t="str">
        <f>_xll.qlSwapRateHelper2(,H35,1,B35,Calendar,D35,E35,F35,G35,I35,C35,Discounting,PillarDate,,Permanent,Trigger,ObjectOverwrite)</f>
        <v>obj_00258#0001</v>
      </c>
      <c r="K35" s="51"/>
      <c r="L35" s="10" t="str">
        <f t="shared" si="17"/>
        <v>Sw</v>
      </c>
      <c r="M35" s="98" t="str">
        <f t="shared" si="18"/>
        <v>--</v>
      </c>
      <c r="N35" s="144" t="str">
        <f>IFERROR(_xll.qlRateHelperQuoteName(M35,Trigger),"--")</f>
        <v>--</v>
      </c>
      <c r="O35" s="102" t="str">
        <f>IFERROR(_xll.qlRateHelperQuoteValue($M35,Trigger),"--")</f>
        <v>--</v>
      </c>
      <c r="P35" s="139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ref="V35:V66" si="21">IFERROR(INDEX($L$3:$L$95,MATCH(X35,$N$3:$N$95,0),1),"")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  <c r="AD35" s="175"/>
    </row>
    <row r="36" spans="1:30" ht="11.25" customHeight="1" x14ac:dyDescent="0.2">
      <c r="A36" s="62" t="s">
        <v>25</v>
      </c>
      <c r="B36" s="63" t="s">
        <v>58</v>
      </c>
      <c r="C36" s="64" t="s">
        <v>6</v>
      </c>
      <c r="D36" s="64" t="s">
        <v>164</v>
      </c>
      <c r="E36" s="64" t="s">
        <v>7</v>
      </c>
      <c r="F36" s="64" t="s">
        <v>159</v>
      </c>
      <c r="G36" s="64" t="str">
        <f t="shared" si="19"/>
        <v>AudBBSW6M</v>
      </c>
      <c r="H36" s="62" t="str">
        <f t="shared" si="20"/>
        <v>AUDSM6AB8Y_Quote</v>
      </c>
      <c r="I36" s="126">
        <v>0</v>
      </c>
      <c r="J36" s="67" t="str">
        <f>_xll.qlSwapRateHelper2(,H36,1,B36,Calendar,D36,E36,F36,G36,I36,C36,Discounting,PillarDate,,Permanent,Trigger,ObjectOverwrite)</f>
        <v>obj_00253#0001</v>
      </c>
      <c r="K36" s="51"/>
      <c r="L36" s="10" t="str">
        <f t="shared" si="17"/>
        <v>Sw</v>
      </c>
      <c r="M36" s="98" t="str">
        <f t="shared" si="18"/>
        <v>obj_00250#0001</v>
      </c>
      <c r="N36" s="144" t="str">
        <f>IFERROR(_xll.qlRateHelperQuoteName(M36,Trigger),"--")</f>
        <v>AUDSM6AB12Y_Quote</v>
      </c>
      <c r="O36" s="102">
        <f>IFERROR(_xll.qlRateHelperQuoteValue($M36,Trigger),"--")</f>
        <v>3.15625E-2</v>
      </c>
      <c r="P36" s="139" t="b">
        <v>1</v>
      </c>
      <c r="Q36" s="98">
        <v>50</v>
      </c>
      <c r="R36" s="98">
        <v>1</v>
      </c>
      <c r="S36" s="103">
        <f>IFERROR(_xll.qlRateHelperEarliestDate(M36,Trigger),"--")</f>
        <v>42356</v>
      </c>
      <c r="T36" s="103">
        <f>IFERROR(_xll.qlRateHelperPillarDate(M36,Trigger),"--")</f>
        <v>46741</v>
      </c>
      <c r="V36" s="4" t="str">
        <f t="shared" si="21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  <c r="AD36" s="175"/>
    </row>
    <row r="37" spans="1:30" ht="11.25" customHeight="1" x14ac:dyDescent="0.2">
      <c r="A37" s="62" t="s">
        <v>25</v>
      </c>
      <c r="B37" s="63" t="s">
        <v>59</v>
      </c>
      <c r="C37" s="64" t="s">
        <v>6</v>
      </c>
      <c r="D37" s="64" t="s">
        <v>164</v>
      </c>
      <c r="E37" s="64" t="s">
        <v>7</v>
      </c>
      <c r="F37" s="64" t="s">
        <v>159</v>
      </c>
      <c r="G37" s="64" t="str">
        <f t="shared" si="19"/>
        <v>AudBBSW6M</v>
      </c>
      <c r="H37" s="62" t="str">
        <f t="shared" si="20"/>
        <v>AUDSM6AB9Y_Quote</v>
      </c>
      <c r="I37" s="126">
        <v>0</v>
      </c>
      <c r="J37" s="67" t="str">
        <f>_xll.qlSwapRateHelper2(,H37,1,B37,Calendar,D37,E37,F37,G37,I37,C37,Discounting,PillarDate,,Permanent,Trigger,ObjectOverwrite)</f>
        <v>obj_0024f#0001</v>
      </c>
      <c r="K37" s="51"/>
      <c r="L37" s="10" t="str">
        <f t="shared" si="17"/>
        <v>Sw</v>
      </c>
      <c r="M37" s="98" t="str">
        <f t="shared" si="18"/>
        <v>--</v>
      </c>
      <c r="N37" s="144" t="str">
        <f>IFERROR(_xll.qlRateHelperQuoteName(M37,Trigger),"--")</f>
        <v>--</v>
      </c>
      <c r="O37" s="102" t="str">
        <f>IFERROR(_xll.qlRateHelperQuoteValue($M37,Trigger),"--")</f>
        <v>--</v>
      </c>
      <c r="P37" s="139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21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  <c r="AD37" s="175"/>
    </row>
    <row r="38" spans="1:30" ht="11.25" customHeight="1" x14ac:dyDescent="0.2">
      <c r="A38" s="62" t="s">
        <v>25</v>
      </c>
      <c r="B38" s="63" t="s">
        <v>60</v>
      </c>
      <c r="C38" s="64" t="s">
        <v>6</v>
      </c>
      <c r="D38" s="64" t="s">
        <v>164</v>
      </c>
      <c r="E38" s="64" t="s">
        <v>7</v>
      </c>
      <c r="F38" s="64" t="s">
        <v>159</v>
      </c>
      <c r="G38" s="64" t="str">
        <f t="shared" si="19"/>
        <v>AudBBSW6M</v>
      </c>
      <c r="H38" s="62" t="str">
        <f t="shared" si="20"/>
        <v>AUDSM6AB10Y_Quote</v>
      </c>
      <c r="I38" s="126">
        <v>0</v>
      </c>
      <c r="J38" s="67" t="str">
        <f>_xll.qlSwapRateHelper2(,H38,1,B38,Calendar,D38,E38,F38,G38,I38,C38,Discounting,PillarDate,,Permanent,Trigger,ObjectOverwrite)</f>
        <v>obj_00257#0001</v>
      </c>
      <c r="K38" s="51"/>
      <c r="L38" s="10" t="str">
        <f t="shared" si="17"/>
        <v>Sw</v>
      </c>
      <c r="M38" s="98" t="str">
        <f t="shared" si="18"/>
        <v>--</v>
      </c>
      <c r="N38" s="144" t="str">
        <f>IFERROR(_xll.qlRateHelperQuoteName(M38,Trigger),"--")</f>
        <v>--</v>
      </c>
      <c r="O38" s="102" t="str">
        <f>IFERROR(_xll.qlRateHelperQuoteValue($M38,Trigger),"--")</f>
        <v>--</v>
      </c>
      <c r="P38" s="139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21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  <c r="AD38" s="175"/>
    </row>
    <row r="39" spans="1:30" ht="11.25" customHeight="1" x14ac:dyDescent="0.2">
      <c r="A39" s="62" t="s">
        <v>25</v>
      </c>
      <c r="B39" s="63" t="s">
        <v>101</v>
      </c>
      <c r="C39" s="64" t="s">
        <v>6</v>
      </c>
      <c r="D39" s="64" t="s">
        <v>164</v>
      </c>
      <c r="E39" s="64" t="s">
        <v>7</v>
      </c>
      <c r="F39" s="64" t="s">
        <v>159</v>
      </c>
      <c r="G39" s="64" t="str">
        <f t="shared" si="19"/>
        <v>AudBBSW6M</v>
      </c>
      <c r="H39" s="62" t="str">
        <f t="shared" si="20"/>
        <v>AUDSM6AB11Y_Quote</v>
      </c>
      <c r="I39" s="126">
        <v>0</v>
      </c>
      <c r="J39" s="67"/>
      <c r="K39" s="51"/>
      <c r="L39" s="10" t="str">
        <f t="shared" si="17"/>
        <v>Sw</v>
      </c>
      <c r="M39" s="98" t="str">
        <f t="shared" si="18"/>
        <v>obj_00252#0001</v>
      </c>
      <c r="N39" s="144" t="str">
        <f>IFERROR(_xll.qlRateHelperQuoteName(M39,Trigger),"--")</f>
        <v>AUDSM6AB15Y_Quote</v>
      </c>
      <c r="O39" s="102">
        <f>IFERROR(_xll.qlRateHelperQuoteValue($M39,Trigger),"--")</f>
        <v>3.2912499999999997E-2</v>
      </c>
      <c r="P39" s="139" t="b">
        <v>1</v>
      </c>
      <c r="Q39" s="98">
        <v>50</v>
      </c>
      <c r="R39" s="98">
        <v>1</v>
      </c>
      <c r="S39" s="103">
        <f>IFERROR(_xll.qlRateHelperEarliestDate(M39,Trigger),"--")</f>
        <v>42356</v>
      </c>
      <c r="T39" s="103">
        <f>IFERROR(_xll.qlRateHelperPillarDate(M39,Trigger),"--")</f>
        <v>47835</v>
      </c>
      <c r="V39" s="4" t="str">
        <f t="shared" si="21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  <c r="AD39" s="175"/>
    </row>
    <row r="40" spans="1:30" ht="11.25" customHeight="1" x14ac:dyDescent="0.2">
      <c r="A40" s="62" t="s">
        <v>25</v>
      </c>
      <c r="B40" s="63" t="s">
        <v>61</v>
      </c>
      <c r="C40" s="64" t="s">
        <v>6</v>
      </c>
      <c r="D40" s="64" t="s">
        <v>164</v>
      </c>
      <c r="E40" s="64" t="s">
        <v>7</v>
      </c>
      <c r="F40" s="64" t="s">
        <v>159</v>
      </c>
      <c r="G40" s="64" t="str">
        <f t="shared" si="19"/>
        <v>AudBBSW6M</v>
      </c>
      <c r="H40" s="62" t="str">
        <f t="shared" si="20"/>
        <v>AUDSM6AB12Y_Quote</v>
      </c>
      <c r="I40" s="126">
        <v>0</v>
      </c>
      <c r="J40" s="67" t="str">
        <f>_xll.qlSwapRateHelper2(,H40,1,B40,Calendar,D40,E40,F40,G40,I40,C40,Discounting,PillarDate,,Permanent,Trigger,ObjectOverwrite)</f>
        <v>obj_00250#0001</v>
      </c>
      <c r="K40" s="51"/>
      <c r="L40" s="10" t="str">
        <f t="shared" si="17"/>
        <v>Sw</v>
      </c>
      <c r="M40" s="98" t="str">
        <f t="shared" si="18"/>
        <v>--</v>
      </c>
      <c r="N40" s="144" t="str">
        <f>IFERROR(_xll.qlRateHelperQuoteName(M40,Trigger),"--")</f>
        <v>--</v>
      </c>
      <c r="O40" s="102" t="str">
        <f>IFERROR(_xll.qlRateHelperQuoteValue($M40,Trigger),"--")</f>
        <v>--</v>
      </c>
      <c r="P40" s="139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21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  <c r="AD40" s="175"/>
    </row>
    <row r="41" spans="1:30" ht="11.25" customHeight="1" x14ac:dyDescent="0.2">
      <c r="A41" s="62" t="s">
        <v>25</v>
      </c>
      <c r="B41" s="63" t="s">
        <v>102</v>
      </c>
      <c r="C41" s="64" t="s">
        <v>6</v>
      </c>
      <c r="D41" s="64" t="s">
        <v>164</v>
      </c>
      <c r="E41" s="64" t="s">
        <v>7</v>
      </c>
      <c r="F41" s="64" t="s">
        <v>159</v>
      </c>
      <c r="G41" s="64" t="str">
        <f t="shared" si="19"/>
        <v>AudBBSW6M</v>
      </c>
      <c r="H41" s="62" t="str">
        <f t="shared" si="20"/>
        <v>AUDSM6AB13Y_Quote</v>
      </c>
      <c r="I41" s="126">
        <v>0</v>
      </c>
      <c r="J41" s="67"/>
      <c r="L41" s="10" t="str">
        <f t="shared" si="17"/>
        <v>Sw</v>
      </c>
      <c r="M41" s="98" t="str">
        <f t="shared" si="18"/>
        <v>--</v>
      </c>
      <c r="N41" s="144" t="str">
        <f>IFERROR(_xll.qlRateHelperQuoteName(M41,Trigger),"--")</f>
        <v>--</v>
      </c>
      <c r="O41" s="102" t="str">
        <f>IFERROR(_xll.qlRateHelperQuoteValue($M41,Trigger),"--")</f>
        <v>--</v>
      </c>
      <c r="P41" s="139" t="b">
        <v>0</v>
      </c>
      <c r="Q41" s="98">
        <v>50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21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  <c r="AD41" s="175"/>
    </row>
    <row r="42" spans="1:30" ht="11.25" customHeight="1" x14ac:dyDescent="0.2">
      <c r="A42" s="62" t="s">
        <v>25</v>
      </c>
      <c r="B42" s="63" t="s">
        <v>103</v>
      </c>
      <c r="C42" s="64" t="s">
        <v>6</v>
      </c>
      <c r="D42" s="64" t="s">
        <v>164</v>
      </c>
      <c r="E42" s="64" t="s">
        <v>7</v>
      </c>
      <c r="F42" s="64" t="s">
        <v>159</v>
      </c>
      <c r="G42" s="64" t="str">
        <f t="shared" si="19"/>
        <v>AudBBSW6M</v>
      </c>
      <c r="H42" s="62" t="str">
        <f t="shared" si="20"/>
        <v>AUDSM6AB14Y_Quote</v>
      </c>
      <c r="I42" s="126">
        <v>0</v>
      </c>
      <c r="J42" s="67"/>
      <c r="L42" s="10" t="str">
        <f t="shared" si="17"/>
        <v>Sw</v>
      </c>
      <c r="M42" s="98" t="str">
        <f t="shared" si="18"/>
        <v>--</v>
      </c>
      <c r="N42" s="144" t="str">
        <f>IFERROR(_xll.qlRateHelperQuoteName(M42,Trigger),"--")</f>
        <v>--</v>
      </c>
      <c r="O42" s="102" t="str">
        <f>IFERROR(_xll.qlRateHelperQuoteValue($M42,Trigger),"--")</f>
        <v>--</v>
      </c>
      <c r="P42" s="139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 t="shared" si="21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  <c r="AD42" s="175"/>
    </row>
    <row r="43" spans="1:30" ht="11.25" customHeight="1" x14ac:dyDescent="0.2">
      <c r="A43" s="62" t="s">
        <v>25</v>
      </c>
      <c r="B43" s="63" t="s">
        <v>62</v>
      </c>
      <c r="C43" s="64" t="s">
        <v>6</v>
      </c>
      <c r="D43" s="64" t="s">
        <v>164</v>
      </c>
      <c r="E43" s="64" t="s">
        <v>7</v>
      </c>
      <c r="F43" s="64" t="s">
        <v>159</v>
      </c>
      <c r="G43" s="64" t="str">
        <f t="shared" si="19"/>
        <v>AudBBSW6M</v>
      </c>
      <c r="H43" s="62" t="str">
        <f t="shared" si="20"/>
        <v>AUDSM6AB15Y_Quote</v>
      </c>
      <c r="I43" s="126">
        <v>0</v>
      </c>
      <c r="J43" s="67" t="str">
        <f>_xll.qlSwapRateHelper2(,H43,1,B43,Calendar,D43,E43,F43,G43,I43,C43,Discounting,PillarDate,,Permanent,Trigger,ObjectOverwrite)</f>
        <v>obj_00252#0001</v>
      </c>
      <c r="L43" s="10" t="str">
        <f t="shared" si="17"/>
        <v>Sw</v>
      </c>
      <c r="M43" s="98" t="str">
        <f t="shared" si="18"/>
        <v>--</v>
      </c>
      <c r="N43" s="144" t="str">
        <f>IFERROR(_xll.qlRateHelperQuoteName(M43,Trigger),"--")</f>
        <v>--</v>
      </c>
      <c r="O43" s="102" t="str">
        <f>IFERROR(_xll.qlRateHelperQuoteValue($M43,Trigger),"--")</f>
        <v>--</v>
      </c>
      <c r="P43" s="139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21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  <c r="AD43" s="175"/>
    </row>
    <row r="44" spans="1:30" ht="11.25" customHeight="1" x14ac:dyDescent="0.2">
      <c r="A44" s="62" t="s">
        <v>25</v>
      </c>
      <c r="B44" s="63" t="s">
        <v>104</v>
      </c>
      <c r="C44" s="64" t="s">
        <v>6</v>
      </c>
      <c r="D44" s="64" t="s">
        <v>164</v>
      </c>
      <c r="E44" s="64" t="s">
        <v>7</v>
      </c>
      <c r="F44" s="64" t="s">
        <v>159</v>
      </c>
      <c r="G44" s="64" t="str">
        <f t="shared" si="19"/>
        <v>AudBBSW6M</v>
      </c>
      <c r="H44" s="62" t="str">
        <f t="shared" si="20"/>
        <v>AUDSM6AB16Y_Quote</v>
      </c>
      <c r="I44" s="126">
        <v>0</v>
      </c>
      <c r="J44" s="67"/>
      <c r="L44" s="10" t="str">
        <f t="shared" si="17"/>
        <v>Sw</v>
      </c>
      <c r="M44" s="98" t="str">
        <f t="shared" si="18"/>
        <v>obj_00254#0001</v>
      </c>
      <c r="N44" s="144" t="str">
        <f>IFERROR(_xll.qlRateHelperQuoteName(M44,Trigger),"--")</f>
        <v>AUDSM6AB20Y_Quote</v>
      </c>
      <c r="O44" s="102">
        <f>IFERROR(_xll.qlRateHelperQuoteValue($M44,Trigger),"--")</f>
        <v>3.4387499999999994E-2</v>
      </c>
      <c r="P44" s="139" t="b">
        <v>1</v>
      </c>
      <c r="Q44" s="98">
        <v>50</v>
      </c>
      <c r="R44" s="98">
        <v>1</v>
      </c>
      <c r="S44" s="103">
        <f>IFERROR(_xll.qlRateHelperEarliestDate(M44,Trigger),"--")</f>
        <v>42356</v>
      </c>
      <c r="T44" s="103">
        <f>IFERROR(_xll.qlRateHelperPillarDate(M44,Trigger),"--")</f>
        <v>49661</v>
      </c>
      <c r="V44" s="4" t="str">
        <f t="shared" si="21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  <c r="AD44" s="175"/>
    </row>
    <row r="45" spans="1:30" ht="11.25" customHeight="1" x14ac:dyDescent="0.2">
      <c r="A45" s="62" t="s">
        <v>25</v>
      </c>
      <c r="B45" s="63" t="s">
        <v>105</v>
      </c>
      <c r="C45" s="64" t="s">
        <v>6</v>
      </c>
      <c r="D45" s="64" t="s">
        <v>164</v>
      </c>
      <c r="E45" s="64" t="s">
        <v>7</v>
      </c>
      <c r="F45" s="64" t="s">
        <v>159</v>
      </c>
      <c r="G45" s="64" t="str">
        <f t="shared" si="19"/>
        <v>AudBBSW6M</v>
      </c>
      <c r="H45" s="62" t="str">
        <f t="shared" si="20"/>
        <v>AUDSM6AB17Y_Quote</v>
      </c>
      <c r="I45" s="126">
        <v>0</v>
      </c>
      <c r="J45" s="67"/>
      <c r="L45" s="10" t="str">
        <f t="shared" si="17"/>
        <v>Sw</v>
      </c>
      <c r="M45" s="98" t="str">
        <f t="shared" si="18"/>
        <v>--</v>
      </c>
      <c r="N45" s="144" t="str">
        <f>IFERROR(_xll.qlRateHelperQuoteName(M45,Trigger),"--")</f>
        <v>--</v>
      </c>
      <c r="O45" s="102" t="str">
        <f>IFERROR(_xll.qlRateHelperQuoteValue($M45,Trigger),"--")</f>
        <v>--</v>
      </c>
      <c r="P45" s="139" t="b">
        <v>0</v>
      </c>
      <c r="Q45" s="98">
        <v>50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21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  <c r="AD45" s="175"/>
    </row>
    <row r="46" spans="1:30" ht="11.25" customHeight="1" x14ac:dyDescent="0.2">
      <c r="A46" s="62" t="s">
        <v>25</v>
      </c>
      <c r="B46" s="63" t="s">
        <v>106</v>
      </c>
      <c r="C46" s="64" t="s">
        <v>6</v>
      </c>
      <c r="D46" s="64" t="s">
        <v>164</v>
      </c>
      <c r="E46" s="64" t="s">
        <v>7</v>
      </c>
      <c r="F46" s="64" t="s">
        <v>159</v>
      </c>
      <c r="G46" s="64" t="str">
        <f t="shared" si="19"/>
        <v>AudBBSW6M</v>
      </c>
      <c r="H46" s="62" t="str">
        <f t="shared" si="20"/>
        <v>AUDSM6AB18Y_Quote</v>
      </c>
      <c r="I46" s="126">
        <v>0</v>
      </c>
      <c r="J46" s="67"/>
      <c r="L46" s="10" t="str">
        <f t="shared" si="17"/>
        <v>Sw</v>
      </c>
      <c r="M46" s="98" t="str">
        <f t="shared" si="18"/>
        <v>--</v>
      </c>
      <c r="N46" s="144" t="str">
        <f>IFERROR(_xll.qlRateHelperQuoteName(M46,Trigger),"--")</f>
        <v>--</v>
      </c>
      <c r="O46" s="102" t="str">
        <f>IFERROR(_xll.qlRateHelperQuoteValue($M46,Trigger),"--")</f>
        <v>--</v>
      </c>
      <c r="P46" s="139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21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25</v>
      </c>
      <c r="B47" s="63" t="s">
        <v>107</v>
      </c>
      <c r="C47" s="64" t="s">
        <v>6</v>
      </c>
      <c r="D47" s="64" t="s">
        <v>164</v>
      </c>
      <c r="E47" s="64" t="s">
        <v>7</v>
      </c>
      <c r="F47" s="64" t="s">
        <v>159</v>
      </c>
      <c r="G47" s="64" t="str">
        <f t="shared" si="19"/>
        <v>AudBBSW6M</v>
      </c>
      <c r="H47" s="62" t="str">
        <f t="shared" si="20"/>
        <v>AUDSM6AB19Y_Quote</v>
      </c>
      <c r="I47" s="126">
        <v>0</v>
      </c>
      <c r="J47" s="67"/>
      <c r="L47" s="10" t="str">
        <f t="shared" si="17"/>
        <v>Sw</v>
      </c>
      <c r="M47" s="98" t="str">
        <f t="shared" si="18"/>
        <v>--</v>
      </c>
      <c r="N47" s="144" t="str">
        <f>IFERROR(_xll.qlRateHelperQuoteName(M47,Trigger),"--")</f>
        <v>--</v>
      </c>
      <c r="O47" s="102" t="str">
        <f>IFERROR(_xll.qlRateHelperQuoteValue($M47,Trigger),"--")</f>
        <v>--</v>
      </c>
      <c r="P47" s="139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21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25</v>
      </c>
      <c r="B48" s="63" t="s">
        <v>63</v>
      </c>
      <c r="C48" s="64" t="s">
        <v>6</v>
      </c>
      <c r="D48" s="64" t="s">
        <v>164</v>
      </c>
      <c r="E48" s="64" t="s">
        <v>7</v>
      </c>
      <c r="F48" s="64" t="s">
        <v>159</v>
      </c>
      <c r="G48" s="64" t="str">
        <f t="shared" si="19"/>
        <v>AudBBSW6M</v>
      </c>
      <c r="H48" s="62" t="str">
        <f t="shared" si="20"/>
        <v>AUDSM6AB20Y_Quote</v>
      </c>
      <c r="I48" s="126">
        <v>0</v>
      </c>
      <c r="J48" s="67" t="str">
        <f>_xll.qlSwapRateHelper2(,H48,1,B48,Calendar,D48,E48,F48,G48,I48,C48,Discounting,PillarDate,,Permanent,Trigger,ObjectOverwrite)</f>
        <v>obj_00254#0001</v>
      </c>
      <c r="L48" s="10" t="str">
        <f t="shared" si="17"/>
        <v>Sw</v>
      </c>
      <c r="M48" s="98" t="str">
        <f t="shared" si="18"/>
        <v>--</v>
      </c>
      <c r="N48" s="144" t="str">
        <f>IFERROR(_xll.qlRateHelperQuoteName(M48,Trigger),"--")</f>
        <v>--</v>
      </c>
      <c r="O48" s="102" t="str">
        <f>IFERROR(_xll.qlRateHelperQuoteValue($M48,Trigger),"--")</f>
        <v>--</v>
      </c>
      <c r="P48" s="139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21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25</v>
      </c>
      <c r="B49" s="63" t="s">
        <v>108</v>
      </c>
      <c r="C49" s="64" t="s">
        <v>6</v>
      </c>
      <c r="D49" s="64" t="s">
        <v>164</v>
      </c>
      <c r="E49" s="64" t="s">
        <v>7</v>
      </c>
      <c r="F49" s="64" t="s">
        <v>159</v>
      </c>
      <c r="G49" s="64" t="str">
        <f t="shared" si="19"/>
        <v>AudBBSW6M</v>
      </c>
      <c r="H49" s="62" t="str">
        <f t="shared" si="20"/>
        <v>AUDSM6AB21Y_Quote</v>
      </c>
      <c r="I49" s="126">
        <v>0</v>
      </c>
      <c r="J49" s="67"/>
      <c r="L49" s="10" t="str">
        <f t="shared" si="17"/>
        <v>Sw</v>
      </c>
      <c r="M49" s="98" t="str">
        <f t="shared" si="18"/>
        <v>obj_00256#0001</v>
      </c>
      <c r="N49" s="144" t="str">
        <f>IFERROR(_xll.qlRateHelperQuoteName(M49,Trigger),"--")</f>
        <v>AUDSM6AB25Y_Quote</v>
      </c>
      <c r="O49" s="102">
        <f>IFERROR(_xll.qlRateHelperQuoteValue($M49,Trigger),"--")</f>
        <v>3.4812500000000003E-2</v>
      </c>
      <c r="P49" s="139" t="b">
        <v>1</v>
      </c>
      <c r="Q49" s="98">
        <v>50</v>
      </c>
      <c r="R49" s="98">
        <v>1</v>
      </c>
      <c r="S49" s="103">
        <f>IFERROR(_xll.qlRateHelperEarliestDate(M49,Trigger),"--")</f>
        <v>42356</v>
      </c>
      <c r="T49" s="103">
        <f>IFERROR(_xll.qlRateHelperPillarDate(M49,Trigger),"--")</f>
        <v>51488</v>
      </c>
      <c r="V49" s="4" t="str">
        <f t="shared" si="21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25</v>
      </c>
      <c r="B50" s="63" t="s">
        <v>109</v>
      </c>
      <c r="C50" s="64" t="s">
        <v>6</v>
      </c>
      <c r="D50" s="64" t="s">
        <v>164</v>
      </c>
      <c r="E50" s="64" t="s">
        <v>7</v>
      </c>
      <c r="F50" s="64" t="s">
        <v>159</v>
      </c>
      <c r="G50" s="64" t="str">
        <f t="shared" si="19"/>
        <v>AudBBSW6M</v>
      </c>
      <c r="H50" s="62" t="str">
        <f t="shared" si="20"/>
        <v>AUDSM6AB22Y_Quote</v>
      </c>
      <c r="I50" s="126">
        <v>0</v>
      </c>
      <c r="J50" s="67"/>
      <c r="L50" s="10" t="str">
        <f t="shared" si="17"/>
        <v>Sw</v>
      </c>
      <c r="M50" s="98" t="str">
        <f t="shared" si="18"/>
        <v>--</v>
      </c>
      <c r="N50" s="144" t="str">
        <f>IFERROR(_xll.qlRateHelperQuoteName(M50,Trigger),"--")</f>
        <v>--</v>
      </c>
      <c r="O50" s="102" t="str">
        <f>IFERROR(_xll.qlRateHelperQuoteValue($M50,Trigger),"--")</f>
        <v>--</v>
      </c>
      <c r="P50" s="139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21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25</v>
      </c>
      <c r="B51" s="63" t="s">
        <v>110</v>
      </c>
      <c r="C51" s="64" t="s">
        <v>6</v>
      </c>
      <c r="D51" s="64" t="s">
        <v>164</v>
      </c>
      <c r="E51" s="64" t="s">
        <v>7</v>
      </c>
      <c r="F51" s="64" t="s">
        <v>159</v>
      </c>
      <c r="G51" s="64" t="str">
        <f t="shared" si="19"/>
        <v>AudBBSW6M</v>
      </c>
      <c r="H51" s="62" t="str">
        <f t="shared" si="20"/>
        <v>AUDSM6AB23Y_Quote</v>
      </c>
      <c r="I51" s="126">
        <v>0</v>
      </c>
      <c r="J51" s="67"/>
      <c r="L51" s="10" t="str">
        <f t="shared" si="17"/>
        <v>Sw</v>
      </c>
      <c r="M51" s="98" t="str">
        <f t="shared" si="18"/>
        <v>--</v>
      </c>
      <c r="N51" s="144" t="str">
        <f>IFERROR(_xll.qlRateHelperQuoteName(M51,Trigger),"--")</f>
        <v>--</v>
      </c>
      <c r="O51" s="102" t="str">
        <f>IFERROR(_xll.qlRateHelperQuoteValue($M51,Trigger),"--")</f>
        <v>--</v>
      </c>
      <c r="P51" s="139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21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25</v>
      </c>
      <c r="B52" s="63" t="s">
        <v>111</v>
      </c>
      <c r="C52" s="64" t="s">
        <v>6</v>
      </c>
      <c r="D52" s="64" t="s">
        <v>164</v>
      </c>
      <c r="E52" s="64" t="s">
        <v>7</v>
      </c>
      <c r="F52" s="64" t="s">
        <v>159</v>
      </c>
      <c r="G52" s="64" t="str">
        <f t="shared" si="19"/>
        <v>AudBBSW6M</v>
      </c>
      <c r="H52" s="62" t="str">
        <f t="shared" si="20"/>
        <v>AUDSM6AB24Y_Quote</v>
      </c>
      <c r="I52" s="126">
        <v>0</v>
      </c>
      <c r="J52" s="67"/>
      <c r="L52" s="10" t="str">
        <f t="shared" si="17"/>
        <v>Sw</v>
      </c>
      <c r="M52" s="98" t="str">
        <f t="shared" si="18"/>
        <v>--</v>
      </c>
      <c r="N52" s="144" t="str">
        <f>IFERROR(_xll.qlRateHelperQuoteName(M52,Trigger),"--")</f>
        <v>--</v>
      </c>
      <c r="O52" s="102" t="str">
        <f>IFERROR(_xll.qlRateHelperQuoteValue($M52,Trigger),"--")</f>
        <v>--</v>
      </c>
      <c r="P52" s="139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21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25</v>
      </c>
      <c r="B53" s="63" t="s">
        <v>64</v>
      </c>
      <c r="C53" s="64" t="s">
        <v>6</v>
      </c>
      <c r="D53" s="64" t="s">
        <v>164</v>
      </c>
      <c r="E53" s="64" t="s">
        <v>7</v>
      </c>
      <c r="F53" s="64" t="s">
        <v>159</v>
      </c>
      <c r="G53" s="64" t="str">
        <f t="shared" si="19"/>
        <v>AudBBSW6M</v>
      </c>
      <c r="H53" s="62" t="str">
        <f t="shared" si="20"/>
        <v>AUDSM6AB25Y_Quote</v>
      </c>
      <c r="I53" s="126">
        <v>0</v>
      </c>
      <c r="J53" s="67" t="str">
        <f>_xll.qlSwapRateHelper2(,H53,1,B53,Calendar,D53,E53,F53,G53,I53,C53,Discounting,PillarDate,,Permanent,Trigger,ObjectOverwrite)</f>
        <v>obj_00256#0001</v>
      </c>
      <c r="L53" s="10" t="str">
        <f t="shared" si="17"/>
        <v>Sw</v>
      </c>
      <c r="M53" s="98" t="str">
        <f t="shared" si="18"/>
        <v>--</v>
      </c>
      <c r="N53" s="144" t="str">
        <f>IFERROR(_xll.qlRateHelperQuoteName(M53,Trigger),"--")</f>
        <v>--</v>
      </c>
      <c r="O53" s="102" t="str">
        <f>IFERROR(_xll.qlRateHelperQuoteValue($M53,Trigger),"--")</f>
        <v>--</v>
      </c>
      <c r="P53" s="139" t="b">
        <v>0</v>
      </c>
      <c r="Q53" s="98">
        <v>50</v>
      </c>
      <c r="R53" s="98">
        <v>1</v>
      </c>
      <c r="S53" s="103" t="str">
        <f>IFERROR(_xll.qlRateHelperEarliestDate(M53,Trigger),"--")</f>
        <v>--</v>
      </c>
      <c r="T53" s="103" t="str">
        <f>IFERROR(_xll.qlRateHelperPillarDate(M53,Trigger),"--")</f>
        <v>--</v>
      </c>
      <c r="V53" s="4" t="str">
        <f t="shared" si="21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25</v>
      </c>
      <c r="B54" s="63" t="s">
        <v>112</v>
      </c>
      <c r="C54" s="64" t="s">
        <v>6</v>
      </c>
      <c r="D54" s="64" t="s">
        <v>164</v>
      </c>
      <c r="E54" s="64" t="s">
        <v>7</v>
      </c>
      <c r="F54" s="64" t="s">
        <v>159</v>
      </c>
      <c r="G54" s="64" t="str">
        <f t="shared" si="19"/>
        <v>AudBBSW6M</v>
      </c>
      <c r="H54" s="62" t="str">
        <f t="shared" si="20"/>
        <v>AUDSM6AB26Y_Quote</v>
      </c>
      <c r="I54" s="126">
        <v>0</v>
      </c>
      <c r="J54" s="67"/>
      <c r="L54" s="10" t="str">
        <f t="shared" si="17"/>
        <v>Sw</v>
      </c>
      <c r="M54" s="98" t="str">
        <f t="shared" si="18"/>
        <v>obj_00259#0001</v>
      </c>
      <c r="N54" s="144" t="str">
        <f>IFERROR(_xll.qlRateHelperQuoteName(M54,Trigger),"--")</f>
        <v>AUDSM6AB30Y_Quote</v>
      </c>
      <c r="O54" s="102">
        <f>IFERROR(_xll.qlRateHelperQuoteValue($M54,Trigger),"--")</f>
        <v>3.4662499999999999E-2</v>
      </c>
      <c r="P54" s="139" t="b">
        <v>1</v>
      </c>
      <c r="Q54" s="98">
        <v>50</v>
      </c>
      <c r="R54" s="98">
        <v>1</v>
      </c>
      <c r="S54" s="103">
        <f>IFERROR(_xll.qlRateHelperEarliestDate(M54,Trigger),"--")</f>
        <v>42356</v>
      </c>
      <c r="T54" s="103">
        <f>IFERROR(_xll.qlRateHelperPillarDate(M54,Trigger),"--")</f>
        <v>53314</v>
      </c>
      <c r="V54" s="4" t="str">
        <f t="shared" si="21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25</v>
      </c>
      <c r="B55" s="63" t="s">
        <v>65</v>
      </c>
      <c r="C55" s="64" t="s">
        <v>6</v>
      </c>
      <c r="D55" s="64" t="s">
        <v>164</v>
      </c>
      <c r="E55" s="64" t="s">
        <v>7</v>
      </c>
      <c r="F55" s="64" t="s">
        <v>159</v>
      </c>
      <c r="G55" s="64" t="str">
        <f t="shared" si="19"/>
        <v>AudBBSW6M</v>
      </c>
      <c r="H55" s="62" t="str">
        <f t="shared" si="20"/>
        <v>AUDSM6AB27Y_Quote</v>
      </c>
      <c r="I55" s="126">
        <v>0</v>
      </c>
      <c r="J55" s="67"/>
      <c r="L55" s="10" t="str">
        <f t="shared" si="17"/>
        <v>Sw</v>
      </c>
      <c r="M55" s="98" t="str">
        <f t="shared" si="18"/>
        <v>--</v>
      </c>
      <c r="N55" s="144" t="str">
        <f>IFERROR(_xll.qlRateHelperQuoteName(M55,Trigger),"--")</f>
        <v>--</v>
      </c>
      <c r="O55" s="102" t="str">
        <f>IFERROR(_xll.qlRateHelperQuoteValue($M55,Trigger),"--")</f>
        <v>--</v>
      </c>
      <c r="P55" s="139" t="b">
        <v>0</v>
      </c>
      <c r="Q55" s="98">
        <v>50</v>
      </c>
      <c r="R55" s="98">
        <v>1</v>
      </c>
      <c r="S55" s="103" t="str">
        <f>IFERROR(_xll.qlRateHelperEarliestDate(M55,Trigger),"--")</f>
        <v>--</v>
      </c>
      <c r="T55" s="103" t="str">
        <f>IFERROR(_xll.qlRateHelperPillarDate(M55,Trigger),"--")</f>
        <v>--</v>
      </c>
      <c r="V55" s="4" t="str">
        <f t="shared" si="21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25</v>
      </c>
      <c r="B56" s="63" t="s">
        <v>113</v>
      </c>
      <c r="C56" s="64" t="s">
        <v>6</v>
      </c>
      <c r="D56" s="64" t="s">
        <v>164</v>
      </c>
      <c r="E56" s="64" t="s">
        <v>7</v>
      </c>
      <c r="F56" s="64" t="s">
        <v>159</v>
      </c>
      <c r="G56" s="64" t="str">
        <f t="shared" si="19"/>
        <v>AudBBSW6M</v>
      </c>
      <c r="H56" s="62" t="str">
        <f t="shared" si="20"/>
        <v>AUDSM6AB28Y_Quote</v>
      </c>
      <c r="I56" s="126">
        <v>0</v>
      </c>
      <c r="J56" s="67"/>
      <c r="L56" s="10" t="str">
        <f t="shared" si="17"/>
        <v>Sw</v>
      </c>
      <c r="M56" s="98" t="str">
        <f t="shared" si="18"/>
        <v>--</v>
      </c>
      <c r="N56" s="144" t="str">
        <f>IFERROR(_xll.qlRateHelperQuoteName(M56,Trigger),"--")</f>
        <v>--</v>
      </c>
      <c r="O56" s="102" t="str">
        <f>IFERROR(_xll.qlRateHelperQuoteValue($M56,Trigger),"--")</f>
        <v>--</v>
      </c>
      <c r="P56" s="139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21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25</v>
      </c>
      <c r="B57" s="63" t="s">
        <v>114</v>
      </c>
      <c r="C57" s="64" t="s">
        <v>6</v>
      </c>
      <c r="D57" s="64" t="s">
        <v>164</v>
      </c>
      <c r="E57" s="64" t="s">
        <v>7</v>
      </c>
      <c r="F57" s="64" t="s">
        <v>159</v>
      </c>
      <c r="G57" s="64" t="str">
        <f t="shared" si="19"/>
        <v>AudBBSW6M</v>
      </c>
      <c r="H57" s="62" t="str">
        <f t="shared" si="20"/>
        <v>AUDSM6AB29Y_Quote</v>
      </c>
      <c r="I57" s="126">
        <v>0</v>
      </c>
      <c r="J57" s="67"/>
      <c r="L57" s="10" t="str">
        <f t="shared" si="17"/>
        <v>Sw</v>
      </c>
      <c r="M57" s="98" t="str">
        <f t="shared" si="18"/>
        <v>--</v>
      </c>
      <c r="N57" s="144" t="str">
        <f>IFERROR(_xll.qlRateHelperQuoteName(M57,Trigger),"--")</f>
        <v>--</v>
      </c>
      <c r="O57" s="102" t="str">
        <f>IFERROR(_xll.qlRateHelperQuoteValue($M57,Trigger),"--")</f>
        <v>--</v>
      </c>
      <c r="P57" s="139" t="b">
        <v>0</v>
      </c>
      <c r="Q57" s="98">
        <v>50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21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25</v>
      </c>
      <c r="B58" s="63" t="s">
        <v>66</v>
      </c>
      <c r="C58" s="64" t="s">
        <v>6</v>
      </c>
      <c r="D58" s="64" t="s">
        <v>164</v>
      </c>
      <c r="E58" s="64" t="s">
        <v>7</v>
      </c>
      <c r="F58" s="64" t="s">
        <v>159</v>
      </c>
      <c r="G58" s="64" t="str">
        <f t="shared" si="19"/>
        <v>AudBBSW6M</v>
      </c>
      <c r="H58" s="62" t="str">
        <f t="shared" si="20"/>
        <v>AUDSM6AB30Y_Quote</v>
      </c>
      <c r="I58" s="126">
        <v>0</v>
      </c>
      <c r="J58" s="67" t="str">
        <f>_xll.qlSwapRateHelper2(,H58,1,B58,Calendar,D58,E58,F58,G58,I58,C58,Discounting,PillarDate,,Permanent,Trigger,ObjectOverwrite)</f>
        <v>obj_00259#0001</v>
      </c>
      <c r="L58" s="10" t="str">
        <f t="shared" si="17"/>
        <v>Sw</v>
      </c>
      <c r="M58" s="98" t="str">
        <f t="shared" si="18"/>
        <v>--</v>
      </c>
      <c r="N58" s="144" t="str">
        <f>IFERROR(_xll.qlRateHelperQuoteName(M58,Trigger),"--")</f>
        <v>--</v>
      </c>
      <c r="O58" s="102" t="str">
        <f>IFERROR(_xll.qlRateHelperQuoteValue($M58,Trigger),"--")</f>
        <v>--</v>
      </c>
      <c r="P58" s="139" t="b">
        <v>0</v>
      </c>
      <c r="Q58" s="98">
        <v>50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21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25</v>
      </c>
      <c r="B59" s="63" t="s">
        <v>67</v>
      </c>
      <c r="C59" s="64" t="s">
        <v>6</v>
      </c>
      <c r="D59" s="64" t="s">
        <v>164</v>
      </c>
      <c r="E59" s="64" t="s">
        <v>7</v>
      </c>
      <c r="F59" s="64" t="s">
        <v>159</v>
      </c>
      <c r="G59" s="64" t="str">
        <f t="shared" si="19"/>
        <v>AudBBSW6M</v>
      </c>
      <c r="H59" s="62" t="str">
        <f t="shared" si="20"/>
        <v>AUDSM6AB35Y_Quote</v>
      </c>
      <c r="I59" s="126">
        <v>0</v>
      </c>
      <c r="J59" s="67"/>
      <c r="L59" s="71" t="str">
        <f t="shared" ref="L59:L95" si="22">A65</f>
        <v>BasSw</v>
      </c>
      <c r="M59" s="130" t="str">
        <f t="shared" ref="M59:M95" si="23">IF(ISBLANK(J65),"--",J65)</f>
        <v>obj_00233#0001</v>
      </c>
      <c r="N59" s="143" t="str">
        <f>IFERROR(_xll.qlRateHelperQuoteName(M59,Trigger),"--")</f>
        <v>AUDQM3AB1Y_S3BR6BR_Quote</v>
      </c>
      <c r="O59" s="132">
        <f>IFERROR(_xll.qlRateHelperQuoteValue($M59,Trigger),"--")</f>
        <v>2.3688867495138034E-2</v>
      </c>
      <c r="P59" s="135" t="b">
        <v>1</v>
      </c>
      <c r="Q59" s="130">
        <v>50</v>
      </c>
      <c r="R59" s="130">
        <v>1</v>
      </c>
      <c r="S59" s="133">
        <f>IFERROR(_xll.qlRateHelperEarliestDate(M59,Trigger),"--")</f>
        <v>42356</v>
      </c>
      <c r="T59" s="133">
        <f>IFERROR(_xll.qlRateHelperPillarDate(M59,Trigger),"--")</f>
        <v>42723</v>
      </c>
      <c r="V59" s="4" t="str">
        <f t="shared" si="21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25</v>
      </c>
      <c r="B60" s="63" t="s">
        <v>68</v>
      </c>
      <c r="C60" s="64" t="s">
        <v>6</v>
      </c>
      <c r="D60" s="64" t="s">
        <v>164</v>
      </c>
      <c r="E60" s="64" t="s">
        <v>7</v>
      </c>
      <c r="F60" s="64" t="s">
        <v>159</v>
      </c>
      <c r="G60" s="64" t="str">
        <f t="shared" si="19"/>
        <v>AudBBSW6M</v>
      </c>
      <c r="H60" s="62" t="str">
        <f t="shared" si="20"/>
        <v>AUDSM6AB40Y_Quote</v>
      </c>
      <c r="I60" s="126">
        <v>0</v>
      </c>
      <c r="J60" s="67"/>
      <c r="L60" s="10" t="str">
        <f t="shared" si="22"/>
        <v>BasSw</v>
      </c>
      <c r="M60" s="98" t="str">
        <f t="shared" si="23"/>
        <v>--</v>
      </c>
      <c r="N60" s="144" t="str">
        <f>IFERROR(_xll.qlRateHelperQuoteName(M60,Trigger),"--")</f>
        <v>--</v>
      </c>
      <c r="O60" s="102" t="str">
        <f>IFERROR(_xll.qlRateHelperQuoteValue($M60,Trigger),"--")</f>
        <v>--</v>
      </c>
      <c r="P60" s="139" t="b">
        <v>0</v>
      </c>
      <c r="Q60" s="98">
        <v>50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21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25</v>
      </c>
      <c r="B61" s="63" t="s">
        <v>69</v>
      </c>
      <c r="C61" s="64" t="s">
        <v>6</v>
      </c>
      <c r="D61" s="64" t="s">
        <v>164</v>
      </c>
      <c r="E61" s="64" t="s">
        <v>7</v>
      </c>
      <c r="F61" s="64" t="s">
        <v>159</v>
      </c>
      <c r="G61" s="64" t="str">
        <f t="shared" si="19"/>
        <v>AudBBSW6M</v>
      </c>
      <c r="H61" s="62" t="str">
        <f t="shared" si="20"/>
        <v>AUDSM6AB50Y_Quote</v>
      </c>
      <c r="I61" s="124">
        <v>0</v>
      </c>
      <c r="J61" s="67"/>
      <c r="L61" s="10" t="str">
        <f t="shared" si="22"/>
        <v>BasSw</v>
      </c>
      <c r="M61" s="98" t="str">
        <f t="shared" si="23"/>
        <v>--</v>
      </c>
      <c r="N61" s="144" t="str">
        <f>IFERROR(_xll.qlRateHelperQuoteName(M61,Trigger),"--")</f>
        <v>--</v>
      </c>
      <c r="O61" s="102" t="str">
        <f>IFERROR(_xll.qlRateHelperQuoteValue($M61,Trigger),"--")</f>
        <v>--</v>
      </c>
      <c r="P61" s="139" t="b">
        <v>0</v>
      </c>
      <c r="Q61" s="98">
        <v>50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21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1" t="s">
        <v>25</v>
      </c>
      <c r="B62" s="8" t="s">
        <v>115</v>
      </c>
      <c r="C62" s="7" t="s">
        <v>6</v>
      </c>
      <c r="D62" s="7" t="s">
        <v>164</v>
      </c>
      <c r="E62" s="7" t="s">
        <v>7</v>
      </c>
      <c r="F62" s="7" t="s">
        <v>159</v>
      </c>
      <c r="G62" s="7" t="str">
        <f t="shared" si="19"/>
        <v>AudBBSW6M</v>
      </c>
      <c r="H62" s="1" t="str">
        <f t="shared" si="20"/>
        <v>AUDSM6AB60Y_Quote</v>
      </c>
      <c r="I62" s="127">
        <v>0</v>
      </c>
      <c r="J62" s="3"/>
      <c r="L62" s="10" t="str">
        <f t="shared" si="22"/>
        <v>BasSw</v>
      </c>
      <c r="M62" s="98" t="str">
        <f t="shared" si="23"/>
        <v>--</v>
      </c>
      <c r="N62" s="144" t="str">
        <f>IFERROR(_xll.qlRateHelperQuoteName(M62,Trigger),"--")</f>
        <v>--</v>
      </c>
      <c r="O62" s="102" t="str">
        <f>IFERROR(_xll.qlRateHelperQuoteValue($M62,Trigger),"--")</f>
        <v>--</v>
      </c>
      <c r="P62" s="139" t="b">
        <v>0</v>
      </c>
      <c r="Q62" s="98">
        <v>50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21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G63" s="53" t="s">
        <v>162</v>
      </c>
      <c r="H63" s="107" t="s">
        <v>163</v>
      </c>
      <c r="L63" s="10" t="str">
        <f t="shared" si="22"/>
        <v>BasSw</v>
      </c>
      <c r="M63" s="98" t="str">
        <f t="shared" si="23"/>
        <v>obj_00239#0001</v>
      </c>
      <c r="N63" s="144" t="str">
        <f>IFERROR(_xll.qlRateHelperQuoteName(M63,Trigger),"--")</f>
        <v>AUDQM3AB2Y_S3BR6BR_Quote</v>
      </c>
      <c r="O63" s="102">
        <f>IFERROR(_xll.qlRateHelperQuoteValue($M63,Trigger),"--")</f>
        <v>2.3460577241291594E-2</v>
      </c>
      <c r="P63" s="139" t="b">
        <v>1</v>
      </c>
      <c r="Q63" s="98">
        <v>50</v>
      </c>
      <c r="R63" s="98">
        <v>1</v>
      </c>
      <c r="S63" s="103">
        <f>IFERROR(_xll.qlRateHelperEarliestDate(M63,Trigger),"--")</f>
        <v>42356</v>
      </c>
      <c r="T63" s="103">
        <f>IFERROR(_xll.qlRateHelperPillarDate(M63,Trigger),"--")</f>
        <v>43087</v>
      </c>
      <c r="V63" s="4" t="str">
        <f t="shared" si="21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8" t="s">
        <v>8</v>
      </c>
      <c r="B64" s="68" t="s">
        <v>28</v>
      </c>
      <c r="C64" s="68" t="s">
        <v>117</v>
      </c>
      <c r="D64" s="68" t="s">
        <v>5</v>
      </c>
      <c r="E64" s="68" t="s">
        <v>33</v>
      </c>
      <c r="F64" s="68" t="s">
        <v>118</v>
      </c>
      <c r="G64" s="68" t="s">
        <v>4</v>
      </c>
      <c r="H64" s="68" t="s">
        <v>1</v>
      </c>
      <c r="I64" s="68" t="s">
        <v>116</v>
      </c>
      <c r="J64" s="68" t="s">
        <v>24</v>
      </c>
      <c r="L64" s="10" t="str">
        <f t="shared" si="22"/>
        <v>BasSw</v>
      </c>
      <c r="M64" s="98" t="str">
        <f t="shared" si="23"/>
        <v>obj_00248#0001</v>
      </c>
      <c r="N64" s="144" t="str">
        <f>IFERROR(_xll.qlRateHelperQuoteName(M64,Trigger),"--")</f>
        <v>AUDQM3AB3Y_S3BR6BR_Quote</v>
      </c>
      <c r="O64" s="102">
        <f>IFERROR(_xll.qlRateHelperQuoteValue($M64,Trigger),"--")</f>
        <v>2.4055597227684355E-2</v>
      </c>
      <c r="P64" s="139" t="b">
        <v>1</v>
      </c>
      <c r="Q64" s="98">
        <v>50</v>
      </c>
      <c r="R64" s="98">
        <v>1</v>
      </c>
      <c r="S64" s="103">
        <f>IFERROR(_xll.qlRateHelperEarliestDate(M64,Trigger),"--")</f>
        <v>42356</v>
      </c>
      <c r="T64" s="103">
        <f>IFERROR(_xll.qlRateHelperPillarDate(M64,Trigger),"--")</f>
        <v>43452</v>
      </c>
      <c r="V64" s="4" t="str">
        <f t="shared" si="21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56" t="s">
        <v>121</v>
      </c>
      <c r="B65" s="57" t="s">
        <v>27</v>
      </c>
      <c r="C65" s="58" t="s">
        <v>6</v>
      </c>
      <c r="D65" s="58" t="s">
        <v>161</v>
      </c>
      <c r="E65" s="58" t="s">
        <v>7</v>
      </c>
      <c r="F65" s="58" t="s">
        <v>159</v>
      </c>
      <c r="G65" s="58" t="str">
        <f t="shared" ref="G65:G101" si="24">PROPER(Currency)&amp;FamilyName&amp;Tenor</f>
        <v>AudBBSW6M</v>
      </c>
      <c r="H65" s="56" t="str">
        <f t="shared" ref="H65:H101" si="25">Currency&amp;$G$63&amp;$H$63&amp;B65&amp;"_S"&amp;"3BR"&amp;"6BR"&amp;QuoteSuffix</f>
        <v>AUDQM3AB1Y_S3BR6BR_Quote</v>
      </c>
      <c r="I65" s="125">
        <v>0</v>
      </c>
      <c r="J65" s="61" t="str">
        <f>_xll.qlSwapRateHelper2(,H65,1,B65,Calendar,D65,E65,F65,G65,I65,C65,Discounting,PillarDate,,Permanent,Trigger,ObjectOverwrite)</f>
        <v>obj_00233#0001</v>
      </c>
      <c r="L65" s="10" t="str">
        <f t="shared" si="22"/>
        <v>BasSw</v>
      </c>
      <c r="M65" s="98" t="str">
        <f t="shared" si="23"/>
        <v>--</v>
      </c>
      <c r="N65" s="144" t="str">
        <f>IFERROR(_xll.qlRateHelperQuoteName(M65,Trigger),"--")</f>
        <v>--</v>
      </c>
      <c r="O65" s="102" t="str">
        <f>IFERROR(_xll.qlRateHelperQuoteValue($M65,Trigger),"--")</f>
        <v>--</v>
      </c>
      <c r="P65" s="139" t="b">
        <v>0</v>
      </c>
      <c r="Q65" s="98">
        <v>50</v>
      </c>
      <c r="R65" s="98">
        <v>1</v>
      </c>
      <c r="S65" s="103" t="str">
        <f>IFERROR(_xll.qlRateHelperEarliestDate(M65,Trigger),"--")</f>
        <v>--</v>
      </c>
      <c r="T65" s="103" t="str">
        <f>IFERROR(_xll.qlRateHelperPillarDate(M65,Trigger),"--")</f>
        <v>--</v>
      </c>
      <c r="V65" s="4" t="str">
        <f t="shared" si="21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121</v>
      </c>
      <c r="B66" s="63" t="s">
        <v>49</v>
      </c>
      <c r="C66" s="64" t="s">
        <v>6</v>
      </c>
      <c r="D66" s="64" t="s">
        <v>161</v>
      </c>
      <c r="E66" s="64" t="s">
        <v>7</v>
      </c>
      <c r="F66" s="64" t="s">
        <v>159</v>
      </c>
      <c r="G66" s="64" t="str">
        <f t="shared" si="24"/>
        <v>AudBBSW6M</v>
      </c>
      <c r="H66" s="62" t="str">
        <f t="shared" si="25"/>
        <v>AUDQM3AB15M_S3BR6BR_Quote</v>
      </c>
      <c r="I66" s="126">
        <v>0</v>
      </c>
      <c r="J66" s="67"/>
      <c r="L66" s="10" t="str">
        <f t="shared" si="22"/>
        <v>BasSw</v>
      </c>
      <c r="M66" s="98" t="str">
        <f t="shared" si="23"/>
        <v>--</v>
      </c>
      <c r="N66" s="144" t="str">
        <f>IFERROR(_xll.qlRateHelperQuoteName(M66,Trigger),"--")</f>
        <v>--</v>
      </c>
      <c r="O66" s="102" t="str">
        <f>IFERROR(_xll.qlRateHelperQuoteValue($M66,Trigger),"--")</f>
        <v>--</v>
      </c>
      <c r="P66" s="139" t="b">
        <v>0</v>
      </c>
      <c r="Q66" s="98">
        <v>50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21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121</v>
      </c>
      <c r="B67" s="63" t="s">
        <v>50</v>
      </c>
      <c r="C67" s="64" t="s">
        <v>6</v>
      </c>
      <c r="D67" s="64" t="s">
        <v>161</v>
      </c>
      <c r="E67" s="64" t="s">
        <v>7</v>
      </c>
      <c r="F67" s="64" t="s">
        <v>159</v>
      </c>
      <c r="G67" s="64" t="str">
        <f t="shared" si="24"/>
        <v>AudBBSW6M</v>
      </c>
      <c r="H67" s="62" t="str">
        <f t="shared" si="25"/>
        <v>AUDQM3AB18M_S3BR6BR_Quote</v>
      </c>
      <c r="I67" s="126">
        <v>0</v>
      </c>
      <c r="J67" s="67"/>
      <c r="L67" s="10" t="str">
        <f t="shared" si="22"/>
        <v>BasSw</v>
      </c>
      <c r="M67" s="98" t="str">
        <f t="shared" si="23"/>
        <v>--</v>
      </c>
      <c r="N67" s="144" t="str">
        <f>IFERROR(_xll.qlRateHelperQuoteName(M67,Trigger),"--")</f>
        <v>--</v>
      </c>
      <c r="O67" s="102" t="str">
        <f>IFERROR(_xll.qlRateHelperQuoteValue($M67,Trigger),"--")</f>
        <v>--</v>
      </c>
      <c r="P67" s="139" t="b">
        <v>0</v>
      </c>
      <c r="Q67" s="98">
        <v>50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ref="V67:V95" si="26">IFERROR(INDEX($L$3:$L$95,MATCH(X67,$N$3:$N$95,0),1),"")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121</v>
      </c>
      <c r="B68" s="63" t="s">
        <v>51</v>
      </c>
      <c r="C68" s="64" t="s">
        <v>6</v>
      </c>
      <c r="D68" s="64" t="s">
        <v>161</v>
      </c>
      <c r="E68" s="64" t="s">
        <v>7</v>
      </c>
      <c r="F68" s="64" t="s">
        <v>159</v>
      </c>
      <c r="G68" s="64" t="str">
        <f t="shared" si="24"/>
        <v>AudBBSW6M</v>
      </c>
      <c r="H68" s="62" t="str">
        <f t="shared" si="25"/>
        <v>AUDQM3AB21M_S3BR6BR_Quote</v>
      </c>
      <c r="I68" s="126">
        <v>0</v>
      </c>
      <c r="J68" s="67"/>
      <c r="L68" s="10" t="str">
        <f t="shared" si="22"/>
        <v>BasSw</v>
      </c>
      <c r="M68" s="98" t="str">
        <f t="shared" si="23"/>
        <v>--</v>
      </c>
      <c r="N68" s="144" t="str">
        <f>IFERROR(_xll.qlRateHelperQuoteName(M68,Trigger),"--")</f>
        <v>--</v>
      </c>
      <c r="O68" s="102" t="str">
        <f>IFERROR(_xll.qlRateHelperQuoteValue($M68,Trigger),"--")</f>
        <v>--</v>
      </c>
      <c r="P68" s="139" t="b">
        <v>0</v>
      </c>
      <c r="Q68" s="98">
        <v>50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si="26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121</v>
      </c>
      <c r="B69" s="63" t="s">
        <v>52</v>
      </c>
      <c r="C69" s="64" t="s">
        <v>6</v>
      </c>
      <c r="D69" s="64" t="s">
        <v>161</v>
      </c>
      <c r="E69" s="64" t="s">
        <v>7</v>
      </c>
      <c r="F69" s="64" t="s">
        <v>159</v>
      </c>
      <c r="G69" s="64" t="str">
        <f t="shared" si="24"/>
        <v>AudBBSW6M</v>
      </c>
      <c r="H69" s="62" t="str">
        <f t="shared" si="25"/>
        <v>AUDQM3AB2Y_S3BR6BR_Quote</v>
      </c>
      <c r="I69" s="126">
        <v>0</v>
      </c>
      <c r="J69" s="67" t="str">
        <f>_xll.qlSwapRateHelper2(,H69,1,B69,Calendar,D69,E69,F69,G69,I69,C69,Discounting,PillarDate,,Permanent,Trigger,ObjectOverwrite)</f>
        <v>obj_00239#0001</v>
      </c>
      <c r="L69" s="10" t="str">
        <f t="shared" si="22"/>
        <v>BasSw</v>
      </c>
      <c r="M69" s="98" t="str">
        <f t="shared" si="23"/>
        <v>--</v>
      </c>
      <c r="N69" s="144" t="str">
        <f>IFERROR(_xll.qlRateHelperQuoteName(M69,Trigger),"--")</f>
        <v>--</v>
      </c>
      <c r="O69" s="102" t="str">
        <f>IFERROR(_xll.qlRateHelperQuoteValue($M69,Trigger),"--")</f>
        <v>--</v>
      </c>
      <c r="P69" s="139" t="b">
        <v>0</v>
      </c>
      <c r="Q69" s="98">
        <v>50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26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121</v>
      </c>
      <c r="B70" s="63" t="s">
        <v>53</v>
      </c>
      <c r="C70" s="64" t="s">
        <v>6</v>
      </c>
      <c r="D70" s="64" t="s">
        <v>161</v>
      </c>
      <c r="E70" s="64" t="s">
        <v>7</v>
      </c>
      <c r="F70" s="64" t="s">
        <v>159</v>
      </c>
      <c r="G70" s="64" t="str">
        <f t="shared" si="24"/>
        <v>AudBBSW6M</v>
      </c>
      <c r="H70" s="62" t="str">
        <f t="shared" si="25"/>
        <v>AUDQM3AB3Y_S3BR6BR_Quote</v>
      </c>
      <c r="I70" s="126">
        <v>0</v>
      </c>
      <c r="J70" s="67" t="str">
        <f>_xll.qlSwapRateHelper2(,H70,1,B70,Calendar,D70,E70,F70,G70,I70,C70,Discounting,PillarDate,,Permanent,Trigger,ObjectOverwrite)</f>
        <v>obj_00248#0001</v>
      </c>
      <c r="L70" s="10" t="str">
        <f t="shared" si="22"/>
        <v>BasSw</v>
      </c>
      <c r="M70" s="98" t="str">
        <f t="shared" si="23"/>
        <v>--</v>
      </c>
      <c r="N70" s="144" t="str">
        <f>IFERROR(_xll.qlRateHelperQuoteName(M70,Trigger),"--")</f>
        <v>--</v>
      </c>
      <c r="O70" s="102" t="str">
        <f>IFERROR(_xll.qlRateHelperQuoteValue($M70,Trigger),"--")</f>
        <v>--</v>
      </c>
      <c r="P70" s="139" t="b">
        <v>0</v>
      </c>
      <c r="Q70" s="98">
        <v>50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26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121</v>
      </c>
      <c r="B71" s="63" t="s">
        <v>54</v>
      </c>
      <c r="C71" s="64" t="s">
        <v>6</v>
      </c>
      <c r="D71" s="64" t="s">
        <v>161</v>
      </c>
      <c r="E71" s="64" t="s">
        <v>7</v>
      </c>
      <c r="F71" s="64" t="s">
        <v>159</v>
      </c>
      <c r="G71" s="64" t="str">
        <f t="shared" si="24"/>
        <v>AudBBSW6M</v>
      </c>
      <c r="H71" s="62" t="str">
        <f t="shared" si="25"/>
        <v>AUDQM3AB4Y_S3BR6BR_Quote</v>
      </c>
      <c r="I71" s="126">
        <v>0</v>
      </c>
      <c r="J71" s="67"/>
      <c r="L71" s="10" t="str">
        <f t="shared" si="22"/>
        <v>BasSw</v>
      </c>
      <c r="M71" s="98" t="str">
        <f t="shared" si="23"/>
        <v>--</v>
      </c>
      <c r="N71" s="144" t="str">
        <f>IFERROR(_xll.qlRateHelperQuoteName(M71,Trigger),"--")</f>
        <v>--</v>
      </c>
      <c r="O71" s="102" t="str">
        <f>IFERROR(_xll.qlRateHelperQuoteValue($M71,Trigger),"--")</f>
        <v>--</v>
      </c>
      <c r="P71" s="139" t="b">
        <v>0</v>
      </c>
      <c r="Q71" s="98">
        <v>50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26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121</v>
      </c>
      <c r="B72" s="63" t="s">
        <v>55</v>
      </c>
      <c r="C72" s="64" t="s">
        <v>6</v>
      </c>
      <c r="D72" s="64" t="s">
        <v>161</v>
      </c>
      <c r="E72" s="64" t="s">
        <v>7</v>
      </c>
      <c r="F72" s="64" t="s">
        <v>159</v>
      </c>
      <c r="G72" s="64" t="str">
        <f t="shared" si="24"/>
        <v>AudBBSW6M</v>
      </c>
      <c r="H72" s="62" t="str">
        <f t="shared" si="25"/>
        <v>AUDQM3AB5Y_S3BR6BR_Quote</v>
      </c>
      <c r="I72" s="126">
        <v>0</v>
      </c>
      <c r="J72" s="67"/>
      <c r="L72" s="10" t="str">
        <f t="shared" si="22"/>
        <v>BasSw</v>
      </c>
      <c r="M72" s="98" t="str">
        <f t="shared" si="23"/>
        <v>--</v>
      </c>
      <c r="N72" s="144" t="str">
        <f>IFERROR(_xll.qlRateHelperQuoteName(M72,Trigger),"--")</f>
        <v>--</v>
      </c>
      <c r="O72" s="102" t="str">
        <f>IFERROR(_xll.qlRateHelperQuoteValue($M72,Trigger),"--")</f>
        <v>--</v>
      </c>
      <c r="P72" s="139" t="b">
        <v>0</v>
      </c>
      <c r="Q72" s="98">
        <v>50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26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121</v>
      </c>
      <c r="B73" s="63" t="s">
        <v>56</v>
      </c>
      <c r="C73" s="64" t="s">
        <v>6</v>
      </c>
      <c r="D73" s="64" t="s">
        <v>161</v>
      </c>
      <c r="E73" s="64" t="s">
        <v>7</v>
      </c>
      <c r="F73" s="64" t="s">
        <v>159</v>
      </c>
      <c r="G73" s="64" t="str">
        <f t="shared" si="24"/>
        <v>AudBBSW6M</v>
      </c>
      <c r="H73" s="62" t="str">
        <f t="shared" si="25"/>
        <v>AUDQM3AB6Y_S3BR6BR_Quote</v>
      </c>
      <c r="I73" s="126">
        <v>0</v>
      </c>
      <c r="J73" s="67"/>
      <c r="L73" s="10" t="str">
        <f t="shared" si="22"/>
        <v>BasSw</v>
      </c>
      <c r="M73" s="98" t="str">
        <f t="shared" si="23"/>
        <v>--</v>
      </c>
      <c r="N73" s="144" t="str">
        <f>IFERROR(_xll.qlRateHelperQuoteName(M73,Trigger),"--")</f>
        <v>--</v>
      </c>
      <c r="O73" s="102" t="str">
        <f>IFERROR(_xll.qlRateHelperQuoteValue($M73,Trigger),"--")</f>
        <v>--</v>
      </c>
      <c r="P73" s="139" t="b">
        <v>0</v>
      </c>
      <c r="Q73" s="98">
        <v>50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26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121</v>
      </c>
      <c r="B74" s="63" t="s">
        <v>57</v>
      </c>
      <c r="C74" s="64" t="s">
        <v>6</v>
      </c>
      <c r="D74" s="64" t="s">
        <v>161</v>
      </c>
      <c r="E74" s="64" t="s">
        <v>7</v>
      </c>
      <c r="F74" s="64" t="s">
        <v>159</v>
      </c>
      <c r="G74" s="64" t="str">
        <f t="shared" si="24"/>
        <v>AudBBSW6M</v>
      </c>
      <c r="H74" s="62" t="str">
        <f t="shared" si="25"/>
        <v>AUDQM3AB7Y_S3BR6BR_Quote</v>
      </c>
      <c r="I74" s="126">
        <v>0</v>
      </c>
      <c r="J74" s="67"/>
      <c r="L74" s="10" t="str">
        <f t="shared" si="22"/>
        <v>BasSw</v>
      </c>
      <c r="M74" s="98" t="str">
        <f t="shared" si="23"/>
        <v>--</v>
      </c>
      <c r="N74" s="144" t="str">
        <f>IFERROR(_xll.qlRateHelperQuoteName(M74,Trigger),"--")</f>
        <v>--</v>
      </c>
      <c r="O74" s="102" t="str">
        <f>IFERROR(_xll.qlRateHelperQuoteValue($M74,Trigger),"--")</f>
        <v>--</v>
      </c>
      <c r="P74" s="139" t="b">
        <v>0</v>
      </c>
      <c r="Q74" s="98">
        <v>50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26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121</v>
      </c>
      <c r="B75" s="63" t="s">
        <v>58</v>
      </c>
      <c r="C75" s="64" t="s">
        <v>6</v>
      </c>
      <c r="D75" s="64" t="s">
        <v>161</v>
      </c>
      <c r="E75" s="64" t="s">
        <v>7</v>
      </c>
      <c r="F75" s="64" t="s">
        <v>159</v>
      </c>
      <c r="G75" s="64" t="str">
        <f t="shared" si="24"/>
        <v>AudBBSW6M</v>
      </c>
      <c r="H75" s="62" t="str">
        <f t="shared" si="25"/>
        <v>AUDQM3AB8Y_S3BR6BR_Quote</v>
      </c>
      <c r="I75" s="126">
        <v>0</v>
      </c>
      <c r="J75" s="67"/>
      <c r="L75" s="10" t="str">
        <f t="shared" si="22"/>
        <v>BasSw</v>
      </c>
      <c r="M75" s="98" t="str">
        <f t="shared" si="23"/>
        <v>--</v>
      </c>
      <c r="N75" s="144" t="str">
        <f>IFERROR(_xll.qlRateHelperQuoteName(M75,Trigger),"--")</f>
        <v>--</v>
      </c>
      <c r="O75" s="102" t="str">
        <f>IFERROR(_xll.qlRateHelperQuoteValue($M75,Trigger),"--")</f>
        <v>--</v>
      </c>
      <c r="P75" s="139" t="b">
        <v>0</v>
      </c>
      <c r="Q75" s="98">
        <v>50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26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121</v>
      </c>
      <c r="B76" s="63" t="s">
        <v>59</v>
      </c>
      <c r="C76" s="64" t="s">
        <v>6</v>
      </c>
      <c r="D76" s="64" t="s">
        <v>161</v>
      </c>
      <c r="E76" s="64" t="s">
        <v>7</v>
      </c>
      <c r="F76" s="64" t="s">
        <v>159</v>
      </c>
      <c r="G76" s="64" t="str">
        <f t="shared" si="24"/>
        <v>AudBBSW6M</v>
      </c>
      <c r="H76" s="62" t="str">
        <f t="shared" si="25"/>
        <v>AUDQM3AB9Y_S3BR6BR_Quote</v>
      </c>
      <c r="I76" s="126">
        <v>0</v>
      </c>
      <c r="J76" s="67"/>
      <c r="L76" s="10" t="str">
        <f t="shared" si="22"/>
        <v>BasSw</v>
      </c>
      <c r="M76" s="98" t="str">
        <f t="shared" si="23"/>
        <v>--</v>
      </c>
      <c r="N76" s="144" t="str">
        <f>IFERROR(_xll.qlRateHelperQuoteName(M76,Trigger),"--")</f>
        <v>--</v>
      </c>
      <c r="O76" s="102" t="str">
        <f>IFERROR(_xll.qlRateHelperQuoteValue($M76,Trigger),"--")</f>
        <v>--</v>
      </c>
      <c r="P76" s="139" t="b">
        <v>0</v>
      </c>
      <c r="Q76" s="98">
        <v>50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26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121</v>
      </c>
      <c r="B77" s="63" t="s">
        <v>60</v>
      </c>
      <c r="C77" s="64" t="s">
        <v>6</v>
      </c>
      <c r="D77" s="64" t="s">
        <v>161</v>
      </c>
      <c r="E77" s="64" t="s">
        <v>7</v>
      </c>
      <c r="F77" s="64" t="s">
        <v>159</v>
      </c>
      <c r="G77" s="64" t="str">
        <f t="shared" si="24"/>
        <v>AudBBSW6M</v>
      </c>
      <c r="H77" s="62" t="str">
        <f t="shared" si="25"/>
        <v>AUDQM3AB10Y_S3BR6BR_Quote</v>
      </c>
      <c r="I77" s="126">
        <v>0</v>
      </c>
      <c r="J77" s="67"/>
      <c r="L77" s="10" t="str">
        <f t="shared" si="22"/>
        <v>BasSw</v>
      </c>
      <c r="M77" s="98" t="str">
        <f t="shared" si="23"/>
        <v>--</v>
      </c>
      <c r="N77" s="144" t="str">
        <f>IFERROR(_xll.qlRateHelperQuoteName(M77,Trigger),"--")</f>
        <v>--</v>
      </c>
      <c r="O77" s="102" t="str">
        <f>IFERROR(_xll.qlRateHelperQuoteValue($M77,Trigger),"--")</f>
        <v>--</v>
      </c>
      <c r="P77" s="139" t="b">
        <v>0</v>
      </c>
      <c r="Q77" s="98">
        <v>50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26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121</v>
      </c>
      <c r="B78" s="63" t="s">
        <v>101</v>
      </c>
      <c r="C78" s="64" t="s">
        <v>6</v>
      </c>
      <c r="D78" s="64" t="s">
        <v>161</v>
      </c>
      <c r="E78" s="64" t="s">
        <v>7</v>
      </c>
      <c r="F78" s="64" t="s">
        <v>159</v>
      </c>
      <c r="G78" s="64" t="str">
        <f t="shared" si="24"/>
        <v>AudBBSW6M</v>
      </c>
      <c r="H78" s="62" t="str">
        <f t="shared" si="25"/>
        <v>AUDQM3AB11Y_S3BR6BR_Quote</v>
      </c>
      <c r="I78" s="126">
        <v>0</v>
      </c>
      <c r="J78" s="67"/>
      <c r="L78" s="10" t="str">
        <f t="shared" si="22"/>
        <v>BasSw</v>
      </c>
      <c r="M78" s="98" t="str">
        <f t="shared" si="23"/>
        <v>--</v>
      </c>
      <c r="N78" s="144" t="str">
        <f>IFERROR(_xll.qlRateHelperQuoteName(M78,Trigger),"--")</f>
        <v>--</v>
      </c>
      <c r="O78" s="102" t="str">
        <f>IFERROR(_xll.qlRateHelperQuoteValue($M78,Trigger),"--")</f>
        <v>--</v>
      </c>
      <c r="P78" s="139" t="b">
        <v>0</v>
      </c>
      <c r="Q78" s="98">
        <v>50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26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121</v>
      </c>
      <c r="B79" s="63" t="s">
        <v>61</v>
      </c>
      <c r="C79" s="64" t="s">
        <v>6</v>
      </c>
      <c r="D79" s="64" t="s">
        <v>161</v>
      </c>
      <c r="E79" s="64" t="s">
        <v>7</v>
      </c>
      <c r="F79" s="64" t="s">
        <v>159</v>
      </c>
      <c r="G79" s="64" t="str">
        <f t="shared" si="24"/>
        <v>AudBBSW6M</v>
      </c>
      <c r="H79" s="62" t="str">
        <f t="shared" si="25"/>
        <v>AUDQM3AB12Y_S3BR6BR_Quote</v>
      </c>
      <c r="I79" s="126">
        <v>0</v>
      </c>
      <c r="J79" s="67"/>
      <c r="L79" s="10" t="str">
        <f t="shared" si="22"/>
        <v>BasSw</v>
      </c>
      <c r="M79" s="98" t="str">
        <f t="shared" si="23"/>
        <v>--</v>
      </c>
      <c r="N79" s="144" t="str">
        <f>IFERROR(_xll.qlRateHelperQuoteName(M79,Trigger),"--")</f>
        <v>--</v>
      </c>
      <c r="O79" s="102" t="str">
        <f>IFERROR(_xll.qlRateHelperQuoteValue($M79,Trigger),"--")</f>
        <v>--</v>
      </c>
      <c r="P79" s="139" t="b">
        <v>0</v>
      </c>
      <c r="Q79" s="98">
        <v>50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26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121</v>
      </c>
      <c r="B80" s="63" t="s">
        <v>102</v>
      </c>
      <c r="C80" s="64" t="s">
        <v>6</v>
      </c>
      <c r="D80" s="64" t="s">
        <v>161</v>
      </c>
      <c r="E80" s="64" t="s">
        <v>7</v>
      </c>
      <c r="F80" s="64" t="s">
        <v>159</v>
      </c>
      <c r="G80" s="64" t="str">
        <f t="shared" si="24"/>
        <v>AudBBSW6M</v>
      </c>
      <c r="H80" s="62" t="str">
        <f t="shared" si="25"/>
        <v>AUDQM3AB13Y_S3BR6BR_Quote</v>
      </c>
      <c r="I80" s="126">
        <v>0</v>
      </c>
      <c r="J80" s="67"/>
      <c r="L80" s="10" t="str">
        <f t="shared" si="22"/>
        <v>BasSw</v>
      </c>
      <c r="M80" s="98" t="str">
        <f t="shared" si="23"/>
        <v>--</v>
      </c>
      <c r="N80" s="144" t="str">
        <f>IFERROR(_xll.qlRateHelperQuoteName(M80,Trigger),"--")</f>
        <v>--</v>
      </c>
      <c r="O80" s="102" t="str">
        <f>IFERROR(_xll.qlRateHelperQuoteValue($M80,Trigger),"--")</f>
        <v>--</v>
      </c>
      <c r="P80" s="139" t="b">
        <v>0</v>
      </c>
      <c r="Q80" s="98">
        <v>50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 t="shared" si="26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121</v>
      </c>
      <c r="B81" s="63" t="s">
        <v>103</v>
      </c>
      <c r="C81" s="64" t="s">
        <v>6</v>
      </c>
      <c r="D81" s="64" t="s">
        <v>161</v>
      </c>
      <c r="E81" s="64" t="s">
        <v>7</v>
      </c>
      <c r="F81" s="64" t="s">
        <v>159</v>
      </c>
      <c r="G81" s="64" t="str">
        <f t="shared" si="24"/>
        <v>AudBBSW6M</v>
      </c>
      <c r="H81" s="62" t="str">
        <f t="shared" si="25"/>
        <v>AUDQM3AB14Y_S3BR6BR_Quote</v>
      </c>
      <c r="I81" s="126">
        <v>0</v>
      </c>
      <c r="J81" s="67"/>
      <c r="L81" s="10" t="str">
        <f t="shared" si="22"/>
        <v>BasSw</v>
      </c>
      <c r="M81" s="98" t="str">
        <f t="shared" si="23"/>
        <v>--</v>
      </c>
      <c r="N81" s="144" t="str">
        <f>IFERROR(_xll.qlRateHelperQuoteName(M81,Trigger),"--")</f>
        <v>--</v>
      </c>
      <c r="O81" s="102" t="str">
        <f>IFERROR(_xll.qlRateHelperQuoteValue($M81,Trigger),"--")</f>
        <v>--</v>
      </c>
      <c r="P81" s="139" t="b">
        <v>0</v>
      </c>
      <c r="Q81" s="98">
        <v>50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26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121</v>
      </c>
      <c r="B82" s="63" t="s">
        <v>62</v>
      </c>
      <c r="C82" s="64" t="s">
        <v>6</v>
      </c>
      <c r="D82" s="64" t="s">
        <v>161</v>
      </c>
      <c r="E82" s="64" t="s">
        <v>7</v>
      </c>
      <c r="F82" s="64" t="s">
        <v>159</v>
      </c>
      <c r="G82" s="64" t="str">
        <f t="shared" si="24"/>
        <v>AudBBSW6M</v>
      </c>
      <c r="H82" s="62" t="str">
        <f t="shared" si="25"/>
        <v>AUDQM3AB15Y_S3BR6BR_Quote</v>
      </c>
      <c r="I82" s="126">
        <v>0</v>
      </c>
      <c r="J82" s="67"/>
      <c r="L82" s="10" t="str">
        <f t="shared" si="22"/>
        <v>BasSw</v>
      </c>
      <c r="M82" s="98" t="str">
        <f t="shared" si="23"/>
        <v>--</v>
      </c>
      <c r="N82" s="144" t="str">
        <f>IFERROR(_xll.qlRateHelperQuoteName(M82,Trigger),"--")</f>
        <v>--</v>
      </c>
      <c r="O82" s="102" t="str">
        <f>IFERROR(_xll.qlRateHelperQuoteValue($M82,Trigger),"--")</f>
        <v>--</v>
      </c>
      <c r="P82" s="139" t="b">
        <v>0</v>
      </c>
      <c r="Q82" s="98">
        <v>50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26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121</v>
      </c>
      <c r="B83" s="63" t="s">
        <v>104</v>
      </c>
      <c r="C83" s="64" t="s">
        <v>6</v>
      </c>
      <c r="D83" s="64" t="s">
        <v>161</v>
      </c>
      <c r="E83" s="64" t="s">
        <v>7</v>
      </c>
      <c r="F83" s="64" t="s">
        <v>159</v>
      </c>
      <c r="G83" s="64" t="str">
        <f t="shared" si="24"/>
        <v>AudBBSW6M</v>
      </c>
      <c r="H83" s="62" t="str">
        <f t="shared" si="25"/>
        <v>AUDQM3AB16Y_S3BR6BR_Quote</v>
      </c>
      <c r="I83" s="126">
        <v>0</v>
      </c>
      <c r="J83" s="67"/>
      <c r="L83" s="10" t="str">
        <f t="shared" si="22"/>
        <v>BasSw</v>
      </c>
      <c r="M83" s="98" t="str">
        <f t="shared" si="23"/>
        <v>--</v>
      </c>
      <c r="N83" s="144" t="str">
        <f>IFERROR(_xll.qlRateHelperQuoteName(M83,Trigger),"--")</f>
        <v>--</v>
      </c>
      <c r="O83" s="102" t="str">
        <f>IFERROR(_xll.qlRateHelperQuoteValue($M83,Trigger),"--")</f>
        <v>--</v>
      </c>
      <c r="P83" s="139" t="b">
        <v>0</v>
      </c>
      <c r="Q83" s="98">
        <v>50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26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121</v>
      </c>
      <c r="B84" s="63" t="s">
        <v>105</v>
      </c>
      <c r="C84" s="64" t="s">
        <v>6</v>
      </c>
      <c r="D84" s="64" t="s">
        <v>161</v>
      </c>
      <c r="E84" s="64" t="s">
        <v>7</v>
      </c>
      <c r="F84" s="64" t="s">
        <v>159</v>
      </c>
      <c r="G84" s="64" t="str">
        <f t="shared" si="24"/>
        <v>AudBBSW6M</v>
      </c>
      <c r="H84" s="62" t="str">
        <f t="shared" si="25"/>
        <v>AUDQM3AB17Y_S3BR6BR_Quote</v>
      </c>
      <c r="I84" s="126">
        <v>0</v>
      </c>
      <c r="J84" s="67"/>
      <c r="L84" s="10" t="str">
        <f t="shared" si="22"/>
        <v>BasSw</v>
      </c>
      <c r="M84" s="98" t="str">
        <f t="shared" si="23"/>
        <v>--</v>
      </c>
      <c r="N84" s="144" t="str">
        <f>IFERROR(_xll.qlRateHelperQuoteName(M84,Trigger),"--")</f>
        <v>--</v>
      </c>
      <c r="O84" s="102" t="str">
        <f>IFERROR(_xll.qlRateHelperQuoteValue($M84,Trigger),"--")</f>
        <v>--</v>
      </c>
      <c r="P84" s="139" t="b">
        <v>0</v>
      </c>
      <c r="Q84" s="98">
        <v>50</v>
      </c>
      <c r="R84" s="98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4" t="str">
        <f t="shared" si="26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121</v>
      </c>
      <c r="B85" s="63" t="s">
        <v>106</v>
      </c>
      <c r="C85" s="64" t="s">
        <v>6</v>
      </c>
      <c r="D85" s="64" t="s">
        <v>161</v>
      </c>
      <c r="E85" s="64" t="s">
        <v>7</v>
      </c>
      <c r="F85" s="64" t="s">
        <v>159</v>
      </c>
      <c r="G85" s="64" t="str">
        <f t="shared" si="24"/>
        <v>AudBBSW6M</v>
      </c>
      <c r="H85" s="62" t="str">
        <f t="shared" si="25"/>
        <v>AUDQM3AB18Y_S3BR6BR_Quote</v>
      </c>
      <c r="I85" s="126">
        <v>0</v>
      </c>
      <c r="J85" s="67"/>
      <c r="L85" s="10" t="str">
        <f t="shared" si="22"/>
        <v>BasSw</v>
      </c>
      <c r="M85" s="98" t="str">
        <f t="shared" si="23"/>
        <v>--</v>
      </c>
      <c r="N85" s="144" t="str">
        <f>IFERROR(_xll.qlRateHelperQuoteName(M85,Trigger),"--")</f>
        <v>--</v>
      </c>
      <c r="O85" s="102" t="str">
        <f>IFERROR(_xll.qlRateHelperQuoteValue($M85,Trigger),"--")</f>
        <v>--</v>
      </c>
      <c r="P85" s="139" t="b">
        <v>0</v>
      </c>
      <c r="Q85" s="98">
        <v>50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 t="shared" si="26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121</v>
      </c>
      <c r="B86" s="63" t="s">
        <v>107</v>
      </c>
      <c r="C86" s="64" t="s">
        <v>6</v>
      </c>
      <c r="D86" s="64" t="s">
        <v>161</v>
      </c>
      <c r="E86" s="64" t="s">
        <v>7</v>
      </c>
      <c r="F86" s="64" t="s">
        <v>159</v>
      </c>
      <c r="G86" s="64" t="str">
        <f t="shared" si="24"/>
        <v>AudBBSW6M</v>
      </c>
      <c r="H86" s="62" t="str">
        <f t="shared" si="25"/>
        <v>AUDQM3AB19Y_S3BR6BR_Quote</v>
      </c>
      <c r="I86" s="126">
        <v>0</v>
      </c>
      <c r="J86" s="67"/>
      <c r="L86" s="10" t="str">
        <f t="shared" si="22"/>
        <v>BasSw</v>
      </c>
      <c r="M86" s="98" t="str">
        <f t="shared" si="23"/>
        <v>--</v>
      </c>
      <c r="N86" s="144" t="str">
        <f>IFERROR(_xll.qlRateHelperQuoteName(M86,Trigger),"--")</f>
        <v>--</v>
      </c>
      <c r="O86" s="102" t="str">
        <f>IFERROR(_xll.qlRateHelperQuoteValue($M86,Trigger),"--")</f>
        <v>--</v>
      </c>
      <c r="P86" s="139" t="b">
        <v>0</v>
      </c>
      <c r="Q86" s="98">
        <v>50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 t="shared" si="26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62" t="s">
        <v>121</v>
      </c>
      <c r="B87" s="63" t="s">
        <v>63</v>
      </c>
      <c r="C87" s="64" t="s">
        <v>6</v>
      </c>
      <c r="D87" s="64" t="s">
        <v>161</v>
      </c>
      <c r="E87" s="64" t="s">
        <v>7</v>
      </c>
      <c r="F87" s="64" t="s">
        <v>159</v>
      </c>
      <c r="G87" s="64" t="str">
        <f t="shared" si="24"/>
        <v>AudBBSW6M</v>
      </c>
      <c r="H87" s="62" t="str">
        <f t="shared" si="25"/>
        <v>AUDQM3AB20Y_S3BR6BR_Quote</v>
      </c>
      <c r="I87" s="126">
        <v>0</v>
      </c>
      <c r="J87" s="67"/>
      <c r="L87" s="10" t="str">
        <f t="shared" si="22"/>
        <v>BasSw</v>
      </c>
      <c r="M87" s="98" t="str">
        <f t="shared" si="23"/>
        <v>--</v>
      </c>
      <c r="N87" s="144" t="str">
        <f>IFERROR(_xll.qlRateHelperQuoteName(M87,Trigger),"--")</f>
        <v>--</v>
      </c>
      <c r="O87" s="102" t="str">
        <f>IFERROR(_xll.qlRateHelperQuoteValue($M87,Trigger),"--")</f>
        <v>--</v>
      </c>
      <c r="P87" s="139" t="b">
        <v>0</v>
      </c>
      <c r="Q87" s="98">
        <v>50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 t="shared" si="26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2" t="s">
        <v>121</v>
      </c>
      <c r="B88" s="63" t="s">
        <v>108</v>
      </c>
      <c r="C88" s="64" t="s">
        <v>6</v>
      </c>
      <c r="D88" s="64" t="s">
        <v>161</v>
      </c>
      <c r="E88" s="64" t="s">
        <v>7</v>
      </c>
      <c r="F88" s="64" t="s">
        <v>159</v>
      </c>
      <c r="G88" s="64" t="str">
        <f t="shared" si="24"/>
        <v>AudBBSW6M</v>
      </c>
      <c r="H88" s="62" t="str">
        <f t="shared" si="25"/>
        <v>AUDQM3AB21Y_S3BR6BR_Quote</v>
      </c>
      <c r="I88" s="126">
        <v>0</v>
      </c>
      <c r="J88" s="67"/>
      <c r="L88" s="10" t="str">
        <f t="shared" si="22"/>
        <v>BasSw</v>
      </c>
      <c r="M88" s="98" t="str">
        <f t="shared" si="23"/>
        <v>--</v>
      </c>
      <c r="N88" s="144" t="str">
        <f>IFERROR(_xll.qlRateHelperQuoteName(M88,Trigger),"--")</f>
        <v>--</v>
      </c>
      <c r="O88" s="102" t="str">
        <f>IFERROR(_xll.qlRateHelperQuoteValue($M88,Trigger),"--")</f>
        <v>--</v>
      </c>
      <c r="P88" s="139" t="b">
        <v>0</v>
      </c>
      <c r="Q88" s="98">
        <v>50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 t="shared" si="26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2" t="s">
        <v>121</v>
      </c>
      <c r="B89" s="63" t="s">
        <v>109</v>
      </c>
      <c r="C89" s="64" t="s">
        <v>6</v>
      </c>
      <c r="D89" s="64" t="s">
        <v>161</v>
      </c>
      <c r="E89" s="64" t="s">
        <v>7</v>
      </c>
      <c r="F89" s="64" t="s">
        <v>159</v>
      </c>
      <c r="G89" s="64" t="str">
        <f t="shared" si="24"/>
        <v>AudBBSW6M</v>
      </c>
      <c r="H89" s="62" t="str">
        <f t="shared" si="25"/>
        <v>AUDQM3AB22Y_S3BR6BR_Quote</v>
      </c>
      <c r="I89" s="126">
        <v>0</v>
      </c>
      <c r="J89" s="67"/>
      <c r="L89" s="10" t="str">
        <f t="shared" si="22"/>
        <v>BasSw</v>
      </c>
      <c r="M89" s="98" t="str">
        <f t="shared" si="23"/>
        <v>--</v>
      </c>
      <c r="N89" s="144" t="str">
        <f>IFERROR(_xll.qlRateHelperQuoteName(M89,Trigger),"--")</f>
        <v>--</v>
      </c>
      <c r="O89" s="102" t="str">
        <f>IFERROR(_xll.qlRateHelperQuoteValue($M89,Trigger),"--")</f>
        <v>--</v>
      </c>
      <c r="P89" s="139" t="b">
        <v>0</v>
      </c>
      <c r="Q89" s="98">
        <v>50</v>
      </c>
      <c r="R89" s="98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4" t="str">
        <f t="shared" si="26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121</v>
      </c>
      <c r="B90" s="63" t="s">
        <v>110</v>
      </c>
      <c r="C90" s="64" t="s">
        <v>6</v>
      </c>
      <c r="D90" s="64" t="s">
        <v>161</v>
      </c>
      <c r="E90" s="64" t="s">
        <v>7</v>
      </c>
      <c r="F90" s="64" t="s">
        <v>159</v>
      </c>
      <c r="G90" s="64" t="str">
        <f t="shared" si="24"/>
        <v>AudBBSW6M</v>
      </c>
      <c r="H90" s="62" t="str">
        <f t="shared" si="25"/>
        <v>AUDQM3AB23Y_S3BR6BR_Quote</v>
      </c>
      <c r="I90" s="126">
        <v>0</v>
      </c>
      <c r="J90" s="67"/>
      <c r="K90" s="49" t="s">
        <v>35</v>
      </c>
      <c r="L90" s="10" t="str">
        <f t="shared" si="22"/>
        <v>BasSw</v>
      </c>
      <c r="M90" s="98" t="str">
        <f t="shared" si="23"/>
        <v>--</v>
      </c>
      <c r="N90" s="144" t="str">
        <f>IFERROR(_xll.qlRateHelperQuoteName(M90,Trigger),"--")</f>
        <v>--</v>
      </c>
      <c r="O90" s="102" t="str">
        <f>IFERROR(_xll.qlRateHelperQuoteValue($M90,Trigger),"--")</f>
        <v>--</v>
      </c>
      <c r="P90" s="139" t="b">
        <v>0</v>
      </c>
      <c r="Q90" s="98">
        <v>50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 t="shared" si="26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121</v>
      </c>
      <c r="B91" s="63" t="s">
        <v>111</v>
      </c>
      <c r="C91" s="64" t="s">
        <v>6</v>
      </c>
      <c r="D91" s="64" t="s">
        <v>161</v>
      </c>
      <c r="E91" s="64" t="s">
        <v>7</v>
      </c>
      <c r="F91" s="64" t="s">
        <v>159</v>
      </c>
      <c r="G91" s="64" t="str">
        <f t="shared" si="24"/>
        <v>AudBBSW6M</v>
      </c>
      <c r="H91" s="62" t="str">
        <f t="shared" si="25"/>
        <v>AUDQM3AB24Y_S3BR6BR_Quote</v>
      </c>
      <c r="I91" s="126">
        <v>0</v>
      </c>
      <c r="J91" s="67"/>
      <c r="L91" s="10" t="str">
        <f t="shared" si="22"/>
        <v>BasSw</v>
      </c>
      <c r="M91" s="98" t="str">
        <f t="shared" si="23"/>
        <v>--</v>
      </c>
      <c r="N91" s="144" t="str">
        <f>IFERROR(_xll.qlRateHelperQuoteName(M91,Trigger),"--")</f>
        <v>--</v>
      </c>
      <c r="O91" s="102" t="str">
        <f>IFERROR(_xll.qlRateHelperQuoteValue($M91,Trigger),"--")</f>
        <v>--</v>
      </c>
      <c r="P91" s="139" t="b">
        <v>0</v>
      </c>
      <c r="Q91" s="98">
        <v>50</v>
      </c>
      <c r="R91" s="98">
        <v>1</v>
      </c>
      <c r="S91" s="103" t="str">
        <f>IFERROR(_xll.qlRateHelperEarliestDate(M91,Trigger),"--")</f>
        <v>--</v>
      </c>
      <c r="T91" s="103" t="str">
        <f>IFERROR(_xll.qlRateHelperPillarDate(M91,Trigger),"--")</f>
        <v>--</v>
      </c>
      <c r="V91" s="4" t="str">
        <f t="shared" si="26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62" t="s">
        <v>121</v>
      </c>
      <c r="B92" s="63" t="s">
        <v>64</v>
      </c>
      <c r="C92" s="64" t="s">
        <v>6</v>
      </c>
      <c r="D92" s="64" t="s">
        <v>161</v>
      </c>
      <c r="E92" s="64" t="s">
        <v>7</v>
      </c>
      <c r="F92" s="64" t="s">
        <v>159</v>
      </c>
      <c r="G92" s="64" t="str">
        <f t="shared" si="24"/>
        <v>AudBBSW6M</v>
      </c>
      <c r="H92" s="62" t="str">
        <f t="shared" si="25"/>
        <v>AUDQM3AB25Y_S3BR6BR_Quote</v>
      </c>
      <c r="I92" s="126">
        <v>0</v>
      </c>
      <c r="J92" s="67"/>
      <c r="L92" s="10" t="str">
        <f t="shared" si="22"/>
        <v>BasSw</v>
      </c>
      <c r="M92" s="98" t="str">
        <f t="shared" si="23"/>
        <v>--</v>
      </c>
      <c r="N92" s="144" t="str">
        <f>IFERROR(_xll.qlRateHelperQuoteName(M92,Trigger),"--")</f>
        <v>--</v>
      </c>
      <c r="O92" s="102" t="str">
        <f>IFERROR(_xll.qlRateHelperQuoteValue($M92,Trigger),"--")</f>
        <v>--</v>
      </c>
      <c r="P92" s="139" t="b">
        <v>0</v>
      </c>
      <c r="Q92" s="98">
        <v>50</v>
      </c>
      <c r="R92" s="98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4" t="str">
        <f t="shared" si="26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62" t="s">
        <v>121</v>
      </c>
      <c r="B93" s="63" t="s">
        <v>112</v>
      </c>
      <c r="C93" s="64" t="s">
        <v>6</v>
      </c>
      <c r="D93" s="64" t="s">
        <v>161</v>
      </c>
      <c r="E93" s="64" t="s">
        <v>7</v>
      </c>
      <c r="F93" s="64" t="s">
        <v>159</v>
      </c>
      <c r="G93" s="64" t="str">
        <f t="shared" si="24"/>
        <v>AudBBSW6M</v>
      </c>
      <c r="H93" s="62" t="str">
        <f t="shared" si="25"/>
        <v>AUDQM3AB26Y_S3BR6BR_Quote</v>
      </c>
      <c r="I93" s="126">
        <v>0</v>
      </c>
      <c r="J93" s="67"/>
      <c r="L93" s="10" t="str">
        <f t="shared" si="22"/>
        <v>BasSw</v>
      </c>
      <c r="M93" s="98" t="str">
        <f t="shared" si="23"/>
        <v>--</v>
      </c>
      <c r="N93" s="144" t="str">
        <f>IFERROR(_xll.qlRateHelperQuoteName(M93,Trigger),"--")</f>
        <v>--</v>
      </c>
      <c r="O93" s="102" t="str">
        <f>IFERROR(_xll.qlRateHelperQuoteValue($M93,Trigger),"--")</f>
        <v>--</v>
      </c>
      <c r="P93" s="139" t="b">
        <v>0</v>
      </c>
      <c r="Q93" s="98">
        <v>50</v>
      </c>
      <c r="R93" s="98">
        <v>1</v>
      </c>
      <c r="S93" s="103" t="str">
        <f>IFERROR(_xll.qlRateHelperEarliestDate(M93,Trigger),"--")</f>
        <v>--</v>
      </c>
      <c r="T93" s="103" t="str">
        <f>IFERROR(_xll.qlRateHelperPillarDate(M93,Trigger),"--")</f>
        <v>--</v>
      </c>
      <c r="V93" s="4" t="str">
        <f t="shared" si="26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62" t="s">
        <v>121</v>
      </c>
      <c r="B94" s="63" t="s">
        <v>65</v>
      </c>
      <c r="C94" s="64" t="s">
        <v>6</v>
      </c>
      <c r="D94" s="64" t="s">
        <v>161</v>
      </c>
      <c r="E94" s="64" t="s">
        <v>7</v>
      </c>
      <c r="F94" s="64" t="s">
        <v>159</v>
      </c>
      <c r="G94" s="64" t="str">
        <f t="shared" si="24"/>
        <v>AudBBSW6M</v>
      </c>
      <c r="H94" s="62" t="str">
        <f t="shared" si="25"/>
        <v>AUDQM3AB27Y_S3BR6BR_Quote</v>
      </c>
      <c r="I94" s="126">
        <v>0</v>
      </c>
      <c r="J94" s="67"/>
      <c r="L94" s="10" t="str">
        <f t="shared" si="22"/>
        <v>BasSw</v>
      </c>
      <c r="M94" s="98" t="str">
        <f t="shared" si="23"/>
        <v>--</v>
      </c>
      <c r="N94" s="144" t="str">
        <f>IFERROR(_xll.qlRateHelperQuoteName(M94,Trigger),"--")</f>
        <v>--</v>
      </c>
      <c r="O94" s="102" t="str">
        <f>IFERROR(_xll.qlRateHelperQuoteValue($M94,Trigger),"--")</f>
        <v>--</v>
      </c>
      <c r="P94" s="139" t="b">
        <v>0</v>
      </c>
      <c r="Q94" s="98">
        <v>50</v>
      </c>
      <c r="R94" s="98">
        <v>1</v>
      </c>
      <c r="S94" s="103" t="str">
        <f>IFERROR(_xll.qlRateHelperEarliestDate(M94,Trigger),"--")</f>
        <v>--</v>
      </c>
      <c r="T94" s="103" t="str">
        <f>IFERROR(_xll.qlRateHelperPillarDate(M94,Trigger),"--")</f>
        <v>--</v>
      </c>
      <c r="V94" s="4" t="str">
        <f t="shared" si="26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62" t="s">
        <v>121</v>
      </c>
      <c r="B95" s="63" t="s">
        <v>113</v>
      </c>
      <c r="C95" s="64" t="s">
        <v>6</v>
      </c>
      <c r="D95" s="64" t="s">
        <v>161</v>
      </c>
      <c r="E95" s="64" t="s">
        <v>7</v>
      </c>
      <c r="F95" s="64" t="s">
        <v>159</v>
      </c>
      <c r="G95" s="64" t="str">
        <f t="shared" si="24"/>
        <v>AudBBSW6M</v>
      </c>
      <c r="H95" s="62" t="str">
        <f t="shared" si="25"/>
        <v>AUDQM3AB28Y_S3BR6BR_Quote</v>
      </c>
      <c r="I95" s="126">
        <v>0</v>
      </c>
      <c r="J95" s="67"/>
      <c r="L95" s="11" t="str">
        <f t="shared" si="22"/>
        <v>BasSw</v>
      </c>
      <c r="M95" s="99" t="str">
        <f t="shared" si="23"/>
        <v>--</v>
      </c>
      <c r="N95" s="145" t="str">
        <f>IFERROR(_xll.qlRateHelperQuoteName(M95,Trigger),"--")</f>
        <v>--</v>
      </c>
      <c r="O95" s="105" t="str">
        <f>IFERROR(_xll.qlRateHelperQuoteValue($M95,Trigger),"--")</f>
        <v>--</v>
      </c>
      <c r="P95" s="142" t="b">
        <v>0</v>
      </c>
      <c r="Q95" s="99">
        <v>50</v>
      </c>
      <c r="R95" s="99">
        <v>1</v>
      </c>
      <c r="S95" s="106" t="str">
        <f>IFERROR(_xll.qlRateHelperEarliestDate(M95,Trigger),"--")</f>
        <v>--</v>
      </c>
      <c r="T95" s="106" t="str">
        <f>IFERROR(_xll.qlRateHelperPillarDate(M95,Trigger),"--")</f>
        <v>--</v>
      </c>
      <c r="V95" s="6" t="str">
        <f t="shared" si="26"/>
        <v/>
      </c>
      <c r="W95" s="6" t="e">
        <v>#N/A</v>
      </c>
      <c r="X95" s="6" t="str">
        <f>IFERROR(_xll.qlRateHelperQuoteName(W95,Trigger),"")</f>
        <v/>
      </c>
      <c r="Y95" s="83" t="str">
        <f>IFERROR(_xll.qlRateHelperRate(W95,Trigger),"")</f>
        <v/>
      </c>
      <c r="Z95" s="109" t="str">
        <f>IF(ISERROR(_xll.qlSwapRateHelperSpread($W95)),IF(ISERROR(_xll.qlFuturesRateHelperConvexityAdjustment($W95)),"",_xll.qlFuturesRateHelperConvexityAdjustment($W95)),_xll.qlSwapRateHelperSpread($W95))</f>
        <v/>
      </c>
      <c r="AA95" s="12" t="str">
        <f>IFERROR(_xll.qlRateHelperEarliestDate(W95,Trigger),"")</f>
        <v/>
      </c>
      <c r="AB95" s="12" t="str">
        <f>IFERROR(_xll.qlRateHelperPillarDate(W95,Trigger),"")</f>
        <v/>
      </c>
      <c r="AC95" s="82" t="e">
        <v>#N/A</v>
      </c>
    </row>
    <row r="96" spans="1:29" x14ac:dyDescent="0.2">
      <c r="A96" s="62" t="s">
        <v>121</v>
      </c>
      <c r="B96" s="63" t="s">
        <v>114</v>
      </c>
      <c r="C96" s="64" t="s">
        <v>6</v>
      </c>
      <c r="D96" s="64" t="s">
        <v>161</v>
      </c>
      <c r="E96" s="64" t="s">
        <v>7</v>
      </c>
      <c r="F96" s="64" t="s">
        <v>159</v>
      </c>
      <c r="G96" s="64" t="str">
        <f t="shared" si="24"/>
        <v>AudBBSW6M</v>
      </c>
      <c r="H96" s="62" t="str">
        <f t="shared" si="25"/>
        <v>AUDQM3AB29Y_S3BR6BR_Quote</v>
      </c>
      <c r="I96" s="126">
        <v>0</v>
      </c>
      <c r="J96" s="67"/>
    </row>
    <row r="97" spans="1:10" x14ac:dyDescent="0.2">
      <c r="A97" s="62" t="s">
        <v>121</v>
      </c>
      <c r="B97" s="63" t="s">
        <v>66</v>
      </c>
      <c r="C97" s="64" t="s">
        <v>6</v>
      </c>
      <c r="D97" s="64" t="s">
        <v>161</v>
      </c>
      <c r="E97" s="64" t="s">
        <v>7</v>
      </c>
      <c r="F97" s="64" t="s">
        <v>159</v>
      </c>
      <c r="G97" s="64" t="str">
        <f t="shared" si="24"/>
        <v>AudBBSW6M</v>
      </c>
      <c r="H97" s="62" t="str">
        <f t="shared" si="25"/>
        <v>AUDQM3AB30Y_S3BR6BR_Quote</v>
      </c>
      <c r="I97" s="126">
        <v>0</v>
      </c>
      <c r="J97" s="67"/>
    </row>
    <row r="98" spans="1:10" x14ac:dyDescent="0.2">
      <c r="A98" s="62" t="s">
        <v>121</v>
      </c>
      <c r="B98" s="63" t="s">
        <v>67</v>
      </c>
      <c r="C98" s="64" t="s">
        <v>6</v>
      </c>
      <c r="D98" s="64" t="s">
        <v>161</v>
      </c>
      <c r="E98" s="64" t="s">
        <v>7</v>
      </c>
      <c r="F98" s="64" t="s">
        <v>159</v>
      </c>
      <c r="G98" s="64" t="str">
        <f t="shared" si="24"/>
        <v>AudBBSW6M</v>
      </c>
      <c r="H98" s="62" t="str">
        <f t="shared" si="25"/>
        <v>AUDQM3AB35Y_S3BR6BR_Quote</v>
      </c>
      <c r="I98" s="126">
        <v>0</v>
      </c>
      <c r="J98" s="67"/>
    </row>
    <row r="99" spans="1:10" x14ac:dyDescent="0.2">
      <c r="A99" s="62" t="s">
        <v>121</v>
      </c>
      <c r="B99" s="63" t="s">
        <v>68</v>
      </c>
      <c r="C99" s="64" t="s">
        <v>6</v>
      </c>
      <c r="D99" s="64" t="s">
        <v>161</v>
      </c>
      <c r="E99" s="64" t="s">
        <v>7</v>
      </c>
      <c r="F99" s="64" t="s">
        <v>159</v>
      </c>
      <c r="G99" s="64" t="str">
        <f t="shared" si="24"/>
        <v>AudBBSW6M</v>
      </c>
      <c r="H99" s="62" t="str">
        <f t="shared" si="25"/>
        <v>AUDQM3AB40Y_S3BR6BR_Quote</v>
      </c>
      <c r="I99" s="126">
        <v>0</v>
      </c>
      <c r="J99" s="67"/>
    </row>
    <row r="100" spans="1:10" x14ac:dyDescent="0.2">
      <c r="A100" s="62" t="s">
        <v>121</v>
      </c>
      <c r="B100" s="63" t="s">
        <v>69</v>
      </c>
      <c r="C100" s="64" t="s">
        <v>6</v>
      </c>
      <c r="D100" s="64" t="s">
        <v>161</v>
      </c>
      <c r="E100" s="64" t="s">
        <v>7</v>
      </c>
      <c r="F100" s="64" t="s">
        <v>159</v>
      </c>
      <c r="G100" s="64" t="str">
        <f t="shared" si="24"/>
        <v>AudBBSW6M</v>
      </c>
      <c r="H100" s="62" t="str">
        <f t="shared" si="25"/>
        <v>AUDQM3AB50Y_S3BR6BR_Quote</v>
      </c>
      <c r="I100" s="124">
        <v>0</v>
      </c>
      <c r="J100" s="67"/>
    </row>
    <row r="101" spans="1:10" x14ac:dyDescent="0.2">
      <c r="A101" s="1" t="s">
        <v>121</v>
      </c>
      <c r="B101" s="8" t="s">
        <v>115</v>
      </c>
      <c r="C101" s="7" t="s">
        <v>6</v>
      </c>
      <c r="D101" s="7" t="s">
        <v>161</v>
      </c>
      <c r="E101" s="7" t="s">
        <v>7</v>
      </c>
      <c r="F101" s="7" t="s">
        <v>159</v>
      </c>
      <c r="G101" s="7" t="str">
        <f t="shared" si="24"/>
        <v>AudBBSW6M</v>
      </c>
      <c r="H101" s="1" t="str">
        <f t="shared" si="25"/>
        <v>AUDQM3AB60Y_S3BR6BR_Quote</v>
      </c>
      <c r="I101" s="129">
        <v>0</v>
      </c>
      <c r="J101" s="3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F3:F6 F26:F62 F65:F10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:E6 E26:E62 E65:E101">
      <formula1>"Following,Modified Following,Preceding,Modified Preceding,Unadjusted,Half-Month Modified Following"</formula1>
    </dataValidation>
    <dataValidation type="list" allowBlank="1" showInputMessage="1" showErrorMessage="1" sqref="D26:D62 D65:D101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0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19.285156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"_SYNTH"&amp;$G$1</f>
        <v>_SYNTH1M</v>
      </c>
      <c r="L1" s="70" t="s">
        <v>24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AUD1M</v>
      </c>
      <c r="W1" s="69"/>
      <c r="X1" s="69"/>
      <c r="Y1" s="72"/>
      <c r="Z1" s="72"/>
      <c r="AA1" s="69"/>
      <c r="AB1" s="69"/>
      <c r="AC1" s="76" t="s">
        <v>31</v>
      </c>
    </row>
    <row r="2" spans="1:38" ht="21.75" customHeight="1" x14ac:dyDescent="0.2">
      <c r="A2" s="68" t="s">
        <v>8</v>
      </c>
      <c r="B2" s="68" t="s">
        <v>28</v>
      </c>
      <c r="C2" s="68" t="s">
        <v>94</v>
      </c>
      <c r="D2" s="68" t="s">
        <v>132</v>
      </c>
      <c r="E2" s="68" t="s">
        <v>33</v>
      </c>
      <c r="F2" s="68" t="s">
        <v>118</v>
      </c>
      <c r="G2" s="68" t="s">
        <v>4</v>
      </c>
      <c r="H2" s="68" t="s">
        <v>1</v>
      </c>
      <c r="I2" s="68"/>
      <c r="J2" s="68" t="s">
        <v>24</v>
      </c>
      <c r="L2" s="77" t="s">
        <v>8</v>
      </c>
      <c r="M2" s="77" t="s">
        <v>24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22</v>
      </c>
      <c r="T2" s="77" t="s">
        <v>78</v>
      </c>
      <c r="U2" s="97"/>
      <c r="V2" s="77" t="s">
        <v>8</v>
      </c>
      <c r="W2" s="77" t="s">
        <v>24</v>
      </c>
      <c r="X2" s="77" t="s">
        <v>81</v>
      </c>
      <c r="Y2" s="79" t="s">
        <v>23</v>
      </c>
      <c r="Z2" s="79" t="s">
        <v>86</v>
      </c>
      <c r="AA2" s="77" t="s">
        <v>22</v>
      </c>
      <c r="AB2" s="77" t="s">
        <v>78</v>
      </c>
      <c r="AC2" s="80">
        <f t="array" ref="AC2:AC84">_xll.qlPiecewiseYieldCurveData(YieldCurve_1M,Trigger)</f>
        <v>1</v>
      </c>
      <c r="AD2" s="175"/>
      <c r="AF2" s="176" t="s">
        <v>87</v>
      </c>
      <c r="AG2" s="177"/>
      <c r="AH2" s="177"/>
      <c r="AI2" s="177"/>
      <c r="AJ2" s="178"/>
    </row>
    <row r="3" spans="1:38" ht="11.25" customHeight="1" x14ac:dyDescent="0.2">
      <c r="A3" s="56" t="s">
        <v>26</v>
      </c>
      <c r="B3" s="57" t="s">
        <v>74</v>
      </c>
      <c r="C3" s="59" t="s">
        <v>75</v>
      </c>
      <c r="D3" s="59" t="b">
        <v>1</v>
      </c>
      <c r="E3" s="59" t="s">
        <v>158</v>
      </c>
      <c r="F3" s="59" t="s">
        <v>159</v>
      </c>
      <c r="G3" s="58" t="str">
        <f>_xll.qlIborIndex(,FamilyName,C3,0,Currency,Calendar,E3,D3,F3,,Permanent,Trigger,ObjectOverwrite)</f>
        <v>obj_00216#0001</v>
      </c>
      <c r="H3" s="154" t="str">
        <f t="shared" ref="H3:H7" si="0">Currency&amp;$B3&amp;"D"&amp;$H$1&amp;QuoteSuffix</f>
        <v>AUDSND_SYNTH1M_Quote</v>
      </c>
      <c r="I3" s="128"/>
      <c r="J3" s="61" t="str">
        <f>_xll.qlDepositRateHelper(,H3,G3,Permanent,Trigger,ObjectOverwrite)</f>
        <v>obj_0026a#0001</v>
      </c>
      <c r="K3" s="52"/>
      <c r="L3" s="71" t="str">
        <f>A3</f>
        <v>Dp</v>
      </c>
      <c r="M3" s="130" t="str">
        <f>IF(ISBLANK(J3),"--",J3)</f>
        <v>obj_0026a#0001</v>
      </c>
      <c r="N3" s="143" t="str">
        <f>IFERROR(_xll.qlRateHelperQuoteName(M3,Trigger),"--")</f>
        <v>AUDSND_SYNTH1M_Quote</v>
      </c>
      <c r="O3" s="132">
        <f>IFERROR(_xll.qlRateHelperQuoteValue($M3,Trigger),"--")</f>
        <v>1.9456999999999999E-2</v>
      </c>
      <c r="P3" s="135" t="b">
        <v>1</v>
      </c>
      <c r="Q3" s="130">
        <v>10</v>
      </c>
      <c r="R3" s="130">
        <v>1</v>
      </c>
      <c r="S3" s="133">
        <f>IFERROR(_xll.qlRateHelperEarliestDate(M3,Trigger),"--")</f>
        <v>42355</v>
      </c>
      <c r="T3" s="133">
        <f>IFERROR(_xll.qlRateHelperPillarDate(M3,Trigger),"--")</f>
        <v>42356</v>
      </c>
      <c r="V3" s="4" t="str">
        <f t="shared" ref="V3:V34" si="1">IFERROR(INDEX($L$3:$L$84,MATCH(X3,$N$3:$N$84,0),1),"")</f>
        <v>Dp</v>
      </c>
      <c r="W3" s="4" t="str">
        <f t="array" ref="W3:W84">_xll.qlRateHelperSelection(_xll.ohFilter(RateHelpers,IncludeFlag),_xll.ohFilter(Priority,IncludeFlag),$AJ$3,$AJ$4,$AJ$5,$AJ$6,_xll.ohFilter(MinDistance,IncludeFlag),Trigger)</f>
        <v>obj_0026a</v>
      </c>
      <c r="X3" s="4" t="str">
        <f>IFERROR(_xll.qlRateHelperQuoteName(W3,Trigger),"")</f>
        <v>AUDSND_SYNTH1M_Quote</v>
      </c>
      <c r="Y3" s="73">
        <f>IFERROR(_xll.qlRateHelperRate(W3,Trigger),"")</f>
        <v>1.9456999999999999E-2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42355</v>
      </c>
      <c r="AB3" s="5">
        <f>IFERROR(_xll.qlRateHelperPillarDate(W3,Trigger),"")</f>
        <v>42356</v>
      </c>
      <c r="AC3" s="81">
        <v>0.99994669599215369</v>
      </c>
      <c r="AD3" s="175"/>
      <c r="AF3" s="185" t="s">
        <v>88</v>
      </c>
      <c r="AJ3" s="186">
        <v>0</v>
      </c>
    </row>
    <row r="4" spans="1:38" ht="11.25" customHeight="1" x14ac:dyDescent="0.2">
      <c r="A4" s="62" t="s">
        <v>26</v>
      </c>
      <c r="B4" s="63" t="s">
        <v>93</v>
      </c>
      <c r="C4" s="65" t="s">
        <v>38</v>
      </c>
      <c r="D4" s="65" t="b">
        <v>1</v>
      </c>
      <c r="E4" s="65" t="s">
        <v>158</v>
      </c>
      <c r="F4" s="65" t="s">
        <v>159</v>
      </c>
      <c r="G4" s="64" t="str">
        <f>_xll.qlIborIndex(,FamilyName,C4,0,Currency,Calendar,E4,D4,F4,,Permanent,Trigger,ObjectOverwrite)</f>
        <v>obj_00213#0001</v>
      </c>
      <c r="H4" s="120" t="str">
        <f t="shared" si="0"/>
        <v>AUDSWD_SYNTH1M_Quote</v>
      </c>
      <c r="I4" s="122"/>
      <c r="J4" s="67" t="str">
        <f>_xll.qlDepositRateHelper(,H4,G4,Permanent,Trigger,ObjectOverwrite)</f>
        <v>obj_0025d#0001</v>
      </c>
      <c r="K4" s="51"/>
      <c r="L4" s="10" t="str">
        <f t="shared" ref="L4:L7" si="2">A4</f>
        <v>Dp</v>
      </c>
      <c r="M4" s="98" t="str">
        <f t="shared" ref="M4:M7" si="3">IF(ISBLANK(J4),"--",J4)</f>
        <v>obj_0025d#0001</v>
      </c>
      <c r="N4" s="144" t="str">
        <f>IFERROR(_xll.qlRateHelperQuoteName(M4,Trigger),"--")</f>
        <v>AUDSWD_SYNTH1M_Quote</v>
      </c>
      <c r="O4" s="102">
        <f>IFERROR(_xll.qlRateHelperQuoteValue($M4,Trigger),"--")</f>
        <v>1.949E-2</v>
      </c>
      <c r="P4" s="139" t="b">
        <v>1</v>
      </c>
      <c r="Q4" s="98">
        <v>10</v>
      </c>
      <c r="R4" s="98">
        <v>1</v>
      </c>
      <c r="S4" s="103">
        <f>IFERROR(_xll.qlRateHelperEarliestDate(M4,Trigger),"--")</f>
        <v>42355</v>
      </c>
      <c r="T4" s="103">
        <f>IFERROR(_xll.qlRateHelperPillarDate(M4,Trigger),"--")</f>
        <v>42362</v>
      </c>
      <c r="V4" s="4" t="str">
        <f t="shared" si="1"/>
        <v>Dp</v>
      </c>
      <c r="W4" s="4" t="str">
        <v>obj_0025d</v>
      </c>
      <c r="X4" s="4" t="str">
        <f>IFERROR(_xll.qlRateHelperQuoteName(W4,Trigger),"")</f>
        <v>AUDSWD_SYNTH1M_Quote</v>
      </c>
      <c r="Y4" s="73">
        <f>IFERROR(_xll.qlRateHelperRate(W4,Trigger),"")</f>
        <v>1.949E-2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42355</v>
      </c>
      <c r="AB4" s="5">
        <f>IFERROR(_xll.qlRateHelperPillarDate(W4,Trigger),"")</f>
        <v>42362</v>
      </c>
      <c r="AC4" s="81">
        <v>0.99962635883798279</v>
      </c>
      <c r="AD4" s="175"/>
      <c r="AF4" s="111" t="s">
        <v>89</v>
      </c>
      <c r="AJ4" s="112">
        <v>0</v>
      </c>
    </row>
    <row r="5" spans="1:38" ht="11.25" customHeight="1" x14ac:dyDescent="0.2">
      <c r="A5" s="62" t="s">
        <v>26</v>
      </c>
      <c r="B5" s="63" t="s">
        <v>39</v>
      </c>
      <c r="C5" s="65" t="str">
        <f>B5</f>
        <v>2W</v>
      </c>
      <c r="D5" s="65" t="b">
        <v>1</v>
      </c>
      <c r="E5" s="65" t="s">
        <v>158</v>
      </c>
      <c r="F5" s="65" t="s">
        <v>159</v>
      </c>
      <c r="G5" s="64" t="str">
        <f>_xll.qlIborIndex(,FamilyName,C5,0,Currency,Calendar,E5,D5,F5,,Permanent,Trigger,ObjectOverwrite)</f>
        <v>obj_0025b#0001</v>
      </c>
      <c r="H5" s="120" t="str">
        <f t="shared" si="0"/>
        <v>AUD2WD_SYNTH1M_Quote</v>
      </c>
      <c r="I5" s="122"/>
      <c r="J5" s="67" t="str">
        <f>_xll.qlDepositRateHelper(,H5,G5,Permanent,Trigger,ObjectOverwrite)</f>
        <v>obj_0025f#0001</v>
      </c>
      <c r="K5" s="51"/>
      <c r="L5" s="10" t="str">
        <f t="shared" si="2"/>
        <v>Dp</v>
      </c>
      <c r="M5" s="98" t="str">
        <f t="shared" si="3"/>
        <v>obj_0025f#0001</v>
      </c>
      <c r="N5" s="144" t="str">
        <f>IFERROR(_xll.qlRateHelperQuoteName(M5,Trigger),"--")</f>
        <v>AUD2WD_SYNTH1M_Quote</v>
      </c>
      <c r="O5" s="102">
        <f>IFERROR(_xll.qlRateHelperQuoteValue($M5,Trigger),"--")</f>
        <v>1.9528E-2</v>
      </c>
      <c r="P5" s="139" t="b">
        <v>1</v>
      </c>
      <c r="Q5" s="98">
        <v>10</v>
      </c>
      <c r="R5" s="98">
        <v>1</v>
      </c>
      <c r="S5" s="103">
        <f>IFERROR(_xll.qlRateHelperEarliestDate(M5,Trigger),"--")</f>
        <v>42355</v>
      </c>
      <c r="T5" s="103">
        <f>IFERROR(_xll.qlRateHelperPillarDate(M5,Trigger),"--")</f>
        <v>42369</v>
      </c>
      <c r="V5" s="4" t="str">
        <f t="shared" si="1"/>
        <v>Dp</v>
      </c>
      <c r="W5" s="4" t="str">
        <v>obj_0025f</v>
      </c>
      <c r="X5" s="4" t="str">
        <f>IFERROR(_xll.qlRateHelperQuoteName(W5,Trigger),"")</f>
        <v>AUD2WD_SYNTH1M_Quote</v>
      </c>
      <c r="Y5" s="73">
        <f>IFERROR(_xll.qlRateHelperRate(W5,Trigger),"")</f>
        <v>1.9528E-2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42355</v>
      </c>
      <c r="AB5" s="5">
        <f>IFERROR(_xll.qlRateHelperPillarDate(W5,Trigger),"")</f>
        <v>42369</v>
      </c>
      <c r="AC5" s="81">
        <v>0.99925154143173889</v>
      </c>
      <c r="AD5" s="175"/>
      <c r="AE5" s="84"/>
      <c r="AF5" s="111" t="s">
        <v>90</v>
      </c>
      <c r="AJ5" s="112">
        <v>0</v>
      </c>
    </row>
    <row r="6" spans="1:38" ht="11.25" customHeight="1" x14ac:dyDescent="0.2">
      <c r="A6" s="1" t="s">
        <v>26</v>
      </c>
      <c r="B6" s="8" t="s">
        <v>40</v>
      </c>
      <c r="C6" s="9" t="str">
        <f t="shared" ref="C6:C7" si="4">B6</f>
        <v>3W</v>
      </c>
      <c r="D6" s="9" t="b">
        <v>1</v>
      </c>
      <c r="E6" s="9" t="s">
        <v>158</v>
      </c>
      <c r="F6" s="9" t="s">
        <v>159</v>
      </c>
      <c r="G6" s="7" t="str">
        <f>_xll.qlIborIndex(,FamilyName,C6,0,Currency,Calendar,E6,D6,F6,,Permanent,Trigger,ObjectOverwrite)</f>
        <v>obj_0024b#0001</v>
      </c>
      <c r="H6" s="121" t="str">
        <f t="shared" si="0"/>
        <v>AUD3WD_SYNTH1M_Quote</v>
      </c>
      <c r="I6" s="123"/>
      <c r="J6" s="3" t="str">
        <f>_xll.qlDepositRateHelper(,H6,G6,Permanent,Trigger,ObjectOverwrite)</f>
        <v>obj_00264#0001</v>
      </c>
      <c r="K6" s="51"/>
      <c r="L6" s="10" t="str">
        <f t="shared" si="2"/>
        <v>Dp</v>
      </c>
      <c r="M6" s="98" t="str">
        <f t="shared" si="3"/>
        <v>obj_00264#0001</v>
      </c>
      <c r="N6" s="144" t="str">
        <f>IFERROR(_xll.qlRateHelperQuoteName(M6,Trigger),"--")</f>
        <v>AUD3WD_SYNTH1M_Quote</v>
      </c>
      <c r="O6" s="102">
        <f>IFERROR(_xll.qlRateHelperQuoteValue($M6,Trigger),"--")</f>
        <v>1.9564000000000002E-2</v>
      </c>
      <c r="P6" s="139" t="b">
        <v>1</v>
      </c>
      <c r="Q6" s="98">
        <v>10</v>
      </c>
      <c r="R6" s="98">
        <v>1</v>
      </c>
      <c r="S6" s="103">
        <f>IFERROR(_xll.qlRateHelperEarliestDate(M6,Trigger),"--")</f>
        <v>42355</v>
      </c>
      <c r="T6" s="103">
        <f>IFERROR(_xll.qlRateHelperPillarDate(M6,Trigger),"--")</f>
        <v>42376</v>
      </c>
      <c r="V6" s="4" t="str">
        <f t="shared" si="1"/>
        <v>Dp</v>
      </c>
      <c r="W6" s="4" t="str">
        <v>obj_00264</v>
      </c>
      <c r="X6" s="4" t="str">
        <f>IFERROR(_xll.qlRateHelperQuoteName(W6,Trigger),"")</f>
        <v>AUD3WD_SYNTH1M_Quote</v>
      </c>
      <c r="Y6" s="73">
        <f>IFERROR(_xll.qlRateHelperRate(W6,Trigger),"")</f>
        <v>1.9564000000000002E-2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42355</v>
      </c>
      <c r="AB6" s="5">
        <f>IFERROR(_xll.qlRateHelperPillarDate(W6,Trigger),"")</f>
        <v>42376</v>
      </c>
      <c r="AC6" s="81">
        <v>0.99887566555085483</v>
      </c>
      <c r="AD6" s="175"/>
      <c r="AF6" s="111" t="s">
        <v>91</v>
      </c>
      <c r="AJ6" s="113" t="s">
        <v>92</v>
      </c>
    </row>
    <row r="7" spans="1:38" ht="11.25" customHeight="1" x14ac:dyDescent="0.2">
      <c r="A7" s="1" t="s">
        <v>26</v>
      </c>
      <c r="B7" s="8" t="s">
        <v>2</v>
      </c>
      <c r="C7" s="9" t="str">
        <f t="shared" si="4"/>
        <v>1M</v>
      </c>
      <c r="D7" s="123"/>
      <c r="E7" s="123"/>
      <c r="F7" s="123"/>
      <c r="G7" s="7" t="str">
        <f>PROPER(Currency)&amp;FamilyName&amp;B7</f>
        <v>AudBBSW1M</v>
      </c>
      <c r="H7" s="121" t="str">
        <f t="shared" si="0"/>
        <v>AUD1MD_SYNTH1M_Quote</v>
      </c>
      <c r="I7" s="123"/>
      <c r="J7" s="3" t="str">
        <f>_xll.qlDepositRateHelper(,H7,G7,Permanent,Trigger,ObjectOverwrite)</f>
        <v>obj_00270#0001</v>
      </c>
      <c r="K7" s="51"/>
      <c r="L7" s="10" t="str">
        <f t="shared" si="2"/>
        <v>Dp</v>
      </c>
      <c r="M7" s="98" t="str">
        <f t="shared" si="3"/>
        <v>obj_00270#0001</v>
      </c>
      <c r="N7" s="144" t="str">
        <f>IFERROR(_xll.qlRateHelperQuoteName(M7,Trigger),"--")</f>
        <v>AUD1MD_SYNTH1M_Quote</v>
      </c>
      <c r="O7" s="102">
        <f>IFERROR(_xll.qlRateHelperQuoteValue($M7,Trigger),"--")</f>
        <v>1.9616999999999999E-2</v>
      </c>
      <c r="P7" s="139" t="b">
        <v>1</v>
      </c>
      <c r="Q7" s="98">
        <v>10</v>
      </c>
      <c r="R7" s="98">
        <v>1</v>
      </c>
      <c r="S7" s="103">
        <f>IFERROR(_xll.qlRateHelperEarliestDate(M7,Trigger),"--")</f>
        <v>42355</v>
      </c>
      <c r="T7" s="103">
        <f>IFERROR(_xll.qlRateHelperPillarDate(M7,Trigger),"--")</f>
        <v>42387</v>
      </c>
      <c r="V7" s="4" t="str">
        <f t="shared" si="1"/>
        <v>Dp</v>
      </c>
      <c r="W7" s="4" t="str">
        <v>obj_00270</v>
      </c>
      <c r="X7" s="4" t="str">
        <f>IFERROR(_xll.qlRateHelperQuoteName(W7,Trigger),"")</f>
        <v>AUD1MD_SYNTH1M_Quote</v>
      </c>
      <c r="Y7" s="73">
        <f>IFERROR(_xll.qlRateHelperRate(W7,Trigger),"")</f>
        <v>1.9616999999999999E-2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42355</v>
      </c>
      <c r="AB7" s="5">
        <f>IFERROR(_xll.qlRateHelperPillarDate(W7,Trigger),"")</f>
        <v>42387</v>
      </c>
      <c r="AC7" s="81">
        <v>0.99828310621853333</v>
      </c>
      <c r="AD7" s="175"/>
    </row>
    <row r="8" spans="1:38" ht="11.25" customHeight="1" x14ac:dyDescent="0.2">
      <c r="G8" s="53" t="s">
        <v>162</v>
      </c>
      <c r="H8" s="53" t="s">
        <v>163</v>
      </c>
      <c r="K8" s="51"/>
      <c r="L8" s="71" t="str">
        <f t="shared" ref="L8:L44" si="5">A10</f>
        <v>BasSw</v>
      </c>
      <c r="M8" s="130" t="str">
        <f t="shared" ref="M8:M44" si="6">IF(ISBLANK(J10),"--",J10)</f>
        <v>obj_0023e#0001</v>
      </c>
      <c r="N8" s="143" t="str">
        <f>IFERROR(_xll.qlRateHelperQuoteName(M8,Trigger),"--")</f>
        <v>AUDQM3AB1Y_Quote</v>
      </c>
      <c r="O8" s="132">
        <f>IFERROR(_xll.qlRateHelperQuoteValue($M8,Trigger),"--")</f>
        <v>2.215E-2</v>
      </c>
      <c r="P8" s="135" t="b">
        <v>1</v>
      </c>
      <c r="Q8" s="130">
        <v>50</v>
      </c>
      <c r="R8" s="130">
        <v>1</v>
      </c>
      <c r="S8" s="133">
        <f>IFERROR(_xll.qlRateHelperEarliestDate(M8,Trigger),"--")</f>
        <v>42356</v>
      </c>
      <c r="T8" s="133">
        <f>IFERROR(_xll.qlRateHelperPillarDate(M8,Trigger),"--")</f>
        <v>42723</v>
      </c>
      <c r="V8" s="4" t="str">
        <f t="shared" si="1"/>
        <v>BasSw</v>
      </c>
      <c r="W8" s="4" t="str">
        <v>obj_00210</v>
      </c>
      <c r="X8" s="4" t="str">
        <f>IFERROR(_xll.qlRateHelperQuoteName(W8,Trigger),"")</f>
        <v>AUDQM3AB3M_S1BR3BR_Quote</v>
      </c>
      <c r="Y8" s="73">
        <f>IFERROR(_xll.qlRateHelperRate(W8,Trigger),"")</f>
        <v>2.2993479498231151E-2</v>
      </c>
      <c r="Z8" s="108">
        <f>IF(ISERROR(_xll.qlSwapRateHelperSpread($W8)),IF(ISERROR(_xll.qlFuturesRateHelperConvexityAdjustment($W8)),"",_xll.qlFuturesRateHelperConvexityAdjustment($W8)),_xll.qlSwapRateHelperSpread($W8))</f>
        <v>2.7875E-3</v>
      </c>
      <c r="AA8" s="5">
        <f>IFERROR(_xll.qlRateHelperEarliestDate(W8,Trigger),"")</f>
        <v>42356</v>
      </c>
      <c r="AB8" s="5">
        <f>IFERROR(_xll.qlRateHelperPillarDate(W8,Trigger),"")</f>
        <v>42447</v>
      </c>
      <c r="AC8" s="81">
        <v>0.99493533896985642</v>
      </c>
      <c r="AD8" s="175"/>
    </row>
    <row r="9" spans="1:38" ht="11.25" customHeight="1" x14ac:dyDescent="0.2">
      <c r="A9" s="68" t="s">
        <v>8</v>
      </c>
      <c r="B9" s="68" t="s">
        <v>28</v>
      </c>
      <c r="C9" s="68" t="s">
        <v>117</v>
      </c>
      <c r="D9" s="68" t="s">
        <v>5</v>
      </c>
      <c r="E9" s="68" t="s">
        <v>33</v>
      </c>
      <c r="F9" s="68" t="s">
        <v>118</v>
      </c>
      <c r="G9" s="68" t="s">
        <v>4</v>
      </c>
      <c r="H9" s="68" t="s">
        <v>1</v>
      </c>
      <c r="I9" s="68" t="s">
        <v>116</v>
      </c>
      <c r="J9" s="68" t="s">
        <v>24</v>
      </c>
      <c r="K9" s="51"/>
      <c r="L9" s="10" t="str">
        <f t="shared" si="5"/>
        <v>BasSw</v>
      </c>
      <c r="M9" s="98" t="str">
        <f t="shared" si="6"/>
        <v>--</v>
      </c>
      <c r="N9" s="144" t="str">
        <f>IFERROR(_xll.qlRateHelperQuoteName(M9,Trigger),"--")</f>
        <v>--</v>
      </c>
      <c r="O9" s="102" t="str">
        <f>IFERROR(_xll.qlRateHelperQuoteValue($M9,Trigger),"--")</f>
        <v>--</v>
      </c>
      <c r="P9" s="139" t="b">
        <v>0</v>
      </c>
      <c r="Q9" s="98">
        <v>50</v>
      </c>
      <c r="R9" s="98">
        <v>1</v>
      </c>
      <c r="S9" s="103" t="str">
        <f>IFERROR(_xll.qlRateHelperEarliestDate(M9,Trigger),"--")</f>
        <v>--</v>
      </c>
      <c r="T9" s="103" t="str">
        <f>IFERROR(_xll.qlRateHelperPillarDate(M9,Trigger),"--")</f>
        <v>--</v>
      </c>
      <c r="V9" s="4" t="str">
        <f t="shared" si="1"/>
        <v>BasSw</v>
      </c>
      <c r="W9" s="4" t="str">
        <v>obj_0020f</v>
      </c>
      <c r="X9" s="4" t="str">
        <f>IFERROR(_xll.qlRateHelperQuoteName(W9,Trigger),"")</f>
        <v>AUDQM3AB6M_S1BR3BR_Quote</v>
      </c>
      <c r="Y9" s="73">
        <f>IFERROR(_xll.qlRateHelperRate(W9,Trigger),"")</f>
        <v>2.2588221359186662E-2</v>
      </c>
      <c r="Z9" s="108">
        <f>IF(ISERROR(_xll.qlSwapRateHelperSpread($W9)),IF(ISERROR(_xll.qlFuturesRateHelperConvexityAdjustment($W9)),"",_xll.qlFuturesRateHelperConvexityAdjustment($W9)),_xll.qlSwapRateHelperSpread($W9))</f>
        <v>2.6749999999999999E-3</v>
      </c>
      <c r="AA9" s="5">
        <f>IFERROR(_xll.qlRateHelperEarliestDate(W9,Trigger),"")</f>
        <v>42356</v>
      </c>
      <c r="AB9" s="5">
        <f>IFERROR(_xll.qlRateHelperPillarDate(W9,Trigger),"")</f>
        <v>42541</v>
      </c>
      <c r="AC9" s="81">
        <v>0.98993210364160478</v>
      </c>
      <c r="AD9" s="175"/>
      <c r="AG9" s="49" t="s">
        <v>129</v>
      </c>
    </row>
    <row r="10" spans="1:38" ht="11.25" customHeight="1" x14ac:dyDescent="0.2">
      <c r="A10" s="62" t="s">
        <v>121</v>
      </c>
      <c r="B10" s="63" t="s">
        <v>27</v>
      </c>
      <c r="C10" s="64" t="s">
        <v>6</v>
      </c>
      <c r="D10" s="64" t="s">
        <v>161</v>
      </c>
      <c r="E10" s="64" t="s">
        <v>7</v>
      </c>
      <c r="F10" s="64" t="s">
        <v>159</v>
      </c>
      <c r="G10" s="64" t="str">
        <f t="shared" ref="G10:G46" si="7">PROPER(Currency)&amp;FamilyName&amp;Tenor</f>
        <v>AudBBSW1M</v>
      </c>
      <c r="H10" s="62" t="str">
        <f t="shared" ref="H10:H46" si="8">Currency&amp;$G$8&amp;$H$8&amp;$B10&amp;QuoteSuffix</f>
        <v>AUDQM3AB1Y_Quote</v>
      </c>
      <c r="I10" s="155" t="str">
        <f t="shared" ref="I10:I46" si="9">Currency&amp;"1BR"&amp;"3BR"&amp;B10&amp;QuoteSuffix</f>
        <v>AUD1BR3BR1Y_Quote</v>
      </c>
      <c r="J10" s="67" t="str">
        <f>_xll.qlSwapRateHelper2(,H10,1,B10,Calendar,D10,E10,F10,G10,I10,C10,Discounting,PillarDate,,Permanent,Trigger,ObjectOverwrite)</f>
        <v>obj_0023e#0001</v>
      </c>
      <c r="K10" s="51"/>
      <c r="L10" s="10" t="str">
        <f t="shared" si="5"/>
        <v>BasSw</v>
      </c>
      <c r="M10" s="98" t="str">
        <f t="shared" si="6"/>
        <v>--</v>
      </c>
      <c r="N10" s="144" t="str">
        <f>IFERROR(_xll.qlRateHelperQuoteName(M10,Trigger),"--")</f>
        <v>--</v>
      </c>
      <c r="O10" s="102" t="str">
        <f>IFERROR(_xll.qlRateHelperQuoteValue($M10,Trigger),"--")</f>
        <v>--</v>
      </c>
      <c r="P10" s="139" t="b">
        <v>0</v>
      </c>
      <c r="Q10" s="98">
        <v>50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 t="shared" si="1"/>
        <v>BasSw</v>
      </c>
      <c r="W10" s="4" t="str">
        <v>obj_00212</v>
      </c>
      <c r="X10" s="4" t="str">
        <f>IFERROR(_xll.qlRateHelperQuoteName(W10,Trigger),"")</f>
        <v>AUDQM3AB9M_S1BR3BR_Quote</v>
      </c>
      <c r="Y10" s="73">
        <f>IFERROR(_xll.qlRateHelperRate(W10,Trigger),"")</f>
        <v>2.2274066930999464E-2</v>
      </c>
      <c r="Z10" s="108">
        <f>IF(ISERROR(_xll.qlSwapRateHelperSpread($W10)),IF(ISERROR(_xll.qlFuturesRateHelperConvexityAdjustment($W10)),"",_xll.qlFuturesRateHelperConvexityAdjustment($W10)),_xll.qlSwapRateHelperSpread($W10))</f>
        <v>2.5500000000000002E-3</v>
      </c>
      <c r="AA10" s="5">
        <f>IFERROR(_xll.qlRateHelperEarliestDate(W10,Trigger),"")</f>
        <v>42356</v>
      </c>
      <c r="AB10" s="5">
        <f>IFERROR(_xll.qlRateHelperPillarDate(W10,Trigger),"")</f>
        <v>42632</v>
      </c>
      <c r="AC10" s="81">
        <v>0.98518301843164635</v>
      </c>
      <c r="AD10" s="175"/>
      <c r="AE10" s="77" t="s">
        <v>123</v>
      </c>
      <c r="AF10" s="77" t="s">
        <v>124</v>
      </c>
      <c r="AG10" s="77" t="s">
        <v>125</v>
      </c>
      <c r="AH10" s="77" t="s">
        <v>133</v>
      </c>
      <c r="AI10" s="77" t="s">
        <v>126</v>
      </c>
      <c r="AJ10" s="77" t="s">
        <v>134</v>
      </c>
      <c r="AK10" s="77" t="s">
        <v>127</v>
      </c>
      <c r="AL10" s="77" t="s">
        <v>128</v>
      </c>
    </row>
    <row r="11" spans="1:38" ht="11.25" customHeight="1" x14ac:dyDescent="0.2">
      <c r="A11" s="62" t="s">
        <v>121</v>
      </c>
      <c r="B11" s="63" t="s">
        <v>49</v>
      </c>
      <c r="C11" s="64" t="s">
        <v>6</v>
      </c>
      <c r="D11" s="64" t="s">
        <v>161</v>
      </c>
      <c r="E11" s="64" t="s">
        <v>7</v>
      </c>
      <c r="F11" s="64" t="s">
        <v>159</v>
      </c>
      <c r="G11" s="64" t="str">
        <f t="shared" si="7"/>
        <v>AudBBSW1M</v>
      </c>
      <c r="H11" s="62" t="str">
        <f t="shared" si="8"/>
        <v>AUDQM3AB15M_Quote</v>
      </c>
      <c r="I11" s="155" t="str">
        <f t="shared" si="9"/>
        <v>AUD1BR3BR15M_Quote</v>
      </c>
      <c r="J11" s="67"/>
      <c r="K11" s="51"/>
      <c r="L11" s="10" t="str">
        <f t="shared" si="5"/>
        <v>BasSw</v>
      </c>
      <c r="M11" s="98" t="str">
        <f t="shared" si="6"/>
        <v>--</v>
      </c>
      <c r="N11" s="144" t="str">
        <f>IFERROR(_xll.qlRateHelperQuoteName(M11,Trigger),"--")</f>
        <v>--</v>
      </c>
      <c r="O11" s="102" t="str">
        <f>IFERROR(_xll.qlRateHelperQuoteValue($M11,Trigger),"--")</f>
        <v>--</v>
      </c>
      <c r="P11" s="139" t="b">
        <v>0</v>
      </c>
      <c r="Q11" s="98">
        <v>50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1"/>
        <v>BasSw</v>
      </c>
      <c r="W11" s="4" t="str">
        <v>obj_0023e</v>
      </c>
      <c r="X11" s="4" t="str">
        <f>IFERROR(_xll.qlRateHelperQuoteName(W11,Trigger),"")</f>
        <v>AUDQM3AB1Y_Quote</v>
      </c>
      <c r="Y11" s="73">
        <f>IFERROR(_xll.qlRateHelperRate(W11,Trigger),"")</f>
        <v>2.215E-2</v>
      </c>
      <c r="Z11" s="108">
        <f>IF(ISERROR(_xll.qlSwapRateHelperSpread($W11)),IF(ISERROR(_xll.qlFuturesRateHelperConvexityAdjustment($W11)),"",_xll.qlFuturesRateHelperConvexityAdjustment($W11)),_xll.qlSwapRateHelperSpread($W11))</f>
        <v>2.4499999999999999E-3</v>
      </c>
      <c r="AA11" s="5">
        <f>IFERROR(_xll.qlRateHelperEarliestDate(W11,Trigger),"")</f>
        <v>42356</v>
      </c>
      <c r="AB11" s="5">
        <f>IFERROR(_xll.qlRateHelperPillarDate(W11,Trigger),"")</f>
        <v>42723</v>
      </c>
      <c r="AC11" s="81">
        <v>0.98038604621478642</v>
      </c>
      <c r="AD11" s="175"/>
      <c r="AE11" s="157">
        <v>1</v>
      </c>
      <c r="AF11" s="158">
        <f>_xll.qlCalendarEndOfMonth(Calendar,Settlementdate,Trigger)</f>
        <v>42369</v>
      </c>
      <c r="AG11" s="157" t="str">
        <f t="shared" ref="AG11:AG23" si="10">Currency&amp;$AG$9&amp;AE11&amp;JumpSuffix&amp;QuoteSuffix</f>
        <v>AUDJump1_SYNTHON_Quote</v>
      </c>
      <c r="AH11" s="179">
        <f>_xll.qlDayCounterYearFraction("actual/360",AF11,_xll.qlCalendarAdvance(Calendar,AF11,"1D",,,Trigger))</f>
        <v>1.1111111111111112E-2</v>
      </c>
      <c r="AI11" s="159" t="e">
        <f>IF(_xll.qlQuoteIsValid(AG11,Trigger),_xll.qlQuoteValue(AG11,Trigger),1)</f>
        <v>#NUM!</v>
      </c>
      <c r="AJ11" s="182" t="e">
        <f>-LN(AI11)/AH11</f>
        <v>#NUM!</v>
      </c>
      <c r="AK11" s="187"/>
      <c r="AL11" s="159" t="str">
        <f>IF(ISBLANK(AK11),AG11,EXP(-AK11*AH11))</f>
        <v>AUDJump1_SYNTHON_Quote</v>
      </c>
    </row>
    <row r="12" spans="1:38" ht="11.25" customHeight="1" x14ac:dyDescent="0.2">
      <c r="A12" s="62" t="s">
        <v>121</v>
      </c>
      <c r="B12" s="63" t="s">
        <v>50</v>
      </c>
      <c r="C12" s="64" t="s">
        <v>6</v>
      </c>
      <c r="D12" s="64" t="s">
        <v>161</v>
      </c>
      <c r="E12" s="64" t="s">
        <v>7</v>
      </c>
      <c r="F12" s="64" t="s">
        <v>159</v>
      </c>
      <c r="G12" s="64" t="str">
        <f t="shared" si="7"/>
        <v>AudBBSW1M</v>
      </c>
      <c r="H12" s="62" t="str">
        <f t="shared" si="8"/>
        <v>AUDQM3AB18M_Quote</v>
      </c>
      <c r="I12" s="155" t="str">
        <f t="shared" si="9"/>
        <v>AUD1BR3BR18M_Quote</v>
      </c>
      <c r="J12" s="67"/>
      <c r="K12" s="51" t="s">
        <v>35</v>
      </c>
      <c r="L12" s="10" t="str">
        <f t="shared" si="5"/>
        <v>BasSw</v>
      </c>
      <c r="M12" s="98" t="str">
        <f t="shared" si="6"/>
        <v>obj_00237#0001</v>
      </c>
      <c r="N12" s="144" t="str">
        <f>IFERROR(_xll.qlRateHelperQuoteName(M12,Trigger),"--")</f>
        <v>AUDQM3AB2Y_Quote</v>
      </c>
      <c r="O12" s="102">
        <f>IFERROR(_xll.qlRateHelperQuoteValue($M12,Trigger),"--")</f>
        <v>2.1974999999999998E-2</v>
      </c>
      <c r="P12" s="139" t="b">
        <v>1</v>
      </c>
      <c r="Q12" s="98">
        <v>50</v>
      </c>
      <c r="R12" s="98">
        <v>1</v>
      </c>
      <c r="S12" s="103">
        <f>IFERROR(_xll.qlRateHelperEarliestDate(M12,Trigger),"--")</f>
        <v>42356</v>
      </c>
      <c r="T12" s="103">
        <f>IFERROR(_xll.qlRateHelperPillarDate(M12,Trigger),"--")</f>
        <v>43087</v>
      </c>
      <c r="V12" s="4" t="str">
        <f t="shared" si="1"/>
        <v>BasSw</v>
      </c>
      <c r="W12" s="4" t="str">
        <v>obj_00237</v>
      </c>
      <c r="X12" s="4" t="str">
        <f>IFERROR(_xll.qlRateHelperQuoteName(W12,Trigger),"")</f>
        <v>AUDQM3AB2Y_Quote</v>
      </c>
      <c r="Y12" s="73">
        <f>IFERROR(_xll.qlRateHelperRate(W12,Trigger),"")</f>
        <v>2.1974999999999998E-2</v>
      </c>
      <c r="Z12" s="108">
        <f>IF(ISERROR(_xll.qlSwapRateHelperSpread($W12)),IF(ISERROR(_xll.qlFuturesRateHelperConvexityAdjustment($W12)),"",_xll.qlFuturesRateHelperConvexityAdjustment($W12)),_xll.qlSwapRateHelperSpread($W12))</f>
        <v>2.225E-3</v>
      </c>
      <c r="AA12" s="5">
        <f>IFERROR(_xll.qlRateHelperEarliestDate(W12,Trigger),"")</f>
        <v>42356</v>
      </c>
      <c r="AB12" s="5">
        <f>IFERROR(_xll.qlRateHelperPillarDate(W12,Trigger),"")</f>
        <v>43087</v>
      </c>
      <c r="AC12" s="81">
        <v>0.96126293385076533</v>
      </c>
      <c r="AD12" s="175"/>
      <c r="AE12" s="161">
        <v>2</v>
      </c>
      <c r="AF12" s="162">
        <f>_xll.qlCalendarEndOfMonth(Calendar,_xll.qlCalendarAdvance(Calendar,AF11,"1m","mf",TRUE),Trigger)</f>
        <v>42398</v>
      </c>
      <c r="AG12" s="161" t="str">
        <f t="shared" si="10"/>
        <v>AUDJump2_SYNTHON_Quote</v>
      </c>
      <c r="AH12" s="180">
        <f>_xll.qlDayCounterYearFraction("actual/360",AF12,_xll.qlCalendarAdvance(Calendar,AF12,"1D",,,Trigger))</f>
        <v>8.3333333333333332E-3</v>
      </c>
      <c r="AI12" s="163" t="e">
        <f>IF(_xll.qlQuoteIsValid(AG12,Trigger),_xll.qlQuoteValue(AG12,Trigger),1)</f>
        <v>#NUM!</v>
      </c>
      <c r="AJ12" s="183" t="e">
        <f t="shared" ref="AJ12:AJ23" si="11">-LN(AI12)/AH12</f>
        <v>#NUM!</v>
      </c>
      <c r="AK12" s="188"/>
      <c r="AL12" s="163" t="str">
        <f t="shared" ref="AL12:AL23" si="12">IF(ISBLANK(AK12),AG12,EXP(-AK12*AH12))</f>
        <v>AUDJump2_SYNTHON_Quote</v>
      </c>
    </row>
    <row r="13" spans="1:38" ht="11.25" customHeight="1" x14ac:dyDescent="0.2">
      <c r="A13" s="62" t="s">
        <v>121</v>
      </c>
      <c r="B13" s="63" t="s">
        <v>51</v>
      </c>
      <c r="C13" s="64" t="s">
        <v>6</v>
      </c>
      <c r="D13" s="64" t="s">
        <v>161</v>
      </c>
      <c r="E13" s="64" t="s">
        <v>7</v>
      </c>
      <c r="F13" s="64" t="s">
        <v>159</v>
      </c>
      <c r="G13" s="64" t="str">
        <f t="shared" si="7"/>
        <v>AudBBSW1M</v>
      </c>
      <c r="H13" s="62" t="str">
        <f t="shared" si="8"/>
        <v>AUDQM3AB21M_Quote</v>
      </c>
      <c r="I13" s="155" t="str">
        <f t="shared" si="9"/>
        <v>AUD1BR3BR21M_Quote</v>
      </c>
      <c r="J13" s="67"/>
      <c r="K13" s="51"/>
      <c r="L13" s="10" t="str">
        <f t="shared" si="5"/>
        <v>BasSw</v>
      </c>
      <c r="M13" s="98" t="str">
        <f t="shared" si="6"/>
        <v>obj_00232#0001</v>
      </c>
      <c r="N13" s="144" t="str">
        <f>IFERROR(_xll.qlRateHelperQuoteName(M13,Trigger),"--")</f>
        <v>AUDQM3AB3Y_Quote</v>
      </c>
      <c r="O13" s="102">
        <f>IFERROR(_xll.qlRateHelperQuoteValue($M13,Trigger),"--")</f>
        <v>2.2700000000000001E-2</v>
      </c>
      <c r="P13" s="139" t="b">
        <v>1</v>
      </c>
      <c r="Q13" s="98">
        <v>50</v>
      </c>
      <c r="R13" s="98">
        <v>1</v>
      </c>
      <c r="S13" s="103">
        <f>IFERROR(_xll.qlRateHelperEarliestDate(M13,Trigger),"--")</f>
        <v>42356</v>
      </c>
      <c r="T13" s="103">
        <f>IFERROR(_xll.qlRateHelperPillarDate(M13,Trigger),"--")</f>
        <v>43452</v>
      </c>
      <c r="V13" s="4" t="str">
        <f t="shared" si="1"/>
        <v>BasSw</v>
      </c>
      <c r="W13" s="4" t="str">
        <v>obj_00232</v>
      </c>
      <c r="X13" s="4" t="str">
        <f>IFERROR(_xll.qlRateHelperQuoteName(W13,Trigger),"")</f>
        <v>AUDQM3AB3Y_Quote</v>
      </c>
      <c r="Y13" s="73">
        <f>IFERROR(_xll.qlRateHelperRate(W13,Trigger),"")</f>
        <v>2.2700000000000001E-2</v>
      </c>
      <c r="Z13" s="108">
        <f>IF(ISERROR(_xll.qlSwapRateHelperSpread($W13)),IF(ISERROR(_xll.qlFuturesRateHelperConvexityAdjustment($W13)),"",_xll.qlFuturesRateHelperConvexityAdjustment($W13)),_xll.qlSwapRateHelperSpread($W13))</f>
        <v>2.0249999999999999E-3</v>
      </c>
      <c r="AA13" s="5">
        <f>IFERROR(_xll.qlRateHelperEarliestDate(W13,Trigger),"")</f>
        <v>42356</v>
      </c>
      <c r="AB13" s="5">
        <f>IFERROR(_xll.qlRateHelperPillarDate(W13,Trigger),"")</f>
        <v>43452</v>
      </c>
      <c r="AC13" s="81">
        <v>0.93985327833567101</v>
      </c>
      <c r="AD13" s="175"/>
      <c r="AE13" s="161">
        <v>3</v>
      </c>
      <c r="AF13" s="162">
        <f>_xll.qlCalendarEndOfMonth(Calendar,_xll.qlCalendarAdvance(Calendar,AF12,"1m","mf",TRUE),Trigger)</f>
        <v>42429</v>
      </c>
      <c r="AG13" s="161" t="str">
        <f t="shared" si="10"/>
        <v>AUDJump3_SYNTHON_Quote</v>
      </c>
      <c r="AH13" s="180">
        <f>_xll.qlDayCounterYearFraction("actual/360",AF13,_xll.qlCalendarAdvance(Calendar,AF13,"1D",,,Trigger))</f>
        <v>2.7777777777777779E-3</v>
      </c>
      <c r="AI13" s="163" t="e">
        <f>IF(_xll.qlQuoteIsValid(AG13,Trigger),_xll.qlQuoteValue(AG13,Trigger),1)</f>
        <v>#NUM!</v>
      </c>
      <c r="AJ13" s="183" t="e">
        <f t="shared" si="11"/>
        <v>#NUM!</v>
      </c>
      <c r="AK13" s="188"/>
      <c r="AL13" s="163" t="str">
        <f t="shared" si="12"/>
        <v>AUDJump3_SYNTHON_Quote</v>
      </c>
    </row>
    <row r="14" spans="1:38" ht="11.25" customHeight="1" x14ac:dyDescent="0.2">
      <c r="A14" s="62" t="s">
        <v>121</v>
      </c>
      <c r="B14" s="63" t="s">
        <v>52</v>
      </c>
      <c r="C14" s="64" t="s">
        <v>6</v>
      </c>
      <c r="D14" s="64" t="s">
        <v>161</v>
      </c>
      <c r="E14" s="64" t="s">
        <v>7</v>
      </c>
      <c r="F14" s="64" t="s">
        <v>159</v>
      </c>
      <c r="G14" s="64" t="str">
        <f t="shared" si="7"/>
        <v>AudBBSW1M</v>
      </c>
      <c r="H14" s="62" t="str">
        <f t="shared" si="8"/>
        <v>AUDQM3AB2Y_Quote</v>
      </c>
      <c r="I14" s="155" t="str">
        <f t="shared" si="9"/>
        <v>AUD1BR3BR2Y_Quote</v>
      </c>
      <c r="J14" s="67" t="str">
        <f>_xll.qlSwapRateHelper2(,H14,1,B14,Calendar,D14,E14,F14,G14,I14,C14,Discounting,PillarDate,,Permanent,Trigger,ObjectOverwrite)</f>
        <v>obj_00237#0001</v>
      </c>
      <c r="K14" s="51"/>
      <c r="L14" s="10" t="str">
        <f t="shared" si="5"/>
        <v>BasSw</v>
      </c>
      <c r="M14" s="98" t="str">
        <f t="shared" si="6"/>
        <v>--</v>
      </c>
      <c r="N14" s="144" t="str">
        <f>IFERROR(_xll.qlRateHelperQuoteName(M14,Trigger),"--")</f>
        <v>--</v>
      </c>
      <c r="O14" s="102" t="str">
        <f>IFERROR(_xll.qlRateHelperQuoteValue($M14,Trigger),"--")</f>
        <v>--</v>
      </c>
      <c r="P14" s="139" t="b">
        <v>0</v>
      </c>
      <c r="Q14" s="98">
        <v>50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1"/>
        <v>BasSw</v>
      </c>
      <c r="W14" s="4" t="str">
        <v>obj_0023c</v>
      </c>
      <c r="X14" s="4" t="str">
        <f>IFERROR(_xll.qlRateHelperQuoteName(W14,Trigger),"")</f>
        <v>AUDQM3AB4Y_S1BR3BR_Quote</v>
      </c>
      <c r="Y14" s="73">
        <f>IFERROR(_xll.qlRateHelperRate(W14,Trigger),"")</f>
        <v>2.3621646076086748E-2</v>
      </c>
      <c r="Z14" s="108">
        <f>IF(ISERROR(_xll.qlSwapRateHelperSpread($W14)),IF(ISERROR(_xll.qlFuturesRateHelperConvexityAdjustment($W14)),"",_xll.qlFuturesRateHelperConvexityAdjustment($W14)),_xll.qlSwapRateHelperSpread($W14))</f>
        <v>1.8E-3</v>
      </c>
      <c r="AA14" s="5">
        <f>IFERROR(_xll.qlRateHelperEarliestDate(W14,Trigger),"")</f>
        <v>42356</v>
      </c>
      <c r="AB14" s="5">
        <f>IFERROR(_xll.qlRateHelperPillarDate(W14,Trigger),"")</f>
        <v>43817</v>
      </c>
      <c r="AC14" s="81">
        <v>0.91633405367452925</v>
      </c>
      <c r="AD14" s="175"/>
      <c r="AE14" s="161">
        <v>4</v>
      </c>
      <c r="AF14" s="162">
        <f>_xll.qlCalendarEndOfMonth(Calendar,_xll.qlCalendarAdvance(Calendar,AF13,"1m","mf",TRUE),Trigger)</f>
        <v>42460</v>
      </c>
      <c r="AG14" s="161" t="str">
        <f t="shared" si="10"/>
        <v>AUDJump4_SYNTHON_Quote</v>
      </c>
      <c r="AH14" s="180">
        <f>_xll.qlDayCounterYearFraction("actual/360",AF14,_xll.qlCalendarAdvance(Calendar,AF14,"1D",,,Trigger))</f>
        <v>2.7777777777777779E-3</v>
      </c>
      <c r="AI14" s="163" t="e">
        <f>IF(_xll.qlQuoteIsValid(AG14,Trigger),_xll.qlQuoteValue(AG14,Trigger),1)</f>
        <v>#NUM!</v>
      </c>
      <c r="AJ14" s="183" t="e">
        <f t="shared" si="11"/>
        <v>#NUM!</v>
      </c>
      <c r="AK14" s="188"/>
      <c r="AL14" s="163" t="str">
        <f t="shared" si="12"/>
        <v>AUDJump4_SYNTHON_Quote</v>
      </c>
    </row>
    <row r="15" spans="1:38" ht="11.25" customHeight="1" x14ac:dyDescent="0.2">
      <c r="A15" s="62" t="s">
        <v>121</v>
      </c>
      <c r="B15" s="63" t="s">
        <v>53</v>
      </c>
      <c r="C15" s="64" t="s">
        <v>6</v>
      </c>
      <c r="D15" s="64" t="s">
        <v>161</v>
      </c>
      <c r="E15" s="64" t="s">
        <v>7</v>
      </c>
      <c r="F15" s="64" t="s">
        <v>159</v>
      </c>
      <c r="G15" s="64" t="str">
        <f t="shared" si="7"/>
        <v>AudBBSW1M</v>
      </c>
      <c r="H15" s="62" t="str">
        <f t="shared" si="8"/>
        <v>AUDQM3AB3Y_Quote</v>
      </c>
      <c r="I15" s="155" t="str">
        <f t="shared" si="9"/>
        <v>AUD1BR3BR3Y_Quote</v>
      </c>
      <c r="J15" s="67" t="str">
        <f>_xll.qlSwapRateHelper2(,H15,1,B15,Calendar,D15,E15,F15,G15,I15,C15,Discounting,PillarDate,,Permanent,Trigger,ObjectOverwrite)</f>
        <v>obj_00232#0001</v>
      </c>
      <c r="K15" s="51"/>
      <c r="L15" s="10" t="str">
        <f t="shared" si="5"/>
        <v>BasSw</v>
      </c>
      <c r="M15" s="98" t="str">
        <f t="shared" si="6"/>
        <v>--</v>
      </c>
      <c r="N15" s="144" t="str">
        <f>IFERROR(_xll.qlRateHelperQuoteName(M15,Trigger),"--")</f>
        <v>--</v>
      </c>
      <c r="O15" s="102" t="str">
        <f>IFERROR(_xll.qlRateHelperQuoteValue($M15,Trigger),"--")</f>
        <v>--</v>
      </c>
      <c r="P15" s="139" t="b">
        <v>0</v>
      </c>
      <c r="Q15" s="98">
        <v>50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1"/>
        <v>BasSw</v>
      </c>
      <c r="W15" s="4" t="str">
        <v>obj_00240</v>
      </c>
      <c r="X15" s="4" t="str">
        <f>IFERROR(_xll.qlRateHelperQuoteName(W15,Trigger),"")</f>
        <v>AUDQM3AB5Y_S1BR3BR_Quote</v>
      </c>
      <c r="Y15" s="73">
        <f>IFERROR(_xll.qlRateHelperRate(W15,Trigger),"")</f>
        <v>2.4814513623149438E-2</v>
      </c>
      <c r="Z15" s="108">
        <f>IF(ISERROR(_xll.qlSwapRateHelperSpread($W15)),IF(ISERROR(_xll.qlFuturesRateHelperConvexityAdjustment($W15)),"",_xll.qlFuturesRateHelperConvexityAdjustment($W15)),_xll.qlSwapRateHelperSpread($W15))</f>
        <v>1.6750000000000001E-3</v>
      </c>
      <c r="AA15" s="5">
        <f>IFERROR(_xll.qlRateHelperEarliestDate(W15,Trigger),"")</f>
        <v>42356</v>
      </c>
      <c r="AB15" s="5">
        <f>IFERROR(_xll.qlRateHelperPillarDate(W15,Trigger),"")</f>
        <v>44183</v>
      </c>
      <c r="AC15" s="81">
        <v>0.89040580307851735</v>
      </c>
      <c r="AD15" s="175"/>
      <c r="AE15" s="161">
        <v>5</v>
      </c>
      <c r="AF15" s="162">
        <f>_xll.qlCalendarEndOfMonth(Calendar,_xll.qlCalendarAdvance(Calendar,AF14,"1m","mf",TRUE),Trigger)</f>
        <v>42489</v>
      </c>
      <c r="AG15" s="161" t="str">
        <f t="shared" si="10"/>
        <v>AUDJump5_SYNTHON_Quote</v>
      </c>
      <c r="AH15" s="180">
        <f>_xll.qlDayCounterYearFraction("actual/360",AF15,_xll.qlCalendarAdvance(Calendar,AF15,"1D",,,Trigger))</f>
        <v>8.3333333333333332E-3</v>
      </c>
      <c r="AI15" s="163" t="e">
        <f>IF(_xll.qlQuoteIsValid(AG15,Trigger),_xll.qlQuoteValue(AG15,Trigger),1)</f>
        <v>#NUM!</v>
      </c>
      <c r="AJ15" s="183" t="e">
        <f t="shared" si="11"/>
        <v>#NUM!</v>
      </c>
      <c r="AK15" s="188"/>
      <c r="AL15" s="163" t="str">
        <f t="shared" si="12"/>
        <v>AUDJump5_SYNTHON_Quote</v>
      </c>
    </row>
    <row r="16" spans="1:38" ht="11.25" customHeight="1" x14ac:dyDescent="0.2">
      <c r="A16" s="62" t="s">
        <v>121</v>
      </c>
      <c r="B16" s="63" t="s">
        <v>54</v>
      </c>
      <c r="C16" s="64" t="s">
        <v>6</v>
      </c>
      <c r="D16" s="64" t="s">
        <v>161</v>
      </c>
      <c r="E16" s="64" t="s">
        <v>7</v>
      </c>
      <c r="F16" s="64" t="s">
        <v>159</v>
      </c>
      <c r="G16" s="64" t="str">
        <f t="shared" si="7"/>
        <v>AudBBSW1M</v>
      </c>
      <c r="H16" s="62" t="str">
        <f t="shared" si="8"/>
        <v>AUDQM3AB4Y_Quote</v>
      </c>
      <c r="I16" s="155" t="str">
        <f t="shared" si="9"/>
        <v>AUD1BR3BR4Y_Quote</v>
      </c>
      <c r="J16" s="67"/>
      <c r="K16" s="51"/>
      <c r="L16" s="10" t="str">
        <f t="shared" si="5"/>
        <v>BasSw</v>
      </c>
      <c r="M16" s="98" t="str">
        <f t="shared" si="6"/>
        <v>--</v>
      </c>
      <c r="N16" s="144" t="str">
        <f>IFERROR(_xll.qlRateHelperQuoteName(M16,Trigger),"--")</f>
        <v>--</v>
      </c>
      <c r="O16" s="102" t="str">
        <f>IFERROR(_xll.qlRateHelperQuoteValue($M16,Trigger),"--")</f>
        <v>--</v>
      </c>
      <c r="P16" s="139" t="b">
        <v>0</v>
      </c>
      <c r="Q16" s="98">
        <v>50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1"/>
        <v>BasSw</v>
      </c>
      <c r="W16" s="4" t="str">
        <v>obj_00245</v>
      </c>
      <c r="X16" s="4" t="str">
        <f>IFERROR(_xll.qlRateHelperQuoteName(W16,Trigger),"")</f>
        <v>AUDQM3AB7Y_S1BR3BR_Quote</v>
      </c>
      <c r="Y16" s="73">
        <f>IFERROR(_xll.qlRateHelperRate(W16,Trigger),"")</f>
        <v>2.7000508935059894E-2</v>
      </c>
      <c r="Z16" s="108">
        <f>IF(ISERROR(_xll.qlSwapRateHelperSpread($W16)),IF(ISERROR(_xll.qlFuturesRateHelperConvexityAdjustment($W16)),"",_xll.qlFuturesRateHelperConvexityAdjustment($W16)),_xll.qlSwapRateHelperSpread($W16))</f>
        <v>1.5499999999999999E-3</v>
      </c>
      <c r="AA16" s="5">
        <f>IFERROR(_xll.qlRateHelperEarliestDate(W16,Trigger),"")</f>
        <v>42356</v>
      </c>
      <c r="AB16" s="5">
        <f>IFERROR(_xll.qlRateHelperPillarDate(W16,Trigger),"")</f>
        <v>44914</v>
      </c>
      <c r="AC16" s="81">
        <v>0.83567695305181799</v>
      </c>
      <c r="AD16" s="175"/>
      <c r="AE16" s="161">
        <v>6</v>
      </c>
      <c r="AF16" s="162">
        <f>_xll.qlCalendarEndOfMonth(Calendar,_xll.qlCalendarAdvance(Calendar,AF15,"1m","mf",TRUE),Trigger)</f>
        <v>42521</v>
      </c>
      <c r="AG16" s="161" t="str">
        <f t="shared" si="10"/>
        <v>AUDJump6_SYNTHON_Quote</v>
      </c>
      <c r="AH16" s="180">
        <f>_xll.qlDayCounterYearFraction("actual/360",AF16,_xll.qlCalendarAdvance(Calendar,AF16,"1D",,,Trigger))</f>
        <v>2.7777777777777779E-3</v>
      </c>
      <c r="AI16" s="163" t="e">
        <f>IF(_xll.qlQuoteIsValid(AG16,Trigger),_xll.qlQuoteValue(AG16,Trigger),1)</f>
        <v>#NUM!</v>
      </c>
      <c r="AJ16" s="183" t="e">
        <f t="shared" si="11"/>
        <v>#NUM!</v>
      </c>
      <c r="AK16" s="188"/>
      <c r="AL16" s="163" t="str">
        <f t="shared" si="12"/>
        <v>AUDJump6_SYNTHON_Quote</v>
      </c>
    </row>
    <row r="17" spans="1:38" ht="11.25" customHeight="1" x14ac:dyDescent="0.2">
      <c r="A17" s="62" t="s">
        <v>121</v>
      </c>
      <c r="B17" s="63" t="s">
        <v>55</v>
      </c>
      <c r="C17" s="64" t="s">
        <v>6</v>
      </c>
      <c r="D17" s="64" t="s">
        <v>161</v>
      </c>
      <c r="E17" s="64" t="s">
        <v>7</v>
      </c>
      <c r="F17" s="64" t="s">
        <v>159</v>
      </c>
      <c r="G17" s="64" t="str">
        <f t="shared" si="7"/>
        <v>AudBBSW1M</v>
      </c>
      <c r="H17" s="62" t="str">
        <f t="shared" si="8"/>
        <v>AUDQM3AB5Y_Quote</v>
      </c>
      <c r="I17" s="155" t="str">
        <f t="shared" si="9"/>
        <v>AUD1BR3BR5Y_Quote</v>
      </c>
      <c r="J17" s="67"/>
      <c r="K17" s="51"/>
      <c r="L17" s="10" t="str">
        <f t="shared" si="5"/>
        <v>BasSw</v>
      </c>
      <c r="M17" s="98" t="str">
        <f t="shared" si="6"/>
        <v>--</v>
      </c>
      <c r="N17" s="144" t="str">
        <f>IFERROR(_xll.qlRateHelperQuoteName(M17,Trigger),"--")</f>
        <v>--</v>
      </c>
      <c r="O17" s="102" t="str">
        <f>IFERROR(_xll.qlRateHelperQuoteValue($M17,Trigger),"--")</f>
        <v>--</v>
      </c>
      <c r="P17" s="139" t="b">
        <v>0</v>
      </c>
      <c r="Q17" s="98">
        <v>50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1"/>
        <v>BasSw</v>
      </c>
      <c r="W17" s="4" t="str">
        <v>obj_00243</v>
      </c>
      <c r="X17" s="4" t="str">
        <f>IFERROR(_xll.qlRateHelperQuoteName(W17,Trigger),"")</f>
        <v>AUDQM3AB10Y_S1BR3BR_Quote</v>
      </c>
      <c r="Y17" s="73">
        <f>IFERROR(_xll.qlRateHelperRate(W17,Trigger),"")</f>
        <v>2.943417682857551E-2</v>
      </c>
      <c r="Z17" s="108">
        <f>IF(ISERROR(_xll.qlSwapRateHelperSpread($W17)),IF(ISERROR(_xll.qlFuturesRateHelperConvexityAdjustment($W17)),"",_xll.qlFuturesRateHelperConvexityAdjustment($W17)),_xll.qlSwapRateHelperSpread($W17))</f>
        <v>1.5125E-3</v>
      </c>
      <c r="AA17" s="5">
        <f>IFERROR(_xll.qlRateHelperEarliestDate(W17,Trigger),"")</f>
        <v>42356</v>
      </c>
      <c r="AB17" s="5">
        <f>IFERROR(_xll.qlRateHelperPillarDate(W17,Trigger),"")</f>
        <v>46009</v>
      </c>
      <c r="AC17" s="81">
        <v>0.75352393728165257</v>
      </c>
      <c r="AD17" s="175"/>
      <c r="AE17" s="161">
        <v>7</v>
      </c>
      <c r="AF17" s="162">
        <f>_xll.qlCalendarEndOfMonth(Calendar,_xll.qlCalendarAdvance(Calendar,AF16,"1m","mf",TRUE),Trigger)</f>
        <v>42551</v>
      </c>
      <c r="AG17" s="161" t="str">
        <f t="shared" si="10"/>
        <v>AUDJump7_SYNTHON_Quote</v>
      </c>
      <c r="AH17" s="180">
        <f>_xll.qlDayCounterYearFraction("actual/360",AF17,_xll.qlCalendarAdvance(Calendar,AF17,"1D",,,Trigger))</f>
        <v>2.7777777777777779E-3</v>
      </c>
      <c r="AI17" s="163" t="e">
        <f>IF(_xll.qlQuoteIsValid(AG17,Trigger),_xll.qlQuoteValue(AG17,Trigger),1)</f>
        <v>#NUM!</v>
      </c>
      <c r="AJ17" s="183" t="e">
        <f t="shared" si="11"/>
        <v>#NUM!</v>
      </c>
      <c r="AK17" s="188"/>
      <c r="AL17" s="163" t="str">
        <f t="shared" si="12"/>
        <v>AUDJump7_SYNTHON_Quote</v>
      </c>
    </row>
    <row r="18" spans="1:38" ht="11.25" customHeight="1" x14ac:dyDescent="0.2">
      <c r="A18" s="62" t="s">
        <v>121</v>
      </c>
      <c r="B18" s="63" t="s">
        <v>56</v>
      </c>
      <c r="C18" s="64" t="s">
        <v>6</v>
      </c>
      <c r="D18" s="64" t="s">
        <v>161</v>
      </c>
      <c r="E18" s="64" t="s">
        <v>7</v>
      </c>
      <c r="F18" s="64" t="s">
        <v>159</v>
      </c>
      <c r="G18" s="64" t="str">
        <f t="shared" si="7"/>
        <v>AudBBSW1M</v>
      </c>
      <c r="H18" s="62" t="str">
        <f t="shared" si="8"/>
        <v>AUDQM3AB6Y_Quote</v>
      </c>
      <c r="I18" s="155" t="str">
        <f t="shared" si="9"/>
        <v>AUD1BR3BR6Y_Quote</v>
      </c>
      <c r="J18" s="67"/>
      <c r="K18" s="51"/>
      <c r="L18" s="10" t="str">
        <f t="shared" si="5"/>
        <v>BasSw</v>
      </c>
      <c r="M18" s="98" t="str">
        <f t="shared" si="6"/>
        <v>--</v>
      </c>
      <c r="N18" s="144" t="str">
        <f>IFERROR(_xll.qlRateHelperQuoteName(M18,Trigger),"--")</f>
        <v>--</v>
      </c>
      <c r="O18" s="102" t="str">
        <f>IFERROR(_xll.qlRateHelperQuoteValue($M18,Trigger),"--")</f>
        <v>--</v>
      </c>
      <c r="P18" s="139" t="b">
        <v>0</v>
      </c>
      <c r="Q18" s="98">
        <v>50</v>
      </c>
      <c r="R18" s="98">
        <v>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 t="shared" si="1"/>
        <v>BasSw</v>
      </c>
      <c r="W18" s="4" t="str">
        <v>obj_00231</v>
      </c>
      <c r="X18" s="4" t="str">
        <f>IFERROR(_xll.qlRateHelperQuoteName(W18,Trigger),"")</f>
        <v>AUDQM3AB12Y_S1BR3BR_Quote</v>
      </c>
      <c r="Y18" s="73">
        <f>IFERROR(_xll.qlRateHelperRate(W18,Trigger),"")</f>
        <v>3.0787282278237002E-2</v>
      </c>
      <c r="Z18" s="108">
        <f>IF(ISERROR(_xll.qlSwapRateHelperSpread($W18)),IF(ISERROR(_xll.qlFuturesRateHelperConvexityAdjustment($W18)),"",_xll.qlFuturesRateHelperConvexityAdjustment($W18)),_xll.qlSwapRateHelperSpread($W18))</f>
        <v>1.5250000000000001E-3</v>
      </c>
      <c r="AA18" s="5">
        <f>IFERROR(_xll.qlRateHelperEarliestDate(W18,Trigger),"")</f>
        <v>42356</v>
      </c>
      <c r="AB18" s="5">
        <f>IFERROR(_xll.qlRateHelperPillarDate(W18,Trigger),"")</f>
        <v>46741</v>
      </c>
      <c r="AC18" s="81">
        <v>0.69932123490584663</v>
      </c>
      <c r="AD18" s="175"/>
      <c r="AE18" s="161">
        <v>8</v>
      </c>
      <c r="AF18" s="162">
        <f>_xll.qlCalendarEndOfMonth(Calendar,_xll.qlCalendarAdvance(Calendar,AF17,"1m","mf",TRUE),Trigger)</f>
        <v>42580</v>
      </c>
      <c r="AG18" s="161" t="str">
        <f t="shared" si="10"/>
        <v>AUDJump8_SYNTHON_Quote</v>
      </c>
      <c r="AH18" s="180">
        <f>_xll.qlDayCounterYearFraction("actual/360",AF18,_xll.qlCalendarAdvance(Calendar,AF18,"1D",,,Trigger))</f>
        <v>1.1111111111111112E-2</v>
      </c>
      <c r="AI18" s="163" t="e">
        <f>IF(_xll.qlQuoteIsValid(AG18,Trigger),_xll.qlQuoteValue(AG18,Trigger),1)</f>
        <v>#NUM!</v>
      </c>
      <c r="AJ18" s="183" t="e">
        <f t="shared" si="11"/>
        <v>#NUM!</v>
      </c>
      <c r="AK18" s="188"/>
      <c r="AL18" s="163" t="str">
        <f t="shared" si="12"/>
        <v>AUDJump8_SYNTHON_Quote</v>
      </c>
    </row>
    <row r="19" spans="1:38" ht="11.25" customHeight="1" x14ac:dyDescent="0.2">
      <c r="A19" s="62" t="s">
        <v>121</v>
      </c>
      <c r="B19" s="63" t="s">
        <v>57</v>
      </c>
      <c r="C19" s="64" t="s">
        <v>6</v>
      </c>
      <c r="D19" s="64" t="s">
        <v>161</v>
      </c>
      <c r="E19" s="64" t="s">
        <v>7</v>
      </c>
      <c r="F19" s="64" t="s">
        <v>159</v>
      </c>
      <c r="G19" s="64" t="str">
        <f t="shared" si="7"/>
        <v>AudBBSW1M</v>
      </c>
      <c r="H19" s="62" t="str">
        <f t="shared" si="8"/>
        <v>AUDQM3AB7Y_Quote</v>
      </c>
      <c r="I19" s="155" t="str">
        <f t="shared" si="9"/>
        <v>AUD1BR3BR7Y_Quote</v>
      </c>
      <c r="J19" s="67"/>
      <c r="K19" s="51"/>
      <c r="L19" s="10" t="str">
        <f t="shared" si="5"/>
        <v>BasSw</v>
      </c>
      <c r="M19" s="98" t="str">
        <f t="shared" si="6"/>
        <v>--</v>
      </c>
      <c r="N19" s="144" t="str">
        <f>IFERROR(_xll.qlRateHelperQuoteName(M19,Trigger),"--")</f>
        <v>--</v>
      </c>
      <c r="O19" s="102" t="str">
        <f>IFERROR(_xll.qlRateHelperQuoteValue($M19,Trigger),"--")</f>
        <v>--</v>
      </c>
      <c r="P19" s="139" t="b">
        <v>0</v>
      </c>
      <c r="Q19" s="98">
        <v>50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BasSw</v>
      </c>
      <c r="W19" s="4" t="str">
        <v>obj_00242</v>
      </c>
      <c r="X19" s="4" t="str">
        <f>IFERROR(_xll.qlRateHelperQuoteName(W19,Trigger),"")</f>
        <v>AUDQM3AB15Y_S1BR3BR_Quote</v>
      </c>
      <c r="Y19" s="73">
        <f>IFERROR(_xll.qlRateHelperRate(W19,Trigger),"")</f>
        <v>3.2226714407993386E-2</v>
      </c>
      <c r="Z19" s="108">
        <f>IF(ISERROR(_xll.qlSwapRateHelperSpread($W19)),IF(ISERROR(_xll.qlFuturesRateHelperConvexityAdjustment($W19)),"",_xll.qlFuturesRateHelperConvexityAdjustment($W19)),_xll.qlSwapRateHelperSpread($W19))</f>
        <v>1.5250000000000001E-3</v>
      </c>
      <c r="AA19" s="5">
        <f>IFERROR(_xll.qlRateHelperEarliestDate(W19,Trigger),"")</f>
        <v>42356</v>
      </c>
      <c r="AB19" s="5">
        <f>IFERROR(_xll.qlRateHelperPillarDate(W19,Trigger),"")</f>
        <v>47835</v>
      </c>
      <c r="AC19" s="81">
        <v>0.62406855035422559</v>
      </c>
      <c r="AD19" s="175"/>
      <c r="AE19" s="161">
        <v>9</v>
      </c>
      <c r="AF19" s="162">
        <f>_xll.qlCalendarEndOfMonth(Calendar,_xll.qlCalendarAdvance(Calendar,AF18,"1m","mf",TRUE),Trigger)</f>
        <v>42613</v>
      </c>
      <c r="AG19" s="161" t="str">
        <f t="shared" si="10"/>
        <v>AUDJump9_SYNTHON_Quote</v>
      </c>
      <c r="AH19" s="180">
        <f>_xll.qlDayCounterYearFraction("actual/360",AF19,_xll.qlCalendarAdvance(Calendar,AF19,"1D",,,Trigger))</f>
        <v>2.7777777777777779E-3</v>
      </c>
      <c r="AI19" s="163" t="e">
        <f>IF(_xll.qlQuoteIsValid(AG19,Trigger),_xll.qlQuoteValue(AG19,Trigger),1)</f>
        <v>#NUM!</v>
      </c>
      <c r="AJ19" s="183" t="e">
        <f t="shared" si="11"/>
        <v>#NUM!</v>
      </c>
      <c r="AK19" s="188"/>
      <c r="AL19" s="163" t="str">
        <f t="shared" si="12"/>
        <v>AUDJump9_SYNTHON_Quote</v>
      </c>
    </row>
    <row r="20" spans="1:38" ht="11.25" customHeight="1" x14ac:dyDescent="0.2">
      <c r="A20" s="62" t="s">
        <v>121</v>
      </c>
      <c r="B20" s="63" t="s">
        <v>58</v>
      </c>
      <c r="C20" s="64" t="s">
        <v>6</v>
      </c>
      <c r="D20" s="64" t="s">
        <v>161</v>
      </c>
      <c r="E20" s="64" t="s">
        <v>7</v>
      </c>
      <c r="F20" s="64" t="s">
        <v>159</v>
      </c>
      <c r="G20" s="64" t="str">
        <f t="shared" si="7"/>
        <v>AudBBSW1M</v>
      </c>
      <c r="H20" s="62" t="str">
        <f t="shared" si="8"/>
        <v>AUDQM3AB8Y_Quote</v>
      </c>
      <c r="I20" s="155" t="str">
        <f t="shared" si="9"/>
        <v>AUD1BR3BR8Y_Quote</v>
      </c>
      <c r="J20" s="67"/>
      <c r="K20" s="51"/>
      <c r="L20" s="10" t="str">
        <f t="shared" si="5"/>
        <v>BasSw</v>
      </c>
      <c r="M20" s="98" t="str">
        <f t="shared" si="6"/>
        <v>--</v>
      </c>
      <c r="N20" s="144" t="str">
        <f>IFERROR(_xll.qlRateHelperQuoteName(M20,Trigger),"--")</f>
        <v>--</v>
      </c>
      <c r="O20" s="102" t="str">
        <f>IFERROR(_xll.qlRateHelperQuoteValue($M20,Trigger),"--")</f>
        <v>--</v>
      </c>
      <c r="P20" s="139" t="b">
        <v>0</v>
      </c>
      <c r="Q20" s="98">
        <v>50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BasSw</v>
      </c>
      <c r="W20" s="4" t="str">
        <v>obj_0023f</v>
      </c>
      <c r="X20" s="4" t="str">
        <f>IFERROR(_xll.qlRateHelperQuoteName(W20,Trigger),"")</f>
        <v>AUDQM3AB20Y_S1BR3BR_Quote</v>
      </c>
      <c r="Y20" s="73">
        <f>IFERROR(_xll.qlRateHelperRate(W20,Trigger),"")</f>
        <v>3.3814658995844786E-2</v>
      </c>
      <c r="Z20" s="108">
        <f>IF(ISERROR(_xll.qlSwapRateHelperSpread($W20)),IF(ISERROR(_xll.qlFuturesRateHelperConvexityAdjustment($W20)),"",_xll.qlFuturesRateHelperConvexityAdjustment($W20)),_xll.qlSwapRateHelperSpread($W20))</f>
        <v>1.5250000000000001E-3</v>
      </c>
      <c r="AA20" s="5">
        <f>IFERROR(_xll.qlRateHelperEarliestDate(W20,Trigger),"")</f>
        <v>42356</v>
      </c>
      <c r="AB20" s="5">
        <f>IFERROR(_xll.qlRateHelperPillarDate(W20,Trigger),"")</f>
        <v>49661</v>
      </c>
      <c r="AC20" s="81">
        <v>0.51364977482712304</v>
      </c>
      <c r="AD20" s="175"/>
      <c r="AE20" s="161">
        <v>10</v>
      </c>
      <c r="AF20" s="162">
        <f>_xll.qlCalendarEndOfMonth(Calendar,_xll.qlCalendarAdvance(Calendar,AF19,"1m","mf",TRUE),Trigger)</f>
        <v>42643</v>
      </c>
      <c r="AG20" s="161" t="str">
        <f t="shared" si="10"/>
        <v>AUDJump10_SYNTHON_Quote</v>
      </c>
      <c r="AH20" s="180">
        <f>_xll.qlDayCounterYearFraction("actual/360",AF20,_xll.qlCalendarAdvance(Calendar,AF20,"1D",,,Trigger))</f>
        <v>1.1111111111111112E-2</v>
      </c>
      <c r="AI20" s="163" t="e">
        <f>IF(_xll.qlQuoteIsValid(AG20,Trigger),_xll.qlQuoteValue(AG20,Trigger),1)</f>
        <v>#NUM!</v>
      </c>
      <c r="AJ20" s="183" t="e">
        <f t="shared" si="11"/>
        <v>#NUM!</v>
      </c>
      <c r="AK20" s="188"/>
      <c r="AL20" s="163" t="str">
        <f t="shared" si="12"/>
        <v>AUDJump10_SYNTHON_Quote</v>
      </c>
    </row>
    <row r="21" spans="1:38" ht="11.25" customHeight="1" x14ac:dyDescent="0.2">
      <c r="A21" s="62" t="s">
        <v>121</v>
      </c>
      <c r="B21" s="63" t="s">
        <v>59</v>
      </c>
      <c r="C21" s="64" t="s">
        <v>6</v>
      </c>
      <c r="D21" s="64" t="s">
        <v>161</v>
      </c>
      <c r="E21" s="64" t="s">
        <v>7</v>
      </c>
      <c r="F21" s="64" t="s">
        <v>159</v>
      </c>
      <c r="G21" s="64" t="str">
        <f t="shared" si="7"/>
        <v>AudBBSW1M</v>
      </c>
      <c r="H21" s="62" t="str">
        <f t="shared" si="8"/>
        <v>AUDQM3AB9Y_Quote</v>
      </c>
      <c r="I21" s="155" t="str">
        <f t="shared" si="9"/>
        <v>AUD1BR3BR9Y_Quote</v>
      </c>
      <c r="J21" s="67"/>
      <c r="K21" s="51"/>
      <c r="L21" s="10" t="str">
        <f t="shared" si="5"/>
        <v>BasSw</v>
      </c>
      <c r="M21" s="98" t="str">
        <f t="shared" si="6"/>
        <v>--</v>
      </c>
      <c r="N21" s="144" t="str">
        <f>IFERROR(_xll.qlRateHelperQuoteName(M21,Trigger),"--")</f>
        <v>--</v>
      </c>
      <c r="O21" s="102" t="str">
        <f>IFERROR(_xll.qlRateHelperQuoteValue($M21,Trigger),"--")</f>
        <v>--</v>
      </c>
      <c r="P21" s="139" t="b">
        <v>0</v>
      </c>
      <c r="Q21" s="98">
        <v>50</v>
      </c>
      <c r="R21" s="98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1"/>
        <v>BasSw</v>
      </c>
      <c r="W21" s="4" t="str">
        <v>obj_00238</v>
      </c>
      <c r="X21" s="4" t="str">
        <f>IFERROR(_xll.qlRateHelperQuoteName(W21,Trigger),"")</f>
        <v>AUDQM3AB25Y_S1BR3BR_Quote</v>
      </c>
      <c r="Y21" s="73">
        <f>IFERROR(_xll.qlRateHelperRate(W21,Trigger),"")</f>
        <v>3.4286089834210609E-2</v>
      </c>
      <c r="Z21" s="108">
        <f>IF(ISERROR(_xll.qlSwapRateHelperSpread($W21)),IF(ISERROR(_xll.qlFuturesRateHelperConvexityAdjustment($W21)),"",_xll.qlFuturesRateHelperConvexityAdjustment($W21)),_xll.qlSwapRateHelperSpread($W21))</f>
        <v>1.5250000000000001E-3</v>
      </c>
      <c r="AA21" s="5">
        <f>IFERROR(_xll.qlRateHelperEarliestDate(W21,Trigger),"")</f>
        <v>42356</v>
      </c>
      <c r="AB21" s="5">
        <f>IFERROR(_xll.qlRateHelperPillarDate(W21,Trigger),"")</f>
        <v>51488</v>
      </c>
      <c r="AC21" s="81">
        <v>0.42995368614295171</v>
      </c>
      <c r="AD21" s="175"/>
      <c r="AE21" s="161">
        <v>11</v>
      </c>
      <c r="AF21" s="162">
        <f>_xll.qlCalendarEndOfMonth(Calendar,_xll.qlCalendarAdvance(Calendar,AF20,"1m","mf",TRUE),Trigger)</f>
        <v>42674</v>
      </c>
      <c r="AG21" s="161" t="str">
        <f t="shared" si="10"/>
        <v>AUDJump11_SYNTHON_Quote</v>
      </c>
      <c r="AH21" s="180">
        <f>_xll.qlDayCounterYearFraction("actual/360",AF21,_xll.qlCalendarAdvance(Calendar,AF21,"1D",,,Trigger))</f>
        <v>2.7777777777777779E-3</v>
      </c>
      <c r="AI21" s="163" t="e">
        <f>IF(_xll.qlQuoteIsValid(AG21,Trigger),_xll.qlQuoteValue(AG21,Trigger),1)</f>
        <v>#NUM!</v>
      </c>
      <c r="AJ21" s="183" t="e">
        <f t="shared" si="11"/>
        <v>#NUM!</v>
      </c>
      <c r="AK21" s="188"/>
      <c r="AL21" s="163" t="str">
        <f t="shared" si="12"/>
        <v>AUDJump11_SYNTHON_Quote</v>
      </c>
    </row>
    <row r="22" spans="1:38" ht="11.25" customHeight="1" x14ac:dyDescent="0.2">
      <c r="A22" s="62" t="s">
        <v>121</v>
      </c>
      <c r="B22" s="63" t="s">
        <v>60</v>
      </c>
      <c r="C22" s="64" t="s">
        <v>6</v>
      </c>
      <c r="D22" s="64" t="s">
        <v>161</v>
      </c>
      <c r="E22" s="64" t="s">
        <v>7</v>
      </c>
      <c r="F22" s="64" t="s">
        <v>159</v>
      </c>
      <c r="G22" s="64" t="str">
        <f t="shared" si="7"/>
        <v>AudBBSW1M</v>
      </c>
      <c r="H22" s="62" t="str">
        <f t="shared" si="8"/>
        <v>AUDQM3AB10Y_Quote</v>
      </c>
      <c r="I22" s="155" t="str">
        <f t="shared" si="9"/>
        <v>AUD1BR3BR10Y_Quote</v>
      </c>
      <c r="J22" s="67"/>
      <c r="K22" s="51"/>
      <c r="L22" s="10" t="str">
        <f t="shared" si="5"/>
        <v>BasSw</v>
      </c>
      <c r="M22" s="98" t="str">
        <f t="shared" si="6"/>
        <v>--</v>
      </c>
      <c r="N22" s="144" t="str">
        <f>IFERROR(_xll.qlRateHelperQuoteName(M22,Trigger),"--")</f>
        <v>--</v>
      </c>
      <c r="O22" s="102" t="str">
        <f>IFERROR(_xll.qlRateHelperQuoteValue($M22,Trigger),"--")</f>
        <v>--</v>
      </c>
      <c r="P22" s="139" t="b">
        <v>0</v>
      </c>
      <c r="Q22" s="98">
        <v>50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1"/>
        <v>BasSw</v>
      </c>
      <c r="W22" s="4" t="str">
        <v>obj_00249</v>
      </c>
      <c r="X22" s="4" t="str">
        <f>IFERROR(_xll.qlRateHelperQuoteName(W22,Trigger),"")</f>
        <v>AUDQM3AB30Y_S1BR3BR_Quote</v>
      </c>
      <c r="Y22" s="73">
        <f>IFERROR(_xll.qlRateHelperRate(W22,Trigger),"")</f>
        <v>3.4174802783516922E-2</v>
      </c>
      <c r="Z22" s="108">
        <f>IF(ISERROR(_xll.qlSwapRateHelperSpread($W22)),IF(ISERROR(_xll.qlFuturesRateHelperConvexityAdjustment($W22)),"",_xll.qlFuturesRateHelperConvexityAdjustment($W22)),_xll.qlSwapRateHelperSpread($W22))</f>
        <v>1.5250000000000001E-3</v>
      </c>
      <c r="AA22" s="5">
        <f>IFERROR(_xll.qlRateHelperEarliestDate(W22,Trigger),"")</f>
        <v>42356</v>
      </c>
      <c r="AB22" s="5">
        <f>IFERROR(_xll.qlRateHelperPillarDate(W22,Trigger),"")</f>
        <v>53314</v>
      </c>
      <c r="AC22" s="81">
        <v>0.3672170811838209</v>
      </c>
      <c r="AD22" s="175"/>
      <c r="AE22" s="161">
        <v>12</v>
      </c>
      <c r="AF22" s="162">
        <f>_xll.qlCalendarEndOfMonth(Calendar,_xll.qlCalendarAdvance(Calendar,AF21,"1m","mf",TRUE),Trigger)</f>
        <v>42704</v>
      </c>
      <c r="AG22" s="161" t="str">
        <f t="shared" si="10"/>
        <v>AUDJump12_SYNTHON_Quote</v>
      </c>
      <c r="AH22" s="180">
        <f>_xll.qlDayCounterYearFraction("actual/360",AF22,_xll.qlCalendarAdvance(Calendar,AF22,"1D",,,Trigger))</f>
        <v>2.7777777777777779E-3</v>
      </c>
      <c r="AI22" s="163" t="e">
        <f>IF(_xll.qlQuoteIsValid(AG22,Trigger),_xll.qlQuoteValue(AG22,Trigger),1)</f>
        <v>#NUM!</v>
      </c>
      <c r="AJ22" s="183" t="e">
        <f t="shared" si="11"/>
        <v>#NUM!</v>
      </c>
      <c r="AK22" s="188"/>
      <c r="AL22" s="163" t="str">
        <f t="shared" si="12"/>
        <v>AUDJump12_SYNTHON_Quote</v>
      </c>
    </row>
    <row r="23" spans="1:38" ht="11.25" customHeight="1" x14ac:dyDescent="0.2">
      <c r="A23" s="62" t="s">
        <v>121</v>
      </c>
      <c r="B23" s="63" t="s">
        <v>101</v>
      </c>
      <c r="C23" s="64" t="s">
        <v>6</v>
      </c>
      <c r="D23" s="64" t="s">
        <v>161</v>
      </c>
      <c r="E23" s="64" t="s">
        <v>7</v>
      </c>
      <c r="F23" s="64" t="s">
        <v>159</v>
      </c>
      <c r="G23" s="64" t="str">
        <f t="shared" si="7"/>
        <v>AudBBSW1M</v>
      </c>
      <c r="H23" s="62" t="str">
        <f t="shared" si="8"/>
        <v>AUDQM3AB11Y_Quote</v>
      </c>
      <c r="I23" s="155" t="str">
        <f t="shared" si="9"/>
        <v>AUD1BR3BR11Y_Quote</v>
      </c>
      <c r="J23" s="67"/>
      <c r="K23" s="51"/>
      <c r="L23" s="10" t="str">
        <f t="shared" si="5"/>
        <v>BasSw</v>
      </c>
      <c r="M23" s="98" t="str">
        <f t="shared" si="6"/>
        <v>--</v>
      </c>
      <c r="N23" s="144" t="str">
        <f>IFERROR(_xll.qlRateHelperQuoteName(M23,Trigger),"--")</f>
        <v>--</v>
      </c>
      <c r="O23" s="102" t="str">
        <f>IFERROR(_xll.qlRateHelperQuoteValue($M23,Trigger),"--")</f>
        <v>--</v>
      </c>
      <c r="P23" s="139" t="b">
        <v>0</v>
      </c>
      <c r="Q23" s="98">
        <v>50</v>
      </c>
      <c r="R23" s="98">
        <v>1</v>
      </c>
      <c r="S23" s="103" t="str">
        <f>IFERROR(_xll.qlRateHelperEarliestDate(M23,Trigger),"--")</f>
        <v>--</v>
      </c>
      <c r="T23" s="103" t="str">
        <f>IFERROR(_xll.qlRateHelperPillarDate(M23,Trigger),"--")</f>
        <v>--</v>
      </c>
      <c r="V23" s="4" t="str">
        <f t="shared" si="1"/>
        <v/>
      </c>
      <c r="W23" s="4" t="e">
        <v>#N/A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1" t="e">
        <v>#N/A</v>
      </c>
      <c r="AD23" s="175"/>
      <c r="AE23" s="165">
        <v>13</v>
      </c>
      <c r="AF23" s="166">
        <f>_xll.qlCalendarAdjust(Calendar,DATE(YEAR(AF11)+1,12,31),"preceding",Trigger)</f>
        <v>42734</v>
      </c>
      <c r="AG23" s="165" t="str">
        <f t="shared" si="10"/>
        <v>AUDJump13_SYNTHON_Quote</v>
      </c>
      <c r="AH23" s="181">
        <f>_xll.qlDayCounterYearFraction("actual/360",AF23,_xll.qlCalendarAdvance(Calendar,AF23,"1D",,,Trigger))</f>
        <v>8.3333333333333332E-3</v>
      </c>
      <c r="AI23" s="167" t="e">
        <f>IF(_xll.qlQuoteIsValid(AG23,Trigger),_xll.qlQuoteValue(AG23,Trigger),1)</f>
        <v>#NUM!</v>
      </c>
      <c r="AJ23" s="184" t="e">
        <f t="shared" si="11"/>
        <v>#NUM!</v>
      </c>
      <c r="AK23" s="189"/>
      <c r="AL23" s="167" t="str">
        <f t="shared" si="12"/>
        <v>AUDJump13_SYNTHON_Quote</v>
      </c>
    </row>
    <row r="24" spans="1:38" ht="11.25" customHeight="1" x14ac:dyDescent="0.2">
      <c r="A24" s="62" t="s">
        <v>121</v>
      </c>
      <c r="B24" s="63" t="s">
        <v>61</v>
      </c>
      <c r="C24" s="64" t="s">
        <v>6</v>
      </c>
      <c r="D24" s="64" t="s">
        <v>161</v>
      </c>
      <c r="E24" s="64" t="s">
        <v>7</v>
      </c>
      <c r="F24" s="64" t="s">
        <v>159</v>
      </c>
      <c r="G24" s="64" t="str">
        <f t="shared" si="7"/>
        <v>AudBBSW1M</v>
      </c>
      <c r="H24" s="62" t="str">
        <f t="shared" si="8"/>
        <v>AUDQM3AB12Y_Quote</v>
      </c>
      <c r="I24" s="155" t="str">
        <f t="shared" si="9"/>
        <v>AUD1BR3BR12Y_Quote</v>
      </c>
      <c r="J24" s="67"/>
      <c r="K24" s="51"/>
      <c r="L24" s="10" t="str">
        <f t="shared" si="5"/>
        <v>BasSw</v>
      </c>
      <c r="M24" s="98" t="str">
        <f t="shared" si="6"/>
        <v>--</v>
      </c>
      <c r="N24" s="144" t="str">
        <f>IFERROR(_xll.qlRateHelperQuoteName(M24,Trigger),"--")</f>
        <v>--</v>
      </c>
      <c r="O24" s="102" t="str">
        <f>IFERROR(_xll.qlRateHelperQuoteValue($M24,Trigger),"--")</f>
        <v>--</v>
      </c>
      <c r="P24" s="139" t="b">
        <v>0</v>
      </c>
      <c r="Q24" s="98">
        <v>50</v>
      </c>
      <c r="R24" s="98">
        <v>1</v>
      </c>
      <c r="S24" s="103" t="str">
        <f>IFERROR(_xll.qlRateHelperEarliestDate(M24,Trigger),"--")</f>
        <v>--</v>
      </c>
      <c r="T24" s="103" t="str">
        <f>IFERROR(_xll.qlRateHelperPillarDate(M24,Trigger),"--")</f>
        <v>--</v>
      </c>
      <c r="V24" s="4" t="str">
        <f t="shared" si="1"/>
        <v/>
      </c>
      <c r="W24" s="4" t="e">
        <v>#N/A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#N/A</v>
      </c>
      <c r="AD24" s="175"/>
    </row>
    <row r="25" spans="1:38" ht="11.25" customHeight="1" x14ac:dyDescent="0.2">
      <c r="A25" s="62" t="s">
        <v>121</v>
      </c>
      <c r="B25" s="63" t="s">
        <v>102</v>
      </c>
      <c r="C25" s="64" t="s">
        <v>6</v>
      </c>
      <c r="D25" s="64" t="s">
        <v>161</v>
      </c>
      <c r="E25" s="64" t="s">
        <v>7</v>
      </c>
      <c r="F25" s="64" t="s">
        <v>159</v>
      </c>
      <c r="G25" s="64" t="str">
        <f t="shared" si="7"/>
        <v>AudBBSW1M</v>
      </c>
      <c r="H25" s="62" t="str">
        <f t="shared" si="8"/>
        <v>AUDQM3AB13Y_Quote</v>
      </c>
      <c r="I25" s="155" t="str">
        <f t="shared" si="9"/>
        <v>AUD1BR3BR13Y_Quote</v>
      </c>
      <c r="J25" s="67"/>
      <c r="K25" s="51"/>
      <c r="L25" s="10" t="str">
        <f t="shared" si="5"/>
        <v>BasSw</v>
      </c>
      <c r="M25" s="98" t="str">
        <f t="shared" si="6"/>
        <v>--</v>
      </c>
      <c r="N25" s="144" t="str">
        <f>IFERROR(_xll.qlRateHelperQuoteName(M25,Trigger),"--")</f>
        <v>--</v>
      </c>
      <c r="O25" s="102" t="str">
        <f>IFERROR(_xll.qlRateHelperQuoteValue($M25,Trigger),"--")</f>
        <v>--</v>
      </c>
      <c r="P25" s="139" t="b">
        <v>0</v>
      </c>
      <c r="Q25" s="98">
        <v>50</v>
      </c>
      <c r="R25" s="98">
        <v>1</v>
      </c>
      <c r="S25" s="103" t="str">
        <f>IFERROR(_xll.qlRateHelperEarliestDate(M25,Trigger),"--")</f>
        <v>--</v>
      </c>
      <c r="T25" s="103" t="str">
        <f>IFERROR(_xll.qlRateHelperPillarDate(M25,Trigger),"--")</f>
        <v>--</v>
      </c>
      <c r="V25" s="4" t="str">
        <f t="shared" si="1"/>
        <v/>
      </c>
      <c r="W25" s="4" t="e">
        <v>#N/A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#N/A</v>
      </c>
      <c r="AD25" s="175"/>
    </row>
    <row r="26" spans="1:38" ht="11.25" customHeight="1" x14ac:dyDescent="0.2">
      <c r="A26" s="62" t="s">
        <v>121</v>
      </c>
      <c r="B26" s="63" t="s">
        <v>103</v>
      </c>
      <c r="C26" s="64" t="s">
        <v>6</v>
      </c>
      <c r="D26" s="64" t="s">
        <v>161</v>
      </c>
      <c r="E26" s="64" t="s">
        <v>7</v>
      </c>
      <c r="F26" s="64" t="s">
        <v>159</v>
      </c>
      <c r="G26" s="64" t="str">
        <f t="shared" si="7"/>
        <v>AudBBSW1M</v>
      </c>
      <c r="H26" s="62" t="str">
        <f t="shared" si="8"/>
        <v>AUDQM3AB14Y_Quote</v>
      </c>
      <c r="I26" s="155" t="str">
        <f t="shared" si="9"/>
        <v>AUD1BR3BR14Y_Quote</v>
      </c>
      <c r="J26" s="67"/>
      <c r="K26" s="51"/>
      <c r="L26" s="10" t="str">
        <f t="shared" si="5"/>
        <v>BasSw</v>
      </c>
      <c r="M26" s="98" t="str">
        <f t="shared" si="6"/>
        <v>--</v>
      </c>
      <c r="N26" s="144" t="str">
        <f>IFERROR(_xll.qlRateHelperQuoteName(M26,Trigger),"--")</f>
        <v>--</v>
      </c>
      <c r="O26" s="102" t="str">
        <f>IFERROR(_xll.qlRateHelperQuoteValue($M26,Trigger),"--")</f>
        <v>--</v>
      </c>
      <c r="P26" s="139" t="b">
        <v>0</v>
      </c>
      <c r="Q26" s="98">
        <v>50</v>
      </c>
      <c r="R26" s="98">
        <v>1</v>
      </c>
      <c r="S26" s="103" t="str">
        <f>IFERROR(_xll.qlRateHelperEarliestDate(M26,Trigger),"--")</f>
        <v>--</v>
      </c>
      <c r="T26" s="103" t="str">
        <f>IFERROR(_xll.qlRateHelperPillarDate(M26,Trigger),"--")</f>
        <v>--</v>
      </c>
      <c r="V26" s="4" t="str">
        <f t="shared" si="1"/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#N/A</v>
      </c>
      <c r="AD26" s="175"/>
    </row>
    <row r="27" spans="1:38" ht="11.25" customHeight="1" x14ac:dyDescent="0.2">
      <c r="A27" s="62" t="s">
        <v>121</v>
      </c>
      <c r="B27" s="63" t="s">
        <v>62</v>
      </c>
      <c r="C27" s="64" t="s">
        <v>6</v>
      </c>
      <c r="D27" s="64" t="s">
        <v>161</v>
      </c>
      <c r="E27" s="64" t="s">
        <v>7</v>
      </c>
      <c r="F27" s="64" t="s">
        <v>159</v>
      </c>
      <c r="G27" s="64" t="str">
        <f t="shared" si="7"/>
        <v>AudBBSW1M</v>
      </c>
      <c r="H27" s="62" t="str">
        <f t="shared" si="8"/>
        <v>AUDQM3AB15Y_Quote</v>
      </c>
      <c r="I27" s="155" t="str">
        <f t="shared" si="9"/>
        <v>AUD1BR3BR15Y_Quote</v>
      </c>
      <c r="J27" s="67"/>
      <c r="K27" s="51"/>
      <c r="L27" s="10" t="str">
        <f t="shared" si="5"/>
        <v>BasSw</v>
      </c>
      <c r="M27" s="98" t="str">
        <f t="shared" si="6"/>
        <v>--</v>
      </c>
      <c r="N27" s="144" t="str">
        <f>IFERROR(_xll.qlRateHelperQuoteName(M27,Trigger),"--")</f>
        <v>--</v>
      </c>
      <c r="O27" s="102" t="str">
        <f>IFERROR(_xll.qlRateHelperQuoteValue($M27,Trigger),"--")</f>
        <v>--</v>
      </c>
      <c r="P27" s="139" t="b">
        <v>0</v>
      </c>
      <c r="Q27" s="98">
        <v>50</v>
      </c>
      <c r="R27" s="98">
        <v>1</v>
      </c>
      <c r="S27" s="103" t="str">
        <f>IFERROR(_xll.qlRateHelperEarliestDate(M27,Trigger),"--")</f>
        <v>--</v>
      </c>
      <c r="T27" s="103" t="str">
        <f>IFERROR(_xll.qlRateHelperPillarDate(M27,Trigger),"--")</f>
        <v>--</v>
      </c>
      <c r="V27" s="4" t="str">
        <f t="shared" si="1"/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#N/A</v>
      </c>
      <c r="AD27" s="175"/>
    </row>
    <row r="28" spans="1:38" ht="11.25" customHeight="1" x14ac:dyDescent="0.2">
      <c r="A28" s="62" t="s">
        <v>121</v>
      </c>
      <c r="B28" s="63" t="s">
        <v>104</v>
      </c>
      <c r="C28" s="64" t="s">
        <v>6</v>
      </c>
      <c r="D28" s="64" t="s">
        <v>161</v>
      </c>
      <c r="E28" s="64" t="s">
        <v>7</v>
      </c>
      <c r="F28" s="64" t="s">
        <v>159</v>
      </c>
      <c r="G28" s="64" t="str">
        <f t="shared" si="7"/>
        <v>AudBBSW1M</v>
      </c>
      <c r="H28" s="62" t="str">
        <f t="shared" si="8"/>
        <v>AUDQM3AB16Y_Quote</v>
      </c>
      <c r="I28" s="155" t="str">
        <f t="shared" si="9"/>
        <v>AUD1BR3BR16Y_Quote</v>
      </c>
      <c r="J28" s="67"/>
      <c r="K28" s="51"/>
      <c r="L28" s="10" t="str">
        <f t="shared" si="5"/>
        <v>BasSw</v>
      </c>
      <c r="M28" s="98" t="str">
        <f t="shared" si="6"/>
        <v>--</v>
      </c>
      <c r="N28" s="144" t="str">
        <f>IFERROR(_xll.qlRateHelperQuoteName(M28,Trigger),"--")</f>
        <v>--</v>
      </c>
      <c r="O28" s="102" t="str">
        <f>IFERROR(_xll.qlRateHelperQuoteValue($M28,Trigger),"--")</f>
        <v>--</v>
      </c>
      <c r="P28" s="139" t="b">
        <v>0</v>
      </c>
      <c r="Q28" s="98">
        <v>50</v>
      </c>
      <c r="R28" s="98">
        <v>1</v>
      </c>
      <c r="S28" s="103" t="str">
        <f>IFERROR(_xll.qlRateHelperEarliestDate(M28,Trigger),"--")</f>
        <v>--</v>
      </c>
      <c r="T28" s="103" t="str">
        <f>IFERROR(_xll.qlRateHelperPillarDate(M28,Trigger),"--")</f>
        <v>--</v>
      </c>
      <c r="V28" s="4" t="str">
        <f t="shared" si="1"/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#N/A</v>
      </c>
      <c r="AD28" s="175"/>
    </row>
    <row r="29" spans="1:38" ht="11.25" customHeight="1" x14ac:dyDescent="0.2">
      <c r="A29" s="62" t="s">
        <v>121</v>
      </c>
      <c r="B29" s="63" t="s">
        <v>105</v>
      </c>
      <c r="C29" s="64" t="s">
        <v>6</v>
      </c>
      <c r="D29" s="64" t="s">
        <v>161</v>
      </c>
      <c r="E29" s="64" t="s">
        <v>7</v>
      </c>
      <c r="F29" s="64" t="s">
        <v>159</v>
      </c>
      <c r="G29" s="64" t="str">
        <f t="shared" si="7"/>
        <v>AudBBSW1M</v>
      </c>
      <c r="H29" s="62" t="str">
        <f t="shared" si="8"/>
        <v>AUDQM3AB17Y_Quote</v>
      </c>
      <c r="I29" s="155" t="str">
        <f t="shared" si="9"/>
        <v>AUD1BR3BR17Y_Quote</v>
      </c>
      <c r="J29" s="67"/>
      <c r="K29" s="51"/>
      <c r="L29" s="10" t="str">
        <f t="shared" si="5"/>
        <v>BasSw</v>
      </c>
      <c r="M29" s="98" t="str">
        <f t="shared" si="6"/>
        <v>--</v>
      </c>
      <c r="N29" s="144" t="str">
        <f>IFERROR(_xll.qlRateHelperQuoteName(M29,Trigger),"--")</f>
        <v>--</v>
      </c>
      <c r="O29" s="102" t="str">
        <f>IFERROR(_xll.qlRateHelperQuoteValue($M29,Trigger),"--")</f>
        <v>--</v>
      </c>
      <c r="P29" s="139" t="b">
        <v>0</v>
      </c>
      <c r="Q29" s="98">
        <v>50</v>
      </c>
      <c r="R29" s="98">
        <v>1</v>
      </c>
      <c r="S29" s="103" t="str">
        <f>IFERROR(_xll.qlRateHelperEarliestDate(M29,Trigger),"--")</f>
        <v>--</v>
      </c>
      <c r="T29" s="103" t="str">
        <f>IFERROR(_xll.qlRateHelperPillarDate(M29,Trigger),"--")</f>
        <v>--</v>
      </c>
      <c r="V29" s="4" t="str">
        <f t="shared" si="1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#N/A</v>
      </c>
      <c r="AD29" s="175"/>
    </row>
    <row r="30" spans="1:38" ht="11.25" customHeight="1" x14ac:dyDescent="0.2">
      <c r="A30" s="62" t="s">
        <v>121</v>
      </c>
      <c r="B30" s="63" t="s">
        <v>106</v>
      </c>
      <c r="C30" s="64" t="s">
        <v>6</v>
      </c>
      <c r="D30" s="64" t="s">
        <v>161</v>
      </c>
      <c r="E30" s="64" t="s">
        <v>7</v>
      </c>
      <c r="F30" s="64" t="s">
        <v>159</v>
      </c>
      <c r="G30" s="64" t="str">
        <f t="shared" si="7"/>
        <v>AudBBSW1M</v>
      </c>
      <c r="H30" s="62" t="str">
        <f t="shared" si="8"/>
        <v>AUDQM3AB18Y_Quote</v>
      </c>
      <c r="I30" s="155" t="str">
        <f t="shared" si="9"/>
        <v>AUD1BR3BR18Y_Quote</v>
      </c>
      <c r="J30" s="67"/>
      <c r="K30" s="51"/>
      <c r="L30" s="10" t="str">
        <f t="shared" si="5"/>
        <v>BasSw</v>
      </c>
      <c r="M30" s="98" t="str">
        <f t="shared" si="6"/>
        <v>--</v>
      </c>
      <c r="N30" s="144" t="str">
        <f>IFERROR(_xll.qlRateHelperQuoteName(M30,Trigger),"--")</f>
        <v>--</v>
      </c>
      <c r="O30" s="102" t="str">
        <f>IFERROR(_xll.qlRateHelperQuoteValue($M30,Trigger),"--")</f>
        <v>--</v>
      </c>
      <c r="P30" s="139" t="b">
        <v>0</v>
      </c>
      <c r="Q30" s="98">
        <v>50</v>
      </c>
      <c r="R30" s="98">
        <v>1</v>
      </c>
      <c r="S30" s="103" t="str">
        <f>IFERROR(_xll.qlRateHelperEarliestDate(M30,Trigger),"--")</f>
        <v>--</v>
      </c>
      <c r="T30" s="103" t="str">
        <f>IFERROR(_xll.qlRateHelperPillarDate(M30,Trigger),"--")</f>
        <v>--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  <c r="AD30" s="175"/>
    </row>
    <row r="31" spans="1:38" ht="11.25" customHeight="1" x14ac:dyDescent="0.2">
      <c r="A31" s="62" t="s">
        <v>121</v>
      </c>
      <c r="B31" s="63" t="s">
        <v>107</v>
      </c>
      <c r="C31" s="64" t="s">
        <v>6</v>
      </c>
      <c r="D31" s="64" t="s">
        <v>161</v>
      </c>
      <c r="E31" s="64" t="s">
        <v>7</v>
      </c>
      <c r="F31" s="64" t="s">
        <v>159</v>
      </c>
      <c r="G31" s="64" t="str">
        <f t="shared" si="7"/>
        <v>AudBBSW1M</v>
      </c>
      <c r="H31" s="62" t="str">
        <f t="shared" si="8"/>
        <v>AUDQM3AB19Y_Quote</v>
      </c>
      <c r="I31" s="155" t="str">
        <f t="shared" si="9"/>
        <v>AUD1BR3BR19Y_Quote</v>
      </c>
      <c r="J31" s="67"/>
      <c r="K31" s="51"/>
      <c r="L31" s="10" t="str">
        <f t="shared" si="5"/>
        <v>BasSw</v>
      </c>
      <c r="M31" s="98" t="str">
        <f t="shared" si="6"/>
        <v>--</v>
      </c>
      <c r="N31" s="144" t="str">
        <f>IFERROR(_xll.qlRateHelperQuoteName(M31,Trigger),"--")</f>
        <v>--</v>
      </c>
      <c r="O31" s="102" t="str">
        <f>IFERROR(_xll.qlRateHelperQuoteValue($M31,Trigger),"--")</f>
        <v>--</v>
      </c>
      <c r="P31" s="139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  <c r="AD31" s="175"/>
    </row>
    <row r="32" spans="1:38" ht="11.25" customHeight="1" x14ac:dyDescent="0.2">
      <c r="A32" s="62" t="s">
        <v>121</v>
      </c>
      <c r="B32" s="63" t="s">
        <v>63</v>
      </c>
      <c r="C32" s="64" t="s">
        <v>6</v>
      </c>
      <c r="D32" s="64" t="s">
        <v>161</v>
      </c>
      <c r="E32" s="64" t="s">
        <v>7</v>
      </c>
      <c r="F32" s="64" t="s">
        <v>159</v>
      </c>
      <c r="G32" s="64" t="str">
        <f t="shared" si="7"/>
        <v>AudBBSW1M</v>
      </c>
      <c r="H32" s="62" t="str">
        <f t="shared" si="8"/>
        <v>AUDQM3AB20Y_Quote</v>
      </c>
      <c r="I32" s="155" t="str">
        <f t="shared" si="9"/>
        <v>AUD1BR3BR20Y_Quote</v>
      </c>
      <c r="J32" s="67"/>
      <c r="K32" s="51"/>
      <c r="L32" s="10" t="str">
        <f t="shared" si="5"/>
        <v>BasSw</v>
      </c>
      <c r="M32" s="98" t="str">
        <f t="shared" si="6"/>
        <v>--</v>
      </c>
      <c r="N32" s="144" t="str">
        <f>IFERROR(_xll.qlRateHelperQuoteName(M32,Trigger),"--")</f>
        <v>--</v>
      </c>
      <c r="O32" s="102" t="str">
        <f>IFERROR(_xll.qlRateHelperQuoteValue($M32,Trigger),"--")</f>
        <v>--</v>
      </c>
      <c r="P32" s="139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  <c r="AD32" s="175"/>
    </row>
    <row r="33" spans="1:30" ht="11.25" customHeight="1" x14ac:dyDescent="0.2">
      <c r="A33" s="62" t="s">
        <v>121</v>
      </c>
      <c r="B33" s="63" t="s">
        <v>108</v>
      </c>
      <c r="C33" s="64" t="s">
        <v>6</v>
      </c>
      <c r="D33" s="64" t="s">
        <v>161</v>
      </c>
      <c r="E33" s="64" t="s">
        <v>7</v>
      </c>
      <c r="F33" s="64" t="s">
        <v>159</v>
      </c>
      <c r="G33" s="64" t="str">
        <f t="shared" si="7"/>
        <v>AudBBSW1M</v>
      </c>
      <c r="H33" s="62" t="str">
        <f t="shared" si="8"/>
        <v>AUDQM3AB21Y_Quote</v>
      </c>
      <c r="I33" s="155" t="str">
        <f t="shared" si="9"/>
        <v>AUD1BR3BR21Y_Quote</v>
      </c>
      <c r="J33" s="67"/>
      <c r="K33" s="51"/>
      <c r="L33" s="10" t="str">
        <f t="shared" si="5"/>
        <v>BasSw</v>
      </c>
      <c r="M33" s="98" t="str">
        <f t="shared" si="6"/>
        <v>--</v>
      </c>
      <c r="N33" s="144" t="str">
        <f>IFERROR(_xll.qlRateHelperQuoteName(M33,Trigger),"--")</f>
        <v>--</v>
      </c>
      <c r="O33" s="102" t="str">
        <f>IFERROR(_xll.qlRateHelperQuoteValue($M33,Trigger),"--")</f>
        <v>--</v>
      </c>
      <c r="P33" s="139" t="b">
        <v>0</v>
      </c>
      <c r="Q33" s="98">
        <v>50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  <c r="AD33" s="175"/>
    </row>
    <row r="34" spans="1:30" ht="11.25" customHeight="1" x14ac:dyDescent="0.2">
      <c r="A34" s="62" t="s">
        <v>121</v>
      </c>
      <c r="B34" s="63" t="s">
        <v>109</v>
      </c>
      <c r="C34" s="64" t="s">
        <v>6</v>
      </c>
      <c r="D34" s="64" t="s">
        <v>161</v>
      </c>
      <c r="E34" s="64" t="s">
        <v>7</v>
      </c>
      <c r="F34" s="64" t="s">
        <v>159</v>
      </c>
      <c r="G34" s="64" t="str">
        <f t="shared" si="7"/>
        <v>AudBBSW1M</v>
      </c>
      <c r="H34" s="62" t="str">
        <f t="shared" si="8"/>
        <v>AUDQM3AB22Y_Quote</v>
      </c>
      <c r="I34" s="155" t="str">
        <f t="shared" si="9"/>
        <v>AUD1BR3BR22Y_Quote</v>
      </c>
      <c r="J34" s="67"/>
      <c r="K34" s="51"/>
      <c r="L34" s="10" t="str">
        <f t="shared" si="5"/>
        <v>BasSw</v>
      </c>
      <c r="M34" s="98" t="str">
        <f t="shared" si="6"/>
        <v>--</v>
      </c>
      <c r="N34" s="144" t="str">
        <f>IFERROR(_xll.qlRateHelperQuoteName(M34,Trigger),"--")</f>
        <v>--</v>
      </c>
      <c r="O34" s="102" t="str">
        <f>IFERROR(_xll.qlRateHelperQuoteValue($M34,Trigger),"--")</f>
        <v>--</v>
      </c>
      <c r="P34" s="139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  <c r="AD34" s="175"/>
    </row>
    <row r="35" spans="1:30" ht="11.25" customHeight="1" x14ac:dyDescent="0.2">
      <c r="A35" s="62" t="s">
        <v>121</v>
      </c>
      <c r="B35" s="63" t="s">
        <v>110</v>
      </c>
      <c r="C35" s="64" t="s">
        <v>6</v>
      </c>
      <c r="D35" s="64" t="s">
        <v>161</v>
      </c>
      <c r="E35" s="64" t="s">
        <v>7</v>
      </c>
      <c r="F35" s="64" t="s">
        <v>159</v>
      </c>
      <c r="G35" s="64" t="str">
        <f t="shared" si="7"/>
        <v>AudBBSW1M</v>
      </c>
      <c r="H35" s="62" t="str">
        <f t="shared" si="8"/>
        <v>AUDQM3AB23Y_Quote</v>
      </c>
      <c r="I35" s="155" t="str">
        <f t="shared" si="9"/>
        <v>AUD1BR3BR23Y_Quote</v>
      </c>
      <c r="J35" s="67"/>
      <c r="K35" s="51"/>
      <c r="L35" s="10" t="str">
        <f t="shared" si="5"/>
        <v>BasSw</v>
      </c>
      <c r="M35" s="98" t="str">
        <f t="shared" si="6"/>
        <v>--</v>
      </c>
      <c r="N35" s="144" t="str">
        <f>IFERROR(_xll.qlRateHelperQuoteName(M35,Trigger),"--")</f>
        <v>--</v>
      </c>
      <c r="O35" s="102" t="str">
        <f>IFERROR(_xll.qlRateHelperQuoteValue($M35,Trigger),"--")</f>
        <v>--</v>
      </c>
      <c r="P35" s="139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ref="V35:V66" si="13">IFERROR(INDEX($L$3:$L$84,MATCH(X35,$N$3:$N$84,0),1),"")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  <c r="AD35" s="175"/>
    </row>
    <row r="36" spans="1:30" ht="11.25" customHeight="1" x14ac:dyDescent="0.2">
      <c r="A36" s="62" t="s">
        <v>121</v>
      </c>
      <c r="B36" s="63" t="s">
        <v>111</v>
      </c>
      <c r="C36" s="64" t="s">
        <v>6</v>
      </c>
      <c r="D36" s="64" t="s">
        <v>161</v>
      </c>
      <c r="E36" s="64" t="s">
        <v>7</v>
      </c>
      <c r="F36" s="64" t="s">
        <v>159</v>
      </c>
      <c r="G36" s="64" t="str">
        <f t="shared" si="7"/>
        <v>AudBBSW1M</v>
      </c>
      <c r="H36" s="62" t="str">
        <f t="shared" si="8"/>
        <v>AUDQM3AB24Y_Quote</v>
      </c>
      <c r="I36" s="155" t="str">
        <f t="shared" si="9"/>
        <v>AUD1BR3BR24Y_Quote</v>
      </c>
      <c r="J36" s="67"/>
      <c r="K36" s="51"/>
      <c r="L36" s="10" t="str">
        <f t="shared" si="5"/>
        <v>BasSw</v>
      </c>
      <c r="M36" s="98" t="str">
        <f t="shared" si="6"/>
        <v>--</v>
      </c>
      <c r="N36" s="144" t="str">
        <f>IFERROR(_xll.qlRateHelperQuoteName(M36,Trigger),"--")</f>
        <v>--</v>
      </c>
      <c r="O36" s="102" t="str">
        <f>IFERROR(_xll.qlRateHelperQuoteValue($M36,Trigger),"--")</f>
        <v>--</v>
      </c>
      <c r="P36" s="139" t="b">
        <v>0</v>
      </c>
      <c r="Q36" s="98">
        <v>50</v>
      </c>
      <c r="R36" s="98">
        <v>1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1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  <c r="AD36" s="175"/>
    </row>
    <row r="37" spans="1:30" ht="11.25" customHeight="1" x14ac:dyDescent="0.2">
      <c r="A37" s="62" t="s">
        <v>121</v>
      </c>
      <c r="B37" s="63" t="s">
        <v>64</v>
      </c>
      <c r="C37" s="64" t="s">
        <v>6</v>
      </c>
      <c r="D37" s="64" t="s">
        <v>161</v>
      </c>
      <c r="E37" s="64" t="s">
        <v>7</v>
      </c>
      <c r="F37" s="64" t="s">
        <v>159</v>
      </c>
      <c r="G37" s="64" t="str">
        <f t="shared" si="7"/>
        <v>AudBBSW1M</v>
      </c>
      <c r="H37" s="62" t="str">
        <f t="shared" si="8"/>
        <v>AUDQM3AB25Y_Quote</v>
      </c>
      <c r="I37" s="155" t="str">
        <f t="shared" si="9"/>
        <v>AUD1BR3BR25Y_Quote</v>
      </c>
      <c r="J37" s="67"/>
      <c r="K37" s="51"/>
      <c r="L37" s="10" t="str">
        <f t="shared" si="5"/>
        <v>BasSw</v>
      </c>
      <c r="M37" s="98" t="str">
        <f t="shared" si="6"/>
        <v>--</v>
      </c>
      <c r="N37" s="144" t="str">
        <f>IFERROR(_xll.qlRateHelperQuoteName(M37,Trigger),"--")</f>
        <v>--</v>
      </c>
      <c r="O37" s="102" t="str">
        <f>IFERROR(_xll.qlRateHelperQuoteValue($M37,Trigger),"--")</f>
        <v>--</v>
      </c>
      <c r="P37" s="139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1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  <c r="AD37" s="175"/>
    </row>
    <row r="38" spans="1:30" ht="11.25" customHeight="1" x14ac:dyDescent="0.2">
      <c r="A38" s="62" t="s">
        <v>121</v>
      </c>
      <c r="B38" s="63" t="s">
        <v>112</v>
      </c>
      <c r="C38" s="64" t="s">
        <v>6</v>
      </c>
      <c r="D38" s="64" t="s">
        <v>161</v>
      </c>
      <c r="E38" s="64" t="s">
        <v>7</v>
      </c>
      <c r="F38" s="64" t="s">
        <v>159</v>
      </c>
      <c r="G38" s="64" t="str">
        <f t="shared" si="7"/>
        <v>AudBBSW1M</v>
      </c>
      <c r="H38" s="62" t="str">
        <f t="shared" si="8"/>
        <v>AUDQM3AB26Y_Quote</v>
      </c>
      <c r="I38" s="155" t="str">
        <f t="shared" si="9"/>
        <v>AUD1BR3BR26Y_Quote</v>
      </c>
      <c r="J38" s="67"/>
      <c r="K38" s="51"/>
      <c r="L38" s="10" t="str">
        <f t="shared" si="5"/>
        <v>BasSw</v>
      </c>
      <c r="M38" s="98" t="str">
        <f t="shared" si="6"/>
        <v>--</v>
      </c>
      <c r="N38" s="144" t="str">
        <f>IFERROR(_xll.qlRateHelperQuoteName(M38,Trigger),"--")</f>
        <v>--</v>
      </c>
      <c r="O38" s="102" t="str">
        <f>IFERROR(_xll.qlRateHelperQuoteValue($M38,Trigger),"--")</f>
        <v>--</v>
      </c>
      <c r="P38" s="139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1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  <c r="AD38" s="175"/>
    </row>
    <row r="39" spans="1:30" ht="11.25" customHeight="1" x14ac:dyDescent="0.2">
      <c r="A39" s="62" t="s">
        <v>121</v>
      </c>
      <c r="B39" s="63" t="s">
        <v>65</v>
      </c>
      <c r="C39" s="64" t="s">
        <v>6</v>
      </c>
      <c r="D39" s="64" t="s">
        <v>161</v>
      </c>
      <c r="E39" s="64" t="s">
        <v>7</v>
      </c>
      <c r="F39" s="64" t="s">
        <v>159</v>
      </c>
      <c r="G39" s="64" t="str">
        <f t="shared" si="7"/>
        <v>AudBBSW1M</v>
      </c>
      <c r="H39" s="62" t="str">
        <f t="shared" si="8"/>
        <v>AUDQM3AB27Y_Quote</v>
      </c>
      <c r="I39" s="155" t="str">
        <f t="shared" si="9"/>
        <v>AUD1BR3BR27Y_Quote</v>
      </c>
      <c r="J39" s="67"/>
      <c r="K39" s="51"/>
      <c r="L39" s="10" t="str">
        <f t="shared" si="5"/>
        <v>BasSw</v>
      </c>
      <c r="M39" s="98" t="str">
        <f t="shared" si="6"/>
        <v>--</v>
      </c>
      <c r="N39" s="144" t="str">
        <f>IFERROR(_xll.qlRateHelperQuoteName(M39,Trigger),"--")</f>
        <v>--</v>
      </c>
      <c r="O39" s="102" t="str">
        <f>IFERROR(_xll.qlRateHelperQuoteValue($M39,Trigger),"--")</f>
        <v>--</v>
      </c>
      <c r="P39" s="139" t="b">
        <v>0</v>
      </c>
      <c r="Q39" s="98">
        <v>50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1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  <c r="AD39" s="175"/>
    </row>
    <row r="40" spans="1:30" ht="11.25" customHeight="1" x14ac:dyDescent="0.2">
      <c r="A40" s="62" t="s">
        <v>121</v>
      </c>
      <c r="B40" s="63" t="s">
        <v>113</v>
      </c>
      <c r="C40" s="64" t="s">
        <v>6</v>
      </c>
      <c r="D40" s="64" t="s">
        <v>161</v>
      </c>
      <c r="E40" s="64" t="s">
        <v>7</v>
      </c>
      <c r="F40" s="64" t="s">
        <v>159</v>
      </c>
      <c r="G40" s="64" t="str">
        <f t="shared" si="7"/>
        <v>AudBBSW1M</v>
      </c>
      <c r="H40" s="62" t="str">
        <f t="shared" si="8"/>
        <v>AUDQM3AB28Y_Quote</v>
      </c>
      <c r="I40" s="155" t="str">
        <f t="shared" si="9"/>
        <v>AUD1BR3BR28Y_Quote</v>
      </c>
      <c r="J40" s="67"/>
      <c r="K40" s="51"/>
      <c r="L40" s="10" t="str">
        <f t="shared" si="5"/>
        <v>BasSw</v>
      </c>
      <c r="M40" s="98" t="str">
        <f t="shared" si="6"/>
        <v>--</v>
      </c>
      <c r="N40" s="144" t="str">
        <f>IFERROR(_xll.qlRateHelperQuoteName(M40,Trigger),"--")</f>
        <v>--</v>
      </c>
      <c r="O40" s="102" t="str">
        <f>IFERROR(_xll.qlRateHelperQuoteValue($M40,Trigger),"--")</f>
        <v>--</v>
      </c>
      <c r="P40" s="139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1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  <c r="AD40" s="175"/>
    </row>
    <row r="41" spans="1:30" ht="11.25" customHeight="1" x14ac:dyDescent="0.2">
      <c r="A41" s="62" t="s">
        <v>121</v>
      </c>
      <c r="B41" s="63" t="s">
        <v>114</v>
      </c>
      <c r="C41" s="64" t="s">
        <v>6</v>
      </c>
      <c r="D41" s="64" t="s">
        <v>161</v>
      </c>
      <c r="E41" s="64" t="s">
        <v>7</v>
      </c>
      <c r="F41" s="64" t="s">
        <v>159</v>
      </c>
      <c r="G41" s="64" t="str">
        <f t="shared" si="7"/>
        <v>AudBBSW1M</v>
      </c>
      <c r="H41" s="62" t="str">
        <f t="shared" si="8"/>
        <v>AUDQM3AB29Y_Quote</v>
      </c>
      <c r="I41" s="155" t="str">
        <f t="shared" si="9"/>
        <v>AUD1BR3BR29Y_Quote</v>
      </c>
      <c r="J41" s="67"/>
      <c r="L41" s="10" t="str">
        <f t="shared" si="5"/>
        <v>BasSw</v>
      </c>
      <c r="M41" s="98" t="str">
        <f t="shared" si="6"/>
        <v>--</v>
      </c>
      <c r="N41" s="144" t="str">
        <f>IFERROR(_xll.qlRateHelperQuoteName(M41,Trigger),"--")</f>
        <v>--</v>
      </c>
      <c r="O41" s="102" t="str">
        <f>IFERROR(_xll.qlRateHelperQuoteValue($M41,Trigger),"--")</f>
        <v>--</v>
      </c>
      <c r="P41" s="139" t="b">
        <v>0</v>
      </c>
      <c r="Q41" s="98">
        <v>50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1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  <c r="AD41" s="175"/>
    </row>
    <row r="42" spans="1:30" ht="11.25" customHeight="1" x14ac:dyDescent="0.2">
      <c r="A42" s="62" t="s">
        <v>121</v>
      </c>
      <c r="B42" s="63" t="s">
        <v>66</v>
      </c>
      <c r="C42" s="64" t="s">
        <v>6</v>
      </c>
      <c r="D42" s="64" t="s">
        <v>161</v>
      </c>
      <c r="E42" s="64" t="s">
        <v>7</v>
      </c>
      <c r="F42" s="64" t="s">
        <v>159</v>
      </c>
      <c r="G42" s="64" t="str">
        <f t="shared" si="7"/>
        <v>AudBBSW1M</v>
      </c>
      <c r="H42" s="62" t="str">
        <f t="shared" si="8"/>
        <v>AUDQM3AB30Y_Quote</v>
      </c>
      <c r="I42" s="155" t="str">
        <f t="shared" si="9"/>
        <v>AUD1BR3BR30Y_Quote</v>
      </c>
      <c r="J42" s="67"/>
      <c r="L42" s="10" t="str">
        <f t="shared" si="5"/>
        <v>BasSw</v>
      </c>
      <c r="M42" s="98" t="str">
        <f t="shared" si="6"/>
        <v>--</v>
      </c>
      <c r="N42" s="144" t="str">
        <f>IFERROR(_xll.qlRateHelperQuoteName(M42,Trigger),"--")</f>
        <v>--</v>
      </c>
      <c r="O42" s="102" t="str">
        <f>IFERROR(_xll.qlRateHelperQuoteValue($M42,Trigger),"--")</f>
        <v>--</v>
      </c>
      <c r="P42" s="139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 t="shared" si="1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  <c r="AD42" s="175"/>
    </row>
    <row r="43" spans="1:30" ht="11.25" customHeight="1" x14ac:dyDescent="0.2">
      <c r="A43" s="62" t="s">
        <v>121</v>
      </c>
      <c r="B43" s="63" t="s">
        <v>67</v>
      </c>
      <c r="C43" s="64" t="s">
        <v>6</v>
      </c>
      <c r="D43" s="64" t="s">
        <v>161</v>
      </c>
      <c r="E43" s="64" t="s">
        <v>7</v>
      </c>
      <c r="F43" s="64" t="s">
        <v>159</v>
      </c>
      <c r="G43" s="64" t="str">
        <f t="shared" si="7"/>
        <v>AudBBSW1M</v>
      </c>
      <c r="H43" s="62" t="str">
        <f t="shared" si="8"/>
        <v>AUDQM3AB35Y_Quote</v>
      </c>
      <c r="I43" s="155" t="str">
        <f t="shared" si="9"/>
        <v>AUD1BR3BR35Y_Quote</v>
      </c>
      <c r="J43" s="67"/>
      <c r="L43" s="10" t="str">
        <f t="shared" si="5"/>
        <v>BasSw</v>
      </c>
      <c r="M43" s="98" t="str">
        <f t="shared" si="6"/>
        <v>--</v>
      </c>
      <c r="N43" s="144" t="str">
        <f>IFERROR(_xll.qlRateHelperQuoteName(M43,Trigger),"--")</f>
        <v>--</v>
      </c>
      <c r="O43" s="102" t="str">
        <f>IFERROR(_xll.qlRateHelperQuoteValue($M43,Trigger),"--")</f>
        <v>--</v>
      </c>
      <c r="P43" s="139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1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  <c r="AD43" s="175"/>
    </row>
    <row r="44" spans="1:30" ht="11.25" customHeight="1" x14ac:dyDescent="0.2">
      <c r="A44" s="62" t="s">
        <v>121</v>
      </c>
      <c r="B44" s="63" t="s">
        <v>68</v>
      </c>
      <c r="C44" s="64" t="s">
        <v>6</v>
      </c>
      <c r="D44" s="64" t="s">
        <v>161</v>
      </c>
      <c r="E44" s="64" t="s">
        <v>7</v>
      </c>
      <c r="F44" s="64" t="s">
        <v>159</v>
      </c>
      <c r="G44" s="64" t="str">
        <f t="shared" si="7"/>
        <v>AudBBSW1M</v>
      </c>
      <c r="H44" s="62" t="str">
        <f t="shared" si="8"/>
        <v>AUDQM3AB40Y_Quote</v>
      </c>
      <c r="I44" s="155" t="str">
        <f t="shared" si="9"/>
        <v>AUD1BR3BR40Y_Quote</v>
      </c>
      <c r="J44" s="67"/>
      <c r="L44" s="10" t="str">
        <f t="shared" si="5"/>
        <v>BasSw</v>
      </c>
      <c r="M44" s="98" t="str">
        <f t="shared" si="6"/>
        <v>--</v>
      </c>
      <c r="N44" s="144" t="str">
        <f>IFERROR(_xll.qlRateHelperQuoteName(M44,Trigger),"--")</f>
        <v>--</v>
      </c>
      <c r="O44" s="102" t="str">
        <f>IFERROR(_xll.qlRateHelperQuoteValue($M44,Trigger),"--")</f>
        <v>--</v>
      </c>
      <c r="P44" s="139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1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30" ht="11.25" customHeight="1" x14ac:dyDescent="0.2">
      <c r="A45" s="62" t="s">
        <v>121</v>
      </c>
      <c r="B45" s="63" t="s">
        <v>69</v>
      </c>
      <c r="C45" s="64" t="s">
        <v>6</v>
      </c>
      <c r="D45" s="64" t="s">
        <v>161</v>
      </c>
      <c r="E45" s="64" t="s">
        <v>7</v>
      </c>
      <c r="F45" s="64" t="s">
        <v>159</v>
      </c>
      <c r="G45" s="64" t="str">
        <f t="shared" si="7"/>
        <v>AudBBSW1M</v>
      </c>
      <c r="H45" s="62" t="str">
        <f t="shared" si="8"/>
        <v>AUDQM3AB50Y_Quote</v>
      </c>
      <c r="I45" s="155" t="str">
        <f t="shared" si="9"/>
        <v>AUD1BR3BR50Y_Quote</v>
      </c>
      <c r="J45" s="67"/>
      <c r="L45" s="71" t="str">
        <f>A49</f>
        <v>BasSw</v>
      </c>
      <c r="M45" s="130" t="str">
        <f>IF(ISBLANK(J49),"--",J49)</f>
        <v>obj_00210#0001</v>
      </c>
      <c r="N45" s="143" t="str">
        <f>IFERROR(_xll.qlRateHelperQuoteName(M45,Trigger),"--")</f>
        <v>AUDQM3AB3M_S1BR3BR_Quote</v>
      </c>
      <c r="O45" s="132">
        <f>IFERROR(_xll.qlRateHelperQuoteValue($M45,Trigger),"--")</f>
        <v>2.2993479498231151E-2</v>
      </c>
      <c r="P45" s="135" t="b">
        <v>1</v>
      </c>
      <c r="Q45" s="130">
        <v>50</v>
      </c>
      <c r="R45" s="130">
        <v>1</v>
      </c>
      <c r="S45" s="133">
        <f>IFERROR(_xll.qlRateHelperEarliestDate(M45,Trigger),"--")</f>
        <v>42356</v>
      </c>
      <c r="T45" s="133">
        <f>IFERROR(_xll.qlRateHelperPillarDate(M45,Trigger),"--")</f>
        <v>42447</v>
      </c>
      <c r="V45" s="4" t="str">
        <f t="shared" si="1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30" ht="11.25" customHeight="1" x14ac:dyDescent="0.2">
      <c r="A46" s="1" t="s">
        <v>121</v>
      </c>
      <c r="B46" s="8" t="s">
        <v>115</v>
      </c>
      <c r="C46" s="7" t="s">
        <v>6</v>
      </c>
      <c r="D46" s="7" t="s">
        <v>161</v>
      </c>
      <c r="E46" s="7" t="s">
        <v>7</v>
      </c>
      <c r="F46" s="7" t="s">
        <v>159</v>
      </c>
      <c r="G46" s="7" t="str">
        <f t="shared" si="7"/>
        <v>AudBBSW1M</v>
      </c>
      <c r="H46" s="1" t="str">
        <f t="shared" si="8"/>
        <v>AUDQM3AB60Y_Quote</v>
      </c>
      <c r="I46" s="156" t="str">
        <f t="shared" si="9"/>
        <v>AUD1BR3BR60Y_Quote</v>
      </c>
      <c r="J46" s="3"/>
      <c r="L46" s="10" t="str">
        <f t="shared" ref="L46:L84" si="14">A50</f>
        <v>BasSw</v>
      </c>
      <c r="M46" s="98" t="str">
        <f t="shared" ref="M46:M84" si="15">IF(ISBLANK(J50),"--",J50)</f>
        <v>obj_0020f#0001</v>
      </c>
      <c r="N46" s="144" t="str">
        <f>IFERROR(_xll.qlRateHelperQuoteName(M46,Trigger),"--")</f>
        <v>AUDQM3AB6M_S1BR3BR_Quote</v>
      </c>
      <c r="O46" s="102">
        <f>IFERROR(_xll.qlRateHelperQuoteValue($M46,Trigger),"--")</f>
        <v>2.2588221359186662E-2</v>
      </c>
      <c r="P46" s="139" t="b">
        <v>1</v>
      </c>
      <c r="Q46" s="98">
        <v>50</v>
      </c>
      <c r="R46" s="98">
        <v>1</v>
      </c>
      <c r="S46" s="103">
        <f>IFERROR(_xll.qlRateHelperEarliestDate(M46,Trigger),"--")</f>
        <v>42356</v>
      </c>
      <c r="T46" s="103">
        <f>IFERROR(_xll.qlRateHelperPillarDate(M46,Trigger),"--")</f>
        <v>42541</v>
      </c>
      <c r="V46" s="4" t="str">
        <f t="shared" si="1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G47" s="53" t="s">
        <v>162</v>
      </c>
      <c r="H47" s="107" t="s">
        <v>163</v>
      </c>
      <c r="L47" s="10" t="str">
        <f t="shared" si="14"/>
        <v>BasSw</v>
      </c>
      <c r="M47" s="98" t="str">
        <f t="shared" si="15"/>
        <v>obj_00212#0001</v>
      </c>
      <c r="N47" s="144" t="str">
        <f>IFERROR(_xll.qlRateHelperQuoteName(M47,Trigger),"--")</f>
        <v>AUDQM3AB9M_S1BR3BR_Quote</v>
      </c>
      <c r="O47" s="102">
        <f>IFERROR(_xll.qlRateHelperQuoteValue($M47,Trigger),"--")</f>
        <v>2.2274066930999464E-2</v>
      </c>
      <c r="P47" s="139" t="b">
        <v>1</v>
      </c>
      <c r="Q47" s="98">
        <v>50</v>
      </c>
      <c r="R47" s="98">
        <v>1</v>
      </c>
      <c r="S47" s="103">
        <f>IFERROR(_xll.qlRateHelperEarliestDate(M47,Trigger),"--")</f>
        <v>42356</v>
      </c>
      <c r="T47" s="103">
        <f>IFERROR(_xll.qlRateHelperPillarDate(M47,Trigger),"--")</f>
        <v>42632</v>
      </c>
      <c r="V47" s="4" t="str">
        <f t="shared" si="1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8" t="s">
        <v>8</v>
      </c>
      <c r="B48" s="68" t="s">
        <v>28</v>
      </c>
      <c r="C48" s="68" t="s">
        <v>117</v>
      </c>
      <c r="D48" s="68" t="s">
        <v>5</v>
      </c>
      <c r="E48" s="68" t="s">
        <v>33</v>
      </c>
      <c r="F48" s="68" t="s">
        <v>118</v>
      </c>
      <c r="G48" s="68" t="s">
        <v>4</v>
      </c>
      <c r="H48" s="68" t="s">
        <v>1</v>
      </c>
      <c r="I48" s="68" t="s">
        <v>116</v>
      </c>
      <c r="J48" s="68" t="s">
        <v>24</v>
      </c>
      <c r="L48" s="10" t="str">
        <f t="shared" si="14"/>
        <v>BasSw</v>
      </c>
      <c r="M48" s="98" t="str">
        <f t="shared" si="15"/>
        <v>--</v>
      </c>
      <c r="N48" s="144" t="str">
        <f>IFERROR(_xll.qlRateHelperQuoteName(M48,Trigger),"--")</f>
        <v>--</v>
      </c>
      <c r="O48" s="102" t="str">
        <f>IFERROR(_xll.qlRateHelperQuoteValue($M48,Trigger),"--")</f>
        <v>--</v>
      </c>
      <c r="P48" s="139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1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121</v>
      </c>
      <c r="B49" s="63" t="s">
        <v>0</v>
      </c>
      <c r="C49" s="64" t="s">
        <v>6</v>
      </c>
      <c r="D49" s="64" t="s">
        <v>161</v>
      </c>
      <c r="E49" s="64" t="s">
        <v>7</v>
      </c>
      <c r="F49" s="64" t="s">
        <v>159</v>
      </c>
      <c r="G49" s="64" t="str">
        <f t="shared" ref="G49:G88" si="16">PROPER(Currency)&amp;FamilyName&amp;Tenor</f>
        <v>AudBBSW1M</v>
      </c>
      <c r="H49" s="62" t="str">
        <f t="shared" ref="H49:H88" si="17">Currency&amp;$G$47&amp;$H$47&amp;B49&amp;"_S"&amp;"1BR"&amp;"3BR"&amp;QuoteSuffix</f>
        <v>AUDQM3AB3M_S1BR3BR_Quote</v>
      </c>
      <c r="I49" s="155" t="str">
        <f t="shared" ref="I49:I88" si="18">Currency&amp;"1BR"&amp;"3BR"&amp;B49&amp;QuoteSuffix</f>
        <v>AUD1BR3BR3M_Quote</v>
      </c>
      <c r="J49" s="67" t="str">
        <f>_xll.qlSwapRateHelper2(,H49,1,B49,Calendar,D49,E49,F49,G49,I49,C49,Discounting,PillarDate,,Permanent,Trigger,ObjectOverwrite)</f>
        <v>obj_00210#0001</v>
      </c>
      <c r="L49" s="10" t="str">
        <f t="shared" si="14"/>
        <v>BasSw</v>
      </c>
      <c r="M49" s="98" t="str">
        <f t="shared" si="15"/>
        <v>--</v>
      </c>
      <c r="N49" s="144" t="str">
        <f>IFERROR(_xll.qlRateHelperQuoteName(M49,Trigger),"--")</f>
        <v>--</v>
      </c>
      <c r="O49" s="102" t="str">
        <f>IFERROR(_xll.qlRateHelperQuoteValue($M49,Trigger),"--")</f>
        <v>--</v>
      </c>
      <c r="P49" s="139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1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121</v>
      </c>
      <c r="B50" s="63" t="s">
        <v>3</v>
      </c>
      <c r="C50" s="64" t="s">
        <v>6</v>
      </c>
      <c r="D50" s="64" t="s">
        <v>161</v>
      </c>
      <c r="E50" s="64" t="s">
        <v>7</v>
      </c>
      <c r="F50" s="64" t="s">
        <v>159</v>
      </c>
      <c r="G50" s="64" t="str">
        <f t="shared" si="16"/>
        <v>AudBBSW1M</v>
      </c>
      <c r="H50" s="62" t="str">
        <f t="shared" si="17"/>
        <v>AUDQM3AB6M_S1BR3BR_Quote</v>
      </c>
      <c r="I50" s="155" t="str">
        <f t="shared" si="18"/>
        <v>AUD1BR3BR6M_Quote</v>
      </c>
      <c r="J50" s="67" t="str">
        <f>_xll.qlSwapRateHelper2(,H50,1,B50,Calendar,D50,E50,F50,G50,I50,C50,Discounting,PillarDate,,Permanent,Trigger,ObjectOverwrite)</f>
        <v>obj_0020f#0001</v>
      </c>
      <c r="L50" s="10" t="str">
        <f t="shared" si="14"/>
        <v>BasSw</v>
      </c>
      <c r="M50" s="98" t="str">
        <f t="shared" si="15"/>
        <v>--</v>
      </c>
      <c r="N50" s="144" t="str">
        <f>IFERROR(_xll.qlRateHelperQuoteName(M50,Trigger),"--")</f>
        <v>--</v>
      </c>
      <c r="O50" s="102" t="str">
        <f>IFERROR(_xll.qlRateHelperQuoteValue($M50,Trigger),"--")</f>
        <v>--</v>
      </c>
      <c r="P50" s="139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1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121</v>
      </c>
      <c r="B51" s="63" t="s">
        <v>46</v>
      </c>
      <c r="C51" s="64" t="s">
        <v>6</v>
      </c>
      <c r="D51" s="64" t="s">
        <v>161</v>
      </c>
      <c r="E51" s="64" t="s">
        <v>7</v>
      </c>
      <c r="F51" s="64" t="s">
        <v>159</v>
      </c>
      <c r="G51" s="64" t="str">
        <f t="shared" si="16"/>
        <v>AudBBSW1M</v>
      </c>
      <c r="H51" s="62" t="str">
        <f t="shared" si="17"/>
        <v>AUDQM3AB9M_S1BR3BR_Quote</v>
      </c>
      <c r="I51" s="155" t="str">
        <f t="shared" si="18"/>
        <v>AUD1BR3BR9M_Quote</v>
      </c>
      <c r="J51" s="67" t="str">
        <f>_xll.qlSwapRateHelper2(,H51,1,B51,Calendar,D51,E51,F51,G51,I51,C51,Discounting,PillarDate,,Permanent,Trigger,ObjectOverwrite)</f>
        <v>obj_00212#0001</v>
      </c>
      <c r="L51" s="10" t="str">
        <f t="shared" si="14"/>
        <v>BasSw</v>
      </c>
      <c r="M51" s="98" t="str">
        <f t="shared" si="15"/>
        <v>--</v>
      </c>
      <c r="N51" s="144" t="str">
        <f>IFERROR(_xll.qlRateHelperQuoteName(M51,Trigger),"--")</f>
        <v>--</v>
      </c>
      <c r="O51" s="102" t="str">
        <f>IFERROR(_xll.qlRateHelperQuoteValue($M51,Trigger),"--")</f>
        <v>--</v>
      </c>
      <c r="P51" s="139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1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121</v>
      </c>
      <c r="B52" s="63" t="s">
        <v>27</v>
      </c>
      <c r="C52" s="64" t="s">
        <v>6</v>
      </c>
      <c r="D52" s="64" t="s">
        <v>161</v>
      </c>
      <c r="E52" s="64" t="s">
        <v>7</v>
      </c>
      <c r="F52" s="64" t="s">
        <v>159</v>
      </c>
      <c r="G52" s="64" t="str">
        <f t="shared" si="16"/>
        <v>AudBBSW1M</v>
      </c>
      <c r="H52" s="62" t="str">
        <f t="shared" si="17"/>
        <v>AUDQM3AB1Y_S1BR3BR_Quote</v>
      </c>
      <c r="I52" s="155" t="str">
        <f t="shared" si="18"/>
        <v>AUD1BR3BR1Y_Quote</v>
      </c>
      <c r="J52" s="67"/>
      <c r="L52" s="10" t="str">
        <f t="shared" si="14"/>
        <v>BasSw</v>
      </c>
      <c r="M52" s="98" t="str">
        <f t="shared" si="15"/>
        <v>--</v>
      </c>
      <c r="N52" s="144" t="str">
        <f>IFERROR(_xll.qlRateHelperQuoteName(M52,Trigger),"--")</f>
        <v>--</v>
      </c>
      <c r="O52" s="102" t="str">
        <f>IFERROR(_xll.qlRateHelperQuoteValue($M52,Trigger),"--")</f>
        <v>--</v>
      </c>
      <c r="P52" s="139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1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121</v>
      </c>
      <c r="B53" s="63" t="s">
        <v>49</v>
      </c>
      <c r="C53" s="64" t="s">
        <v>6</v>
      </c>
      <c r="D53" s="64" t="s">
        <v>161</v>
      </c>
      <c r="E53" s="64" t="s">
        <v>7</v>
      </c>
      <c r="F53" s="64" t="s">
        <v>159</v>
      </c>
      <c r="G53" s="64" t="str">
        <f t="shared" si="16"/>
        <v>AudBBSW1M</v>
      </c>
      <c r="H53" s="62" t="str">
        <f t="shared" si="17"/>
        <v>AUDQM3AB15M_S1BR3BR_Quote</v>
      </c>
      <c r="I53" s="155" t="str">
        <f t="shared" si="18"/>
        <v>AUD1BR3BR15M_Quote</v>
      </c>
      <c r="J53" s="67"/>
      <c r="L53" s="10" t="str">
        <f t="shared" si="14"/>
        <v>BasSw</v>
      </c>
      <c r="M53" s="98" t="str">
        <f t="shared" si="15"/>
        <v>--</v>
      </c>
      <c r="N53" s="144" t="str">
        <f>IFERROR(_xll.qlRateHelperQuoteName(M53,Trigger),"--")</f>
        <v>--</v>
      </c>
      <c r="O53" s="102" t="str">
        <f>IFERROR(_xll.qlRateHelperQuoteValue($M53,Trigger),"--")</f>
        <v>--</v>
      </c>
      <c r="P53" s="139" t="b">
        <v>0</v>
      </c>
      <c r="Q53" s="98">
        <v>50</v>
      </c>
      <c r="R53" s="98">
        <v>1</v>
      </c>
      <c r="S53" s="103" t="str">
        <f>IFERROR(_xll.qlRateHelperEarliestDate(M53,Trigger),"--")</f>
        <v>--</v>
      </c>
      <c r="T53" s="103" t="str">
        <f>IFERROR(_xll.qlRateHelperPillarDate(M53,Trigger),"--")</f>
        <v>--</v>
      </c>
      <c r="V53" s="4" t="str">
        <f t="shared" si="1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121</v>
      </c>
      <c r="B54" s="63" t="s">
        <v>50</v>
      </c>
      <c r="C54" s="64" t="s">
        <v>6</v>
      </c>
      <c r="D54" s="64" t="s">
        <v>161</v>
      </c>
      <c r="E54" s="64" t="s">
        <v>7</v>
      </c>
      <c r="F54" s="64" t="s">
        <v>159</v>
      </c>
      <c r="G54" s="64" t="str">
        <f t="shared" si="16"/>
        <v>AudBBSW1M</v>
      </c>
      <c r="H54" s="62" t="str">
        <f t="shared" si="17"/>
        <v>AUDQM3AB18M_S1BR3BR_Quote</v>
      </c>
      <c r="I54" s="155" t="str">
        <f t="shared" si="18"/>
        <v>AUD1BR3BR18M_Quote</v>
      </c>
      <c r="J54" s="67"/>
      <c r="L54" s="10" t="str">
        <f t="shared" si="14"/>
        <v>BasSw</v>
      </c>
      <c r="M54" s="98" t="str">
        <f t="shared" si="15"/>
        <v>obj_0023c#0001</v>
      </c>
      <c r="N54" s="144" t="str">
        <f>IFERROR(_xll.qlRateHelperQuoteName(M54,Trigger),"--")</f>
        <v>AUDQM3AB4Y_S1BR3BR_Quote</v>
      </c>
      <c r="O54" s="102">
        <f>IFERROR(_xll.qlRateHelperQuoteValue($M54,Trigger),"--")</f>
        <v>2.3621646076086748E-2</v>
      </c>
      <c r="P54" s="139" t="b">
        <v>1</v>
      </c>
      <c r="Q54" s="98">
        <v>50</v>
      </c>
      <c r="R54" s="98">
        <v>1</v>
      </c>
      <c r="S54" s="103">
        <f>IFERROR(_xll.qlRateHelperEarliestDate(M54,Trigger),"--")</f>
        <v>42356</v>
      </c>
      <c r="T54" s="103">
        <f>IFERROR(_xll.qlRateHelperPillarDate(M54,Trigger),"--")</f>
        <v>43817</v>
      </c>
      <c r="V54" s="4" t="str">
        <f t="shared" si="1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121</v>
      </c>
      <c r="B55" s="63" t="s">
        <v>51</v>
      </c>
      <c r="C55" s="64" t="s">
        <v>6</v>
      </c>
      <c r="D55" s="64" t="s">
        <v>161</v>
      </c>
      <c r="E55" s="64" t="s">
        <v>7</v>
      </c>
      <c r="F55" s="64" t="s">
        <v>159</v>
      </c>
      <c r="G55" s="64" t="str">
        <f t="shared" si="16"/>
        <v>AudBBSW1M</v>
      </c>
      <c r="H55" s="62" t="str">
        <f t="shared" si="17"/>
        <v>AUDQM3AB21M_S1BR3BR_Quote</v>
      </c>
      <c r="I55" s="155" t="str">
        <f t="shared" si="18"/>
        <v>AUD1BR3BR21M_Quote</v>
      </c>
      <c r="J55" s="67"/>
      <c r="L55" s="10" t="str">
        <f t="shared" si="14"/>
        <v>BasSw</v>
      </c>
      <c r="M55" s="98" t="str">
        <f t="shared" si="15"/>
        <v>obj_00240#0001</v>
      </c>
      <c r="N55" s="144" t="str">
        <f>IFERROR(_xll.qlRateHelperQuoteName(M55,Trigger),"--")</f>
        <v>AUDQM3AB5Y_S1BR3BR_Quote</v>
      </c>
      <c r="O55" s="102">
        <f>IFERROR(_xll.qlRateHelperQuoteValue($M55,Trigger),"--")</f>
        <v>2.4814513623149438E-2</v>
      </c>
      <c r="P55" s="139" t="b">
        <v>1</v>
      </c>
      <c r="Q55" s="98">
        <v>50</v>
      </c>
      <c r="R55" s="98">
        <v>1</v>
      </c>
      <c r="S55" s="103">
        <f>IFERROR(_xll.qlRateHelperEarliestDate(M55,Trigger),"--")</f>
        <v>42356</v>
      </c>
      <c r="T55" s="103">
        <f>IFERROR(_xll.qlRateHelperPillarDate(M55,Trigger),"--")</f>
        <v>44183</v>
      </c>
      <c r="V55" s="4" t="str">
        <f t="shared" si="1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121</v>
      </c>
      <c r="B56" s="63" t="s">
        <v>52</v>
      </c>
      <c r="C56" s="64" t="s">
        <v>6</v>
      </c>
      <c r="D56" s="64" t="s">
        <v>161</v>
      </c>
      <c r="E56" s="64" t="s">
        <v>7</v>
      </c>
      <c r="F56" s="64" t="s">
        <v>159</v>
      </c>
      <c r="G56" s="64" t="str">
        <f t="shared" si="16"/>
        <v>AudBBSW1M</v>
      </c>
      <c r="H56" s="62" t="str">
        <f t="shared" si="17"/>
        <v>AUDQM3AB2Y_S1BR3BR_Quote</v>
      </c>
      <c r="I56" s="155" t="str">
        <f t="shared" si="18"/>
        <v>AUD1BR3BR2Y_Quote</v>
      </c>
      <c r="J56" s="67"/>
      <c r="L56" s="10" t="str">
        <f t="shared" si="14"/>
        <v>BasSw</v>
      </c>
      <c r="M56" s="98" t="str">
        <f t="shared" si="15"/>
        <v>--</v>
      </c>
      <c r="N56" s="144" t="str">
        <f>IFERROR(_xll.qlRateHelperQuoteName(M56,Trigger),"--")</f>
        <v>--</v>
      </c>
      <c r="O56" s="102" t="str">
        <f>IFERROR(_xll.qlRateHelperQuoteValue($M56,Trigger),"--")</f>
        <v>--</v>
      </c>
      <c r="P56" s="139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1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121</v>
      </c>
      <c r="B57" s="63" t="s">
        <v>53</v>
      </c>
      <c r="C57" s="64" t="s">
        <v>6</v>
      </c>
      <c r="D57" s="64" t="s">
        <v>161</v>
      </c>
      <c r="E57" s="64" t="s">
        <v>7</v>
      </c>
      <c r="F57" s="64" t="s">
        <v>159</v>
      </c>
      <c r="G57" s="64" t="str">
        <f t="shared" si="16"/>
        <v>AudBBSW1M</v>
      </c>
      <c r="H57" s="62" t="str">
        <f t="shared" si="17"/>
        <v>AUDQM3AB3Y_S1BR3BR_Quote</v>
      </c>
      <c r="I57" s="155" t="str">
        <f t="shared" si="18"/>
        <v>AUD1BR3BR3Y_Quote</v>
      </c>
      <c r="J57" s="67"/>
      <c r="L57" s="10" t="str">
        <f t="shared" si="14"/>
        <v>BasSw</v>
      </c>
      <c r="M57" s="98" t="str">
        <f t="shared" si="15"/>
        <v>obj_00245#0001</v>
      </c>
      <c r="N57" s="144" t="str">
        <f>IFERROR(_xll.qlRateHelperQuoteName(M57,Trigger),"--")</f>
        <v>AUDQM3AB7Y_S1BR3BR_Quote</v>
      </c>
      <c r="O57" s="102">
        <f>IFERROR(_xll.qlRateHelperQuoteValue($M57,Trigger),"--")</f>
        <v>2.7000508935059894E-2</v>
      </c>
      <c r="P57" s="139" t="b">
        <v>1</v>
      </c>
      <c r="Q57" s="98">
        <v>50</v>
      </c>
      <c r="R57" s="98">
        <v>1</v>
      </c>
      <c r="S57" s="103">
        <f>IFERROR(_xll.qlRateHelperEarliestDate(M57,Trigger),"--")</f>
        <v>42356</v>
      </c>
      <c r="T57" s="103">
        <f>IFERROR(_xll.qlRateHelperPillarDate(M57,Trigger),"--")</f>
        <v>44914</v>
      </c>
      <c r="V57" s="4" t="str">
        <f t="shared" si="1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121</v>
      </c>
      <c r="B58" s="63" t="s">
        <v>54</v>
      </c>
      <c r="C58" s="64" t="s">
        <v>6</v>
      </c>
      <c r="D58" s="64" t="s">
        <v>161</v>
      </c>
      <c r="E58" s="64" t="s">
        <v>7</v>
      </c>
      <c r="F58" s="64" t="s">
        <v>159</v>
      </c>
      <c r="G58" s="64" t="str">
        <f t="shared" si="16"/>
        <v>AudBBSW1M</v>
      </c>
      <c r="H58" s="62" t="str">
        <f t="shared" si="17"/>
        <v>AUDQM3AB4Y_S1BR3BR_Quote</v>
      </c>
      <c r="I58" s="155" t="str">
        <f t="shared" si="18"/>
        <v>AUD1BR3BR4Y_Quote</v>
      </c>
      <c r="J58" s="67" t="str">
        <f>_xll.qlSwapRateHelper2(,H58,1,B58,Calendar,D58,E58,F58,G58,I58,C58,Discounting,PillarDate,,Permanent,Trigger,ObjectOverwrite)</f>
        <v>obj_0023c#0001</v>
      </c>
      <c r="L58" s="10" t="str">
        <f t="shared" si="14"/>
        <v>BasSw</v>
      </c>
      <c r="M58" s="98" t="str">
        <f t="shared" si="15"/>
        <v>--</v>
      </c>
      <c r="N58" s="144" t="str">
        <f>IFERROR(_xll.qlRateHelperQuoteName(M58,Trigger),"--")</f>
        <v>--</v>
      </c>
      <c r="O58" s="102" t="str">
        <f>IFERROR(_xll.qlRateHelperQuoteValue($M58,Trigger),"--")</f>
        <v>--</v>
      </c>
      <c r="P58" s="139" t="b">
        <v>0</v>
      </c>
      <c r="Q58" s="98">
        <v>50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1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121</v>
      </c>
      <c r="B59" s="63" t="s">
        <v>55</v>
      </c>
      <c r="C59" s="64" t="s">
        <v>6</v>
      </c>
      <c r="D59" s="64" t="s">
        <v>161</v>
      </c>
      <c r="E59" s="64" t="s">
        <v>7</v>
      </c>
      <c r="F59" s="64" t="s">
        <v>159</v>
      </c>
      <c r="G59" s="64" t="str">
        <f t="shared" si="16"/>
        <v>AudBBSW1M</v>
      </c>
      <c r="H59" s="62" t="str">
        <f t="shared" si="17"/>
        <v>AUDQM3AB5Y_S1BR3BR_Quote</v>
      </c>
      <c r="I59" s="155" t="str">
        <f t="shared" si="18"/>
        <v>AUD1BR3BR5Y_Quote</v>
      </c>
      <c r="J59" s="67" t="str">
        <f>_xll.qlSwapRateHelper2(,H59,1,B59,Calendar,D59,E59,F59,G59,I59,C59,Discounting,PillarDate,,Permanent,Trigger,ObjectOverwrite)</f>
        <v>obj_00240#0001</v>
      </c>
      <c r="L59" s="10" t="str">
        <f t="shared" si="14"/>
        <v>BasSw</v>
      </c>
      <c r="M59" s="98" t="str">
        <f t="shared" si="15"/>
        <v>--</v>
      </c>
      <c r="N59" s="144" t="str">
        <f>IFERROR(_xll.qlRateHelperQuoteName(M59,Trigger),"--")</f>
        <v>--</v>
      </c>
      <c r="O59" s="102" t="str">
        <f>IFERROR(_xll.qlRateHelperQuoteValue($M59,Trigger),"--")</f>
        <v>--</v>
      </c>
      <c r="P59" s="139" t="b">
        <v>0</v>
      </c>
      <c r="Q59" s="98">
        <v>50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1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121</v>
      </c>
      <c r="B60" s="63" t="s">
        <v>56</v>
      </c>
      <c r="C60" s="64" t="s">
        <v>6</v>
      </c>
      <c r="D60" s="64" t="s">
        <v>161</v>
      </c>
      <c r="E60" s="64" t="s">
        <v>7</v>
      </c>
      <c r="F60" s="64" t="s">
        <v>159</v>
      </c>
      <c r="G60" s="64" t="str">
        <f t="shared" si="16"/>
        <v>AudBBSW1M</v>
      </c>
      <c r="H60" s="62" t="str">
        <f t="shared" si="17"/>
        <v>AUDQM3AB6Y_S1BR3BR_Quote</v>
      </c>
      <c r="I60" s="155" t="str">
        <f t="shared" si="18"/>
        <v>AUD1BR3BR6Y_Quote</v>
      </c>
      <c r="J60" s="67"/>
      <c r="L60" s="10" t="str">
        <f t="shared" si="14"/>
        <v>BasSw</v>
      </c>
      <c r="M60" s="98" t="str">
        <f t="shared" si="15"/>
        <v>obj_00243#0001</v>
      </c>
      <c r="N60" s="144" t="str">
        <f>IFERROR(_xll.qlRateHelperQuoteName(M60,Trigger),"--")</f>
        <v>AUDQM3AB10Y_S1BR3BR_Quote</v>
      </c>
      <c r="O60" s="102">
        <f>IFERROR(_xll.qlRateHelperQuoteValue($M60,Trigger),"--")</f>
        <v>2.943417682857551E-2</v>
      </c>
      <c r="P60" s="139" t="b">
        <v>1</v>
      </c>
      <c r="Q60" s="98">
        <v>50</v>
      </c>
      <c r="R60" s="98">
        <v>1</v>
      </c>
      <c r="S60" s="103">
        <f>IFERROR(_xll.qlRateHelperEarliestDate(M60,Trigger),"--")</f>
        <v>42356</v>
      </c>
      <c r="T60" s="103">
        <f>IFERROR(_xll.qlRateHelperPillarDate(M60,Trigger),"--")</f>
        <v>46009</v>
      </c>
      <c r="V60" s="4" t="str">
        <f t="shared" si="1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121</v>
      </c>
      <c r="B61" s="63" t="s">
        <v>57</v>
      </c>
      <c r="C61" s="64" t="s">
        <v>6</v>
      </c>
      <c r="D61" s="64" t="s">
        <v>161</v>
      </c>
      <c r="E61" s="64" t="s">
        <v>7</v>
      </c>
      <c r="F61" s="64" t="s">
        <v>159</v>
      </c>
      <c r="G61" s="64" t="str">
        <f t="shared" si="16"/>
        <v>AudBBSW1M</v>
      </c>
      <c r="H61" s="62" t="str">
        <f t="shared" si="17"/>
        <v>AUDQM3AB7Y_S1BR3BR_Quote</v>
      </c>
      <c r="I61" s="155" t="str">
        <f t="shared" si="18"/>
        <v>AUD1BR3BR7Y_Quote</v>
      </c>
      <c r="J61" s="67" t="str">
        <f>_xll.qlSwapRateHelper2(,H61,1,B61,Calendar,D61,E61,F61,G61,I61,C61,Discounting,PillarDate,,Permanent,Trigger,ObjectOverwrite)</f>
        <v>obj_00245#0001</v>
      </c>
      <c r="L61" s="10" t="str">
        <f t="shared" si="14"/>
        <v>BasSw</v>
      </c>
      <c r="M61" s="98" t="str">
        <f t="shared" si="15"/>
        <v>--</v>
      </c>
      <c r="N61" s="144" t="str">
        <f>IFERROR(_xll.qlRateHelperQuoteName(M61,Trigger),"--")</f>
        <v>--</v>
      </c>
      <c r="O61" s="102" t="str">
        <f>IFERROR(_xll.qlRateHelperQuoteValue($M61,Trigger),"--")</f>
        <v>--</v>
      </c>
      <c r="P61" s="139" t="b">
        <v>0</v>
      </c>
      <c r="Q61" s="98">
        <v>50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1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121</v>
      </c>
      <c r="B62" s="63" t="s">
        <v>58</v>
      </c>
      <c r="C62" s="64" t="s">
        <v>6</v>
      </c>
      <c r="D62" s="64" t="s">
        <v>161</v>
      </c>
      <c r="E62" s="64" t="s">
        <v>7</v>
      </c>
      <c r="F62" s="64" t="s">
        <v>159</v>
      </c>
      <c r="G62" s="64" t="str">
        <f t="shared" si="16"/>
        <v>AudBBSW1M</v>
      </c>
      <c r="H62" s="62" t="str">
        <f t="shared" si="17"/>
        <v>AUDQM3AB8Y_S1BR3BR_Quote</v>
      </c>
      <c r="I62" s="155" t="str">
        <f t="shared" si="18"/>
        <v>AUD1BR3BR8Y_Quote</v>
      </c>
      <c r="J62" s="67"/>
      <c r="L62" s="10" t="str">
        <f t="shared" si="14"/>
        <v>BasSw</v>
      </c>
      <c r="M62" s="98" t="str">
        <f t="shared" si="15"/>
        <v>obj_00231#0001</v>
      </c>
      <c r="N62" s="144" t="str">
        <f>IFERROR(_xll.qlRateHelperQuoteName(M62,Trigger),"--")</f>
        <v>AUDQM3AB12Y_S1BR3BR_Quote</v>
      </c>
      <c r="O62" s="102">
        <f>IFERROR(_xll.qlRateHelperQuoteValue($M62,Trigger),"--")</f>
        <v>3.0787282278237002E-2</v>
      </c>
      <c r="P62" s="139" t="b">
        <v>1</v>
      </c>
      <c r="Q62" s="98">
        <v>50</v>
      </c>
      <c r="R62" s="98">
        <v>1</v>
      </c>
      <c r="S62" s="103">
        <f>IFERROR(_xll.qlRateHelperEarliestDate(M62,Trigger),"--")</f>
        <v>42356</v>
      </c>
      <c r="T62" s="103">
        <f>IFERROR(_xll.qlRateHelperPillarDate(M62,Trigger),"--")</f>
        <v>46741</v>
      </c>
      <c r="V62" s="4" t="str">
        <f t="shared" si="1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121</v>
      </c>
      <c r="B63" s="63" t="s">
        <v>59</v>
      </c>
      <c r="C63" s="64" t="s">
        <v>6</v>
      </c>
      <c r="D63" s="64" t="s">
        <v>161</v>
      </c>
      <c r="E63" s="64" t="s">
        <v>7</v>
      </c>
      <c r="F63" s="64" t="s">
        <v>159</v>
      </c>
      <c r="G63" s="64" t="str">
        <f t="shared" si="16"/>
        <v>AudBBSW1M</v>
      </c>
      <c r="H63" s="62" t="str">
        <f t="shared" si="17"/>
        <v>AUDQM3AB9Y_S1BR3BR_Quote</v>
      </c>
      <c r="I63" s="155" t="str">
        <f t="shared" si="18"/>
        <v>AUD1BR3BR9Y_Quote</v>
      </c>
      <c r="J63" s="67"/>
      <c r="L63" s="10" t="str">
        <f t="shared" si="14"/>
        <v>BasSw</v>
      </c>
      <c r="M63" s="98" t="str">
        <f t="shared" si="15"/>
        <v>--</v>
      </c>
      <c r="N63" s="144" t="str">
        <f>IFERROR(_xll.qlRateHelperQuoteName(M63,Trigger),"--")</f>
        <v>--</v>
      </c>
      <c r="O63" s="102" t="str">
        <f>IFERROR(_xll.qlRateHelperQuoteValue($M63,Trigger),"--")</f>
        <v>--</v>
      </c>
      <c r="P63" s="139" t="b">
        <v>0</v>
      </c>
      <c r="Q63" s="98">
        <v>50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1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121</v>
      </c>
      <c r="B64" s="63" t="s">
        <v>60</v>
      </c>
      <c r="C64" s="64" t="s">
        <v>6</v>
      </c>
      <c r="D64" s="64" t="s">
        <v>161</v>
      </c>
      <c r="E64" s="64" t="s">
        <v>7</v>
      </c>
      <c r="F64" s="64" t="s">
        <v>159</v>
      </c>
      <c r="G64" s="64" t="str">
        <f t="shared" si="16"/>
        <v>AudBBSW1M</v>
      </c>
      <c r="H64" s="62" t="str">
        <f t="shared" si="17"/>
        <v>AUDQM3AB10Y_S1BR3BR_Quote</v>
      </c>
      <c r="I64" s="155" t="str">
        <f t="shared" si="18"/>
        <v>AUD1BR3BR10Y_Quote</v>
      </c>
      <c r="J64" s="67" t="str">
        <f>_xll.qlSwapRateHelper2(,H64,1,B64,Calendar,D64,E64,F64,G64,I64,C64,Discounting,PillarDate,,Permanent,Trigger,ObjectOverwrite)</f>
        <v>obj_00243#0001</v>
      </c>
      <c r="L64" s="10" t="str">
        <f t="shared" si="14"/>
        <v>BasSw</v>
      </c>
      <c r="M64" s="98" t="str">
        <f t="shared" si="15"/>
        <v>--</v>
      </c>
      <c r="N64" s="144" t="str">
        <f>IFERROR(_xll.qlRateHelperQuoteName(M64,Trigger),"--")</f>
        <v>--</v>
      </c>
      <c r="O64" s="102" t="str">
        <f>IFERROR(_xll.qlRateHelperQuoteValue($M64,Trigger),"--")</f>
        <v>--</v>
      </c>
      <c r="P64" s="139" t="b">
        <v>0</v>
      </c>
      <c r="Q64" s="98">
        <v>50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1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121</v>
      </c>
      <c r="B65" s="63" t="s">
        <v>101</v>
      </c>
      <c r="C65" s="64" t="s">
        <v>6</v>
      </c>
      <c r="D65" s="64" t="s">
        <v>161</v>
      </c>
      <c r="E65" s="64" t="s">
        <v>7</v>
      </c>
      <c r="F65" s="64" t="s">
        <v>159</v>
      </c>
      <c r="G65" s="64" t="str">
        <f t="shared" si="16"/>
        <v>AudBBSW1M</v>
      </c>
      <c r="H65" s="62" t="str">
        <f t="shared" si="17"/>
        <v>AUDQM3AB11Y_S1BR3BR_Quote</v>
      </c>
      <c r="I65" s="155" t="str">
        <f t="shared" si="18"/>
        <v>AUD1BR3BR11Y_Quote</v>
      </c>
      <c r="J65" s="67"/>
      <c r="L65" s="10" t="str">
        <f t="shared" si="14"/>
        <v>BasSw</v>
      </c>
      <c r="M65" s="98" t="str">
        <f t="shared" si="15"/>
        <v>obj_00242#0001</v>
      </c>
      <c r="N65" s="144" t="str">
        <f>IFERROR(_xll.qlRateHelperQuoteName(M65,Trigger),"--")</f>
        <v>AUDQM3AB15Y_S1BR3BR_Quote</v>
      </c>
      <c r="O65" s="102">
        <f>IFERROR(_xll.qlRateHelperQuoteValue($M65,Trigger),"--")</f>
        <v>3.2226714407993386E-2</v>
      </c>
      <c r="P65" s="139" t="b">
        <v>1</v>
      </c>
      <c r="Q65" s="98">
        <v>50</v>
      </c>
      <c r="R65" s="98">
        <v>1</v>
      </c>
      <c r="S65" s="103">
        <f>IFERROR(_xll.qlRateHelperEarliestDate(M65,Trigger),"--")</f>
        <v>42356</v>
      </c>
      <c r="T65" s="103">
        <f>IFERROR(_xll.qlRateHelperPillarDate(M65,Trigger),"--")</f>
        <v>47835</v>
      </c>
      <c r="V65" s="4" t="str">
        <f t="shared" si="1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121</v>
      </c>
      <c r="B66" s="63" t="s">
        <v>61</v>
      </c>
      <c r="C66" s="64" t="s">
        <v>6</v>
      </c>
      <c r="D66" s="64" t="s">
        <v>161</v>
      </c>
      <c r="E66" s="64" t="s">
        <v>7</v>
      </c>
      <c r="F66" s="64" t="s">
        <v>159</v>
      </c>
      <c r="G66" s="64" t="str">
        <f t="shared" si="16"/>
        <v>AudBBSW1M</v>
      </c>
      <c r="H66" s="62" t="str">
        <f t="shared" si="17"/>
        <v>AUDQM3AB12Y_S1BR3BR_Quote</v>
      </c>
      <c r="I66" s="155" t="str">
        <f t="shared" si="18"/>
        <v>AUD1BR3BR12Y_Quote</v>
      </c>
      <c r="J66" s="67" t="str">
        <f>_xll.qlSwapRateHelper2(,H66,1,B66,Calendar,D66,E66,F66,G66,I66,C66,Discounting,PillarDate,,Permanent,Trigger,ObjectOverwrite)</f>
        <v>obj_00231#0001</v>
      </c>
      <c r="L66" s="10" t="str">
        <f t="shared" si="14"/>
        <v>BasSw</v>
      </c>
      <c r="M66" s="98" t="str">
        <f t="shared" si="15"/>
        <v>--</v>
      </c>
      <c r="N66" s="144" t="str">
        <f>IFERROR(_xll.qlRateHelperQuoteName(M66,Trigger),"--")</f>
        <v>--</v>
      </c>
      <c r="O66" s="102" t="str">
        <f>IFERROR(_xll.qlRateHelperQuoteValue($M66,Trigger),"--")</f>
        <v>--</v>
      </c>
      <c r="P66" s="139" t="b">
        <v>0</v>
      </c>
      <c r="Q66" s="98">
        <v>50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1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121</v>
      </c>
      <c r="B67" s="63" t="s">
        <v>102</v>
      </c>
      <c r="C67" s="64" t="s">
        <v>6</v>
      </c>
      <c r="D67" s="64" t="s">
        <v>161</v>
      </c>
      <c r="E67" s="64" t="s">
        <v>7</v>
      </c>
      <c r="F67" s="64" t="s">
        <v>159</v>
      </c>
      <c r="G67" s="64" t="str">
        <f t="shared" si="16"/>
        <v>AudBBSW1M</v>
      </c>
      <c r="H67" s="62" t="str">
        <f t="shared" si="17"/>
        <v>AUDQM3AB13Y_S1BR3BR_Quote</v>
      </c>
      <c r="I67" s="155" t="str">
        <f t="shared" si="18"/>
        <v>AUD1BR3BR13Y_Quote</v>
      </c>
      <c r="J67" s="67"/>
      <c r="L67" s="10" t="str">
        <f t="shared" si="14"/>
        <v>BasSw</v>
      </c>
      <c r="M67" s="98" t="str">
        <f t="shared" si="15"/>
        <v>--</v>
      </c>
      <c r="N67" s="144" t="str">
        <f>IFERROR(_xll.qlRateHelperQuoteName(M67,Trigger),"--")</f>
        <v>--</v>
      </c>
      <c r="O67" s="102" t="str">
        <f>IFERROR(_xll.qlRateHelperQuoteValue($M67,Trigger),"--")</f>
        <v>--</v>
      </c>
      <c r="P67" s="139" t="b">
        <v>0</v>
      </c>
      <c r="Q67" s="98">
        <v>50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ref="V67:V84" si="19">IFERROR(INDEX($L$3:$L$84,MATCH(X67,$N$3:$N$84,0),1),"")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121</v>
      </c>
      <c r="B68" s="63" t="s">
        <v>103</v>
      </c>
      <c r="C68" s="64" t="s">
        <v>6</v>
      </c>
      <c r="D68" s="64" t="s">
        <v>161</v>
      </c>
      <c r="E68" s="64" t="s">
        <v>7</v>
      </c>
      <c r="F68" s="64" t="s">
        <v>159</v>
      </c>
      <c r="G68" s="64" t="str">
        <f t="shared" si="16"/>
        <v>AudBBSW1M</v>
      </c>
      <c r="H68" s="62" t="str">
        <f t="shared" si="17"/>
        <v>AUDQM3AB14Y_S1BR3BR_Quote</v>
      </c>
      <c r="I68" s="155" t="str">
        <f t="shared" si="18"/>
        <v>AUD1BR3BR14Y_Quote</v>
      </c>
      <c r="J68" s="67"/>
      <c r="L68" s="10" t="str">
        <f t="shared" si="14"/>
        <v>BasSw</v>
      </c>
      <c r="M68" s="98" t="str">
        <f t="shared" si="15"/>
        <v>--</v>
      </c>
      <c r="N68" s="144" t="str">
        <f>IFERROR(_xll.qlRateHelperQuoteName(M68,Trigger),"--")</f>
        <v>--</v>
      </c>
      <c r="O68" s="102" t="str">
        <f>IFERROR(_xll.qlRateHelperQuoteValue($M68,Trigger),"--")</f>
        <v>--</v>
      </c>
      <c r="P68" s="139" t="b">
        <v>0</v>
      </c>
      <c r="Q68" s="98">
        <v>50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si="19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121</v>
      </c>
      <c r="B69" s="63" t="s">
        <v>62</v>
      </c>
      <c r="C69" s="64" t="s">
        <v>6</v>
      </c>
      <c r="D69" s="64" t="s">
        <v>161</v>
      </c>
      <c r="E69" s="64" t="s">
        <v>7</v>
      </c>
      <c r="F69" s="64" t="s">
        <v>159</v>
      </c>
      <c r="G69" s="64" t="str">
        <f t="shared" si="16"/>
        <v>AudBBSW1M</v>
      </c>
      <c r="H69" s="62" t="str">
        <f t="shared" si="17"/>
        <v>AUDQM3AB15Y_S1BR3BR_Quote</v>
      </c>
      <c r="I69" s="155" t="str">
        <f t="shared" si="18"/>
        <v>AUD1BR3BR15Y_Quote</v>
      </c>
      <c r="J69" s="67" t="str">
        <f>_xll.qlSwapRateHelper2(,H69,1,B69,Calendar,D69,E69,F69,G69,I69,C69,Discounting,PillarDate,,Permanent,Trigger,ObjectOverwrite)</f>
        <v>obj_00242#0001</v>
      </c>
      <c r="L69" s="10" t="str">
        <f t="shared" si="14"/>
        <v>BasSw</v>
      </c>
      <c r="M69" s="98" t="str">
        <f t="shared" si="15"/>
        <v>--</v>
      </c>
      <c r="N69" s="144" t="str">
        <f>IFERROR(_xll.qlRateHelperQuoteName(M69,Trigger),"--")</f>
        <v>--</v>
      </c>
      <c r="O69" s="102" t="str">
        <f>IFERROR(_xll.qlRateHelperQuoteValue($M69,Trigger),"--")</f>
        <v>--</v>
      </c>
      <c r="P69" s="139" t="b">
        <v>0</v>
      </c>
      <c r="Q69" s="98">
        <v>50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121</v>
      </c>
      <c r="B70" s="63" t="s">
        <v>104</v>
      </c>
      <c r="C70" s="64" t="s">
        <v>6</v>
      </c>
      <c r="D70" s="64" t="s">
        <v>161</v>
      </c>
      <c r="E70" s="64" t="s">
        <v>7</v>
      </c>
      <c r="F70" s="64" t="s">
        <v>159</v>
      </c>
      <c r="G70" s="64" t="str">
        <f t="shared" si="16"/>
        <v>AudBBSW1M</v>
      </c>
      <c r="H70" s="62" t="str">
        <f t="shared" si="17"/>
        <v>AUDQM3AB16Y_S1BR3BR_Quote</v>
      </c>
      <c r="I70" s="155" t="str">
        <f t="shared" si="18"/>
        <v>AUD1BR3BR16Y_Quote</v>
      </c>
      <c r="J70" s="67"/>
      <c r="L70" s="10" t="str">
        <f t="shared" si="14"/>
        <v>BasSw</v>
      </c>
      <c r="M70" s="98" t="str">
        <f t="shared" si="15"/>
        <v>obj_0023f#0001</v>
      </c>
      <c r="N70" s="144" t="str">
        <f>IFERROR(_xll.qlRateHelperQuoteName(M70,Trigger),"--")</f>
        <v>AUDQM3AB20Y_S1BR3BR_Quote</v>
      </c>
      <c r="O70" s="102">
        <f>IFERROR(_xll.qlRateHelperQuoteValue($M70,Trigger),"--")</f>
        <v>3.3814658995844786E-2</v>
      </c>
      <c r="P70" s="139" t="b">
        <v>1</v>
      </c>
      <c r="Q70" s="98">
        <v>50</v>
      </c>
      <c r="R70" s="98">
        <v>1</v>
      </c>
      <c r="S70" s="103">
        <f>IFERROR(_xll.qlRateHelperEarliestDate(M70,Trigger),"--")</f>
        <v>42356</v>
      </c>
      <c r="T70" s="103">
        <f>IFERROR(_xll.qlRateHelperPillarDate(M70,Trigger),"--")</f>
        <v>49661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121</v>
      </c>
      <c r="B71" s="63" t="s">
        <v>105</v>
      </c>
      <c r="C71" s="64" t="s">
        <v>6</v>
      </c>
      <c r="D71" s="64" t="s">
        <v>161</v>
      </c>
      <c r="E71" s="64" t="s">
        <v>7</v>
      </c>
      <c r="F71" s="64" t="s">
        <v>159</v>
      </c>
      <c r="G71" s="64" t="str">
        <f t="shared" si="16"/>
        <v>AudBBSW1M</v>
      </c>
      <c r="H71" s="62" t="str">
        <f t="shared" si="17"/>
        <v>AUDQM3AB17Y_S1BR3BR_Quote</v>
      </c>
      <c r="I71" s="155" t="str">
        <f t="shared" si="18"/>
        <v>AUD1BR3BR17Y_Quote</v>
      </c>
      <c r="J71" s="67"/>
      <c r="L71" s="10" t="str">
        <f t="shared" si="14"/>
        <v>BasSw</v>
      </c>
      <c r="M71" s="98" t="str">
        <f t="shared" si="15"/>
        <v>--</v>
      </c>
      <c r="N71" s="144" t="str">
        <f>IFERROR(_xll.qlRateHelperQuoteName(M71,Trigger),"--")</f>
        <v>--</v>
      </c>
      <c r="O71" s="102" t="str">
        <f>IFERROR(_xll.qlRateHelperQuoteValue($M71,Trigger),"--")</f>
        <v>--</v>
      </c>
      <c r="P71" s="139" t="b">
        <v>0</v>
      </c>
      <c r="Q71" s="98">
        <v>50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121</v>
      </c>
      <c r="B72" s="63" t="s">
        <v>106</v>
      </c>
      <c r="C72" s="64" t="s">
        <v>6</v>
      </c>
      <c r="D72" s="64" t="s">
        <v>161</v>
      </c>
      <c r="E72" s="64" t="s">
        <v>7</v>
      </c>
      <c r="F72" s="64" t="s">
        <v>159</v>
      </c>
      <c r="G72" s="64" t="str">
        <f t="shared" si="16"/>
        <v>AudBBSW1M</v>
      </c>
      <c r="H72" s="62" t="str">
        <f t="shared" si="17"/>
        <v>AUDQM3AB18Y_S1BR3BR_Quote</v>
      </c>
      <c r="I72" s="155" t="str">
        <f t="shared" si="18"/>
        <v>AUD1BR3BR18Y_Quote</v>
      </c>
      <c r="J72" s="67"/>
      <c r="L72" s="10" t="str">
        <f t="shared" si="14"/>
        <v>BasSw</v>
      </c>
      <c r="M72" s="98" t="str">
        <f t="shared" si="15"/>
        <v>--</v>
      </c>
      <c r="N72" s="144" t="str">
        <f>IFERROR(_xll.qlRateHelperQuoteName(M72,Trigger),"--")</f>
        <v>--</v>
      </c>
      <c r="O72" s="102" t="str">
        <f>IFERROR(_xll.qlRateHelperQuoteValue($M72,Trigger),"--")</f>
        <v>--</v>
      </c>
      <c r="P72" s="139" t="b">
        <v>0</v>
      </c>
      <c r="Q72" s="98">
        <v>50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121</v>
      </c>
      <c r="B73" s="63" t="s">
        <v>107</v>
      </c>
      <c r="C73" s="64" t="s">
        <v>6</v>
      </c>
      <c r="D73" s="64" t="s">
        <v>161</v>
      </c>
      <c r="E73" s="64" t="s">
        <v>7</v>
      </c>
      <c r="F73" s="64" t="s">
        <v>159</v>
      </c>
      <c r="G73" s="64" t="str">
        <f t="shared" si="16"/>
        <v>AudBBSW1M</v>
      </c>
      <c r="H73" s="62" t="str">
        <f t="shared" si="17"/>
        <v>AUDQM3AB19Y_S1BR3BR_Quote</v>
      </c>
      <c r="I73" s="155" t="str">
        <f t="shared" si="18"/>
        <v>AUD1BR3BR19Y_Quote</v>
      </c>
      <c r="J73" s="67"/>
      <c r="L73" s="10" t="str">
        <f t="shared" si="14"/>
        <v>BasSw</v>
      </c>
      <c r="M73" s="98" t="str">
        <f t="shared" si="15"/>
        <v>--</v>
      </c>
      <c r="N73" s="144" t="str">
        <f>IFERROR(_xll.qlRateHelperQuoteName(M73,Trigger),"--")</f>
        <v>--</v>
      </c>
      <c r="O73" s="102" t="str">
        <f>IFERROR(_xll.qlRateHelperQuoteValue($M73,Trigger),"--")</f>
        <v>--</v>
      </c>
      <c r="P73" s="139" t="b">
        <v>0</v>
      </c>
      <c r="Q73" s="98">
        <v>50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121</v>
      </c>
      <c r="B74" s="63" t="s">
        <v>63</v>
      </c>
      <c r="C74" s="64" t="s">
        <v>6</v>
      </c>
      <c r="D74" s="64" t="s">
        <v>161</v>
      </c>
      <c r="E74" s="64" t="s">
        <v>7</v>
      </c>
      <c r="F74" s="64" t="s">
        <v>159</v>
      </c>
      <c r="G74" s="64" t="str">
        <f t="shared" si="16"/>
        <v>AudBBSW1M</v>
      </c>
      <c r="H74" s="62" t="str">
        <f t="shared" si="17"/>
        <v>AUDQM3AB20Y_S1BR3BR_Quote</v>
      </c>
      <c r="I74" s="155" t="str">
        <f t="shared" si="18"/>
        <v>AUD1BR3BR20Y_Quote</v>
      </c>
      <c r="J74" s="67" t="str">
        <f>_xll.qlSwapRateHelper2(,H74,1,B74,Calendar,D74,E74,F74,G74,I74,C74,Discounting,PillarDate,,Permanent,Trigger,ObjectOverwrite)</f>
        <v>obj_0023f#0001</v>
      </c>
      <c r="L74" s="10" t="str">
        <f t="shared" si="14"/>
        <v>BasSw</v>
      </c>
      <c r="M74" s="98" t="str">
        <f t="shared" si="15"/>
        <v>--</v>
      </c>
      <c r="N74" s="144" t="str">
        <f>IFERROR(_xll.qlRateHelperQuoteName(M74,Trigger),"--")</f>
        <v>--</v>
      </c>
      <c r="O74" s="102" t="str">
        <f>IFERROR(_xll.qlRateHelperQuoteValue($M74,Trigger),"--")</f>
        <v>--</v>
      </c>
      <c r="P74" s="139" t="b">
        <v>0</v>
      </c>
      <c r="Q74" s="98">
        <v>50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121</v>
      </c>
      <c r="B75" s="63" t="s">
        <v>108</v>
      </c>
      <c r="C75" s="64" t="s">
        <v>6</v>
      </c>
      <c r="D75" s="64" t="s">
        <v>161</v>
      </c>
      <c r="E75" s="64" t="s">
        <v>7</v>
      </c>
      <c r="F75" s="64" t="s">
        <v>159</v>
      </c>
      <c r="G75" s="64" t="str">
        <f t="shared" si="16"/>
        <v>AudBBSW1M</v>
      </c>
      <c r="H75" s="62" t="str">
        <f t="shared" si="17"/>
        <v>AUDQM3AB21Y_S1BR3BR_Quote</v>
      </c>
      <c r="I75" s="155" t="str">
        <f t="shared" si="18"/>
        <v>AUD1BR3BR21Y_Quote</v>
      </c>
      <c r="J75" s="67"/>
      <c r="L75" s="10" t="str">
        <f t="shared" si="14"/>
        <v>BasSw</v>
      </c>
      <c r="M75" s="98" t="str">
        <f t="shared" si="15"/>
        <v>obj_00238#0001</v>
      </c>
      <c r="N75" s="144" t="str">
        <f>IFERROR(_xll.qlRateHelperQuoteName(M75,Trigger),"--")</f>
        <v>AUDQM3AB25Y_S1BR3BR_Quote</v>
      </c>
      <c r="O75" s="102">
        <f>IFERROR(_xll.qlRateHelperQuoteValue($M75,Trigger),"--")</f>
        <v>3.4286089834210609E-2</v>
      </c>
      <c r="P75" s="139" t="b">
        <v>1</v>
      </c>
      <c r="Q75" s="98">
        <v>50</v>
      </c>
      <c r="R75" s="98">
        <v>1</v>
      </c>
      <c r="S75" s="103">
        <f>IFERROR(_xll.qlRateHelperEarliestDate(M75,Trigger),"--")</f>
        <v>42356</v>
      </c>
      <c r="T75" s="103">
        <f>IFERROR(_xll.qlRateHelperPillarDate(M75,Trigger),"--")</f>
        <v>51488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121</v>
      </c>
      <c r="B76" s="63" t="s">
        <v>109</v>
      </c>
      <c r="C76" s="64" t="s">
        <v>6</v>
      </c>
      <c r="D76" s="64" t="s">
        <v>161</v>
      </c>
      <c r="E76" s="64" t="s">
        <v>7</v>
      </c>
      <c r="F76" s="64" t="s">
        <v>159</v>
      </c>
      <c r="G76" s="64" t="str">
        <f t="shared" si="16"/>
        <v>AudBBSW1M</v>
      </c>
      <c r="H76" s="62" t="str">
        <f t="shared" si="17"/>
        <v>AUDQM3AB22Y_S1BR3BR_Quote</v>
      </c>
      <c r="I76" s="155" t="str">
        <f t="shared" si="18"/>
        <v>AUD1BR3BR22Y_Quote</v>
      </c>
      <c r="J76" s="67"/>
      <c r="L76" s="10" t="str">
        <f t="shared" si="14"/>
        <v>BasSw</v>
      </c>
      <c r="M76" s="98" t="str">
        <f t="shared" si="15"/>
        <v>--</v>
      </c>
      <c r="N76" s="144" t="str">
        <f>IFERROR(_xll.qlRateHelperQuoteName(M76,Trigger),"--")</f>
        <v>--</v>
      </c>
      <c r="O76" s="102" t="str">
        <f>IFERROR(_xll.qlRateHelperQuoteValue($M76,Trigger),"--")</f>
        <v>--</v>
      </c>
      <c r="P76" s="139" t="b">
        <v>0</v>
      </c>
      <c r="Q76" s="98">
        <v>50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121</v>
      </c>
      <c r="B77" s="63" t="s">
        <v>110</v>
      </c>
      <c r="C77" s="64" t="s">
        <v>6</v>
      </c>
      <c r="D77" s="64" t="s">
        <v>161</v>
      </c>
      <c r="E77" s="64" t="s">
        <v>7</v>
      </c>
      <c r="F77" s="64" t="s">
        <v>159</v>
      </c>
      <c r="G77" s="64" t="str">
        <f t="shared" si="16"/>
        <v>AudBBSW1M</v>
      </c>
      <c r="H77" s="62" t="str">
        <f t="shared" si="17"/>
        <v>AUDQM3AB23Y_S1BR3BR_Quote</v>
      </c>
      <c r="I77" s="155" t="str">
        <f t="shared" si="18"/>
        <v>AUD1BR3BR23Y_Quote</v>
      </c>
      <c r="J77" s="67"/>
      <c r="L77" s="10" t="str">
        <f t="shared" si="14"/>
        <v>BasSw</v>
      </c>
      <c r="M77" s="98" t="str">
        <f t="shared" si="15"/>
        <v>--</v>
      </c>
      <c r="N77" s="144" t="str">
        <f>IFERROR(_xll.qlRateHelperQuoteName(M77,Trigger),"--")</f>
        <v>--</v>
      </c>
      <c r="O77" s="102" t="str">
        <f>IFERROR(_xll.qlRateHelperQuoteValue($M77,Trigger),"--")</f>
        <v>--</v>
      </c>
      <c r="P77" s="139" t="b">
        <v>0</v>
      </c>
      <c r="Q77" s="98">
        <v>50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121</v>
      </c>
      <c r="B78" s="63" t="s">
        <v>111</v>
      </c>
      <c r="C78" s="64" t="s">
        <v>6</v>
      </c>
      <c r="D78" s="64" t="s">
        <v>161</v>
      </c>
      <c r="E78" s="64" t="s">
        <v>7</v>
      </c>
      <c r="F78" s="64" t="s">
        <v>159</v>
      </c>
      <c r="G78" s="64" t="str">
        <f t="shared" si="16"/>
        <v>AudBBSW1M</v>
      </c>
      <c r="H78" s="62" t="str">
        <f t="shared" si="17"/>
        <v>AUDQM3AB24Y_S1BR3BR_Quote</v>
      </c>
      <c r="I78" s="155" t="str">
        <f t="shared" si="18"/>
        <v>AUD1BR3BR24Y_Quote</v>
      </c>
      <c r="J78" s="67"/>
      <c r="L78" s="10" t="str">
        <f t="shared" si="14"/>
        <v>BasSw</v>
      </c>
      <c r="M78" s="98" t="str">
        <f t="shared" si="15"/>
        <v>--</v>
      </c>
      <c r="N78" s="144" t="str">
        <f>IFERROR(_xll.qlRateHelperQuoteName(M78,Trigger),"--")</f>
        <v>--</v>
      </c>
      <c r="O78" s="102" t="str">
        <f>IFERROR(_xll.qlRateHelperQuoteValue($M78,Trigger),"--")</f>
        <v>--</v>
      </c>
      <c r="P78" s="139" t="b">
        <v>0</v>
      </c>
      <c r="Q78" s="98">
        <v>50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121</v>
      </c>
      <c r="B79" s="63" t="s">
        <v>64</v>
      </c>
      <c r="C79" s="64" t="s">
        <v>6</v>
      </c>
      <c r="D79" s="64" t="s">
        <v>161</v>
      </c>
      <c r="E79" s="64" t="s">
        <v>7</v>
      </c>
      <c r="F79" s="64" t="s">
        <v>159</v>
      </c>
      <c r="G79" s="64" t="str">
        <f t="shared" si="16"/>
        <v>AudBBSW1M</v>
      </c>
      <c r="H79" s="62" t="str">
        <f t="shared" si="17"/>
        <v>AUDQM3AB25Y_S1BR3BR_Quote</v>
      </c>
      <c r="I79" s="155" t="str">
        <f t="shared" si="18"/>
        <v>AUD1BR3BR25Y_Quote</v>
      </c>
      <c r="J79" s="67" t="str">
        <f>_xll.qlSwapRateHelper2(,H79,1,B79,Calendar,D79,E79,F79,G79,I79,C79,Discounting,PillarDate,,Permanent,Trigger,ObjectOverwrite)</f>
        <v>obj_00238#0001</v>
      </c>
      <c r="L79" s="10" t="str">
        <f t="shared" si="14"/>
        <v>BasSw</v>
      </c>
      <c r="M79" s="98" t="str">
        <f t="shared" si="15"/>
        <v>--</v>
      </c>
      <c r="N79" s="144" t="str">
        <f>IFERROR(_xll.qlRateHelperQuoteName(M79,Trigger),"--")</f>
        <v>--</v>
      </c>
      <c r="O79" s="102" t="str">
        <f>IFERROR(_xll.qlRateHelperQuoteValue($M79,Trigger),"--")</f>
        <v>--</v>
      </c>
      <c r="P79" s="139" t="b">
        <v>0</v>
      </c>
      <c r="Q79" s="98">
        <v>50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121</v>
      </c>
      <c r="B80" s="63" t="s">
        <v>112</v>
      </c>
      <c r="C80" s="64" t="s">
        <v>6</v>
      </c>
      <c r="D80" s="64" t="s">
        <v>161</v>
      </c>
      <c r="E80" s="64" t="s">
        <v>7</v>
      </c>
      <c r="F80" s="64" t="s">
        <v>159</v>
      </c>
      <c r="G80" s="64" t="str">
        <f t="shared" si="16"/>
        <v>AudBBSW1M</v>
      </c>
      <c r="H80" s="62" t="str">
        <f t="shared" si="17"/>
        <v>AUDQM3AB26Y_S1BR3BR_Quote</v>
      </c>
      <c r="I80" s="155" t="str">
        <f t="shared" si="18"/>
        <v>AUD1BR3BR26Y_Quote</v>
      </c>
      <c r="J80" s="67"/>
      <c r="L80" s="10" t="str">
        <f t="shared" si="14"/>
        <v>BasSw</v>
      </c>
      <c r="M80" s="98" t="str">
        <f t="shared" si="15"/>
        <v>obj_00249#0001</v>
      </c>
      <c r="N80" s="144" t="str">
        <f>IFERROR(_xll.qlRateHelperQuoteName(M80,Trigger),"--")</f>
        <v>AUDQM3AB30Y_S1BR3BR_Quote</v>
      </c>
      <c r="O80" s="102">
        <f>IFERROR(_xll.qlRateHelperQuoteValue($M80,Trigger),"--")</f>
        <v>3.4174802783516922E-2</v>
      </c>
      <c r="P80" s="139" t="b">
        <v>1</v>
      </c>
      <c r="Q80" s="98">
        <v>50</v>
      </c>
      <c r="R80" s="98">
        <v>1</v>
      </c>
      <c r="S80" s="103">
        <f>IFERROR(_xll.qlRateHelperEarliestDate(M80,Trigger),"--")</f>
        <v>42356</v>
      </c>
      <c r="T80" s="103">
        <f>IFERROR(_xll.qlRateHelperPillarDate(M80,Trigger),"--")</f>
        <v>53314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121</v>
      </c>
      <c r="B81" s="63" t="s">
        <v>65</v>
      </c>
      <c r="C81" s="64" t="s">
        <v>6</v>
      </c>
      <c r="D81" s="64" t="s">
        <v>161</v>
      </c>
      <c r="E81" s="64" t="s">
        <v>7</v>
      </c>
      <c r="F81" s="64" t="s">
        <v>159</v>
      </c>
      <c r="G81" s="64" t="str">
        <f t="shared" si="16"/>
        <v>AudBBSW1M</v>
      </c>
      <c r="H81" s="62" t="str">
        <f t="shared" si="17"/>
        <v>AUDQM3AB27Y_S1BR3BR_Quote</v>
      </c>
      <c r="I81" s="155" t="str">
        <f t="shared" si="18"/>
        <v>AUD1BR3BR27Y_Quote</v>
      </c>
      <c r="J81" s="67"/>
      <c r="L81" s="10" t="str">
        <f t="shared" si="14"/>
        <v>BasSw</v>
      </c>
      <c r="M81" s="98" t="str">
        <f t="shared" si="15"/>
        <v>--</v>
      </c>
      <c r="N81" s="144" t="str">
        <f>IFERROR(_xll.qlRateHelperQuoteName(M81,Trigger),"--")</f>
        <v>--</v>
      </c>
      <c r="O81" s="102" t="str">
        <f>IFERROR(_xll.qlRateHelperQuoteValue($M81,Trigger),"--")</f>
        <v>--</v>
      </c>
      <c r="P81" s="139" t="b">
        <v>0</v>
      </c>
      <c r="Q81" s="98">
        <v>50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121</v>
      </c>
      <c r="B82" s="63" t="s">
        <v>113</v>
      </c>
      <c r="C82" s="64" t="s">
        <v>6</v>
      </c>
      <c r="D82" s="64" t="s">
        <v>161</v>
      </c>
      <c r="E82" s="64" t="s">
        <v>7</v>
      </c>
      <c r="F82" s="64" t="s">
        <v>159</v>
      </c>
      <c r="G82" s="64" t="str">
        <f t="shared" si="16"/>
        <v>AudBBSW1M</v>
      </c>
      <c r="H82" s="62" t="str">
        <f t="shared" si="17"/>
        <v>AUDQM3AB28Y_S1BR3BR_Quote</v>
      </c>
      <c r="I82" s="155" t="str">
        <f t="shared" si="18"/>
        <v>AUD1BR3BR28Y_Quote</v>
      </c>
      <c r="J82" s="67"/>
      <c r="L82" s="10" t="str">
        <f t="shared" si="14"/>
        <v>BasSw</v>
      </c>
      <c r="M82" s="98" t="str">
        <f t="shared" si="15"/>
        <v>--</v>
      </c>
      <c r="N82" s="144" t="str">
        <f>IFERROR(_xll.qlRateHelperQuoteName(M82,Trigger),"--")</f>
        <v>--</v>
      </c>
      <c r="O82" s="102" t="str">
        <f>IFERROR(_xll.qlRateHelperQuoteValue($M82,Trigger),"--")</f>
        <v>--</v>
      </c>
      <c r="P82" s="139" t="b">
        <v>0</v>
      </c>
      <c r="Q82" s="98">
        <v>50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121</v>
      </c>
      <c r="B83" s="63" t="s">
        <v>114</v>
      </c>
      <c r="C83" s="64" t="s">
        <v>6</v>
      </c>
      <c r="D83" s="64" t="s">
        <v>161</v>
      </c>
      <c r="E83" s="64" t="s">
        <v>7</v>
      </c>
      <c r="F83" s="64" t="s">
        <v>159</v>
      </c>
      <c r="G83" s="64" t="str">
        <f t="shared" si="16"/>
        <v>AudBBSW1M</v>
      </c>
      <c r="H83" s="62" t="str">
        <f t="shared" si="17"/>
        <v>AUDQM3AB29Y_S1BR3BR_Quote</v>
      </c>
      <c r="I83" s="155" t="str">
        <f t="shared" si="18"/>
        <v>AUD1BR3BR29Y_Quote</v>
      </c>
      <c r="J83" s="67"/>
      <c r="L83" s="10" t="str">
        <f t="shared" si="14"/>
        <v>BasSw</v>
      </c>
      <c r="M83" s="98" t="str">
        <f t="shared" si="15"/>
        <v>--</v>
      </c>
      <c r="N83" s="144" t="str">
        <f>IFERROR(_xll.qlRateHelperQuoteName(M83,Trigger),"--")</f>
        <v>--</v>
      </c>
      <c r="O83" s="102" t="str">
        <f>IFERROR(_xll.qlRateHelperQuoteValue($M83,Trigger),"--")</f>
        <v>--</v>
      </c>
      <c r="P83" s="139" t="b">
        <v>0</v>
      </c>
      <c r="Q83" s="98">
        <v>50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121</v>
      </c>
      <c r="B84" s="63" t="s">
        <v>66</v>
      </c>
      <c r="C84" s="64" t="s">
        <v>6</v>
      </c>
      <c r="D84" s="64" t="s">
        <v>161</v>
      </c>
      <c r="E84" s="64" t="s">
        <v>7</v>
      </c>
      <c r="F84" s="64" t="s">
        <v>159</v>
      </c>
      <c r="G84" s="64" t="str">
        <f t="shared" si="16"/>
        <v>AudBBSW1M</v>
      </c>
      <c r="H84" s="62" t="str">
        <f t="shared" si="17"/>
        <v>AUDQM3AB30Y_S1BR3BR_Quote</v>
      </c>
      <c r="I84" s="155" t="str">
        <f t="shared" si="18"/>
        <v>AUD1BR3BR30Y_Quote</v>
      </c>
      <c r="J84" s="67" t="str">
        <f>_xll.qlSwapRateHelper2(,H84,1,B84,Calendar,D84,E84,F84,G84,I84,C84,Discounting,PillarDate,,Permanent,Trigger,ObjectOverwrite)</f>
        <v>obj_00249#0001</v>
      </c>
      <c r="L84" s="11" t="str">
        <f t="shared" si="14"/>
        <v>BasSw</v>
      </c>
      <c r="M84" s="99" t="str">
        <f t="shared" si="15"/>
        <v>--</v>
      </c>
      <c r="N84" s="145" t="str">
        <f>IFERROR(_xll.qlRateHelperQuoteName(M84,Trigger),"--")</f>
        <v>--</v>
      </c>
      <c r="O84" s="105" t="str">
        <f>IFERROR(_xll.qlRateHelperQuoteValue($M84,Trigger),"--")</f>
        <v>--</v>
      </c>
      <c r="P84" s="142" t="b">
        <v>0</v>
      </c>
      <c r="Q84" s="99">
        <v>50</v>
      </c>
      <c r="R84" s="99">
        <v>1</v>
      </c>
      <c r="S84" s="106" t="str">
        <f>IFERROR(_xll.qlRateHelperEarliestDate(M84,Trigger),"--")</f>
        <v>--</v>
      </c>
      <c r="T84" s="106" t="str">
        <f>IFERROR(_xll.qlRateHelperPillarDate(M84,Trigger),"--")</f>
        <v>--</v>
      </c>
      <c r="V84" s="6" t="str">
        <f t="shared" si="19"/>
        <v/>
      </c>
      <c r="W84" s="6" t="e">
        <v>#N/A</v>
      </c>
      <c r="X84" s="6" t="str">
        <f>IFERROR(_xll.qlRateHelperQuoteName(W84,Trigger),"")</f>
        <v/>
      </c>
      <c r="Y84" s="83" t="str">
        <f>IFERROR(_xll.qlRateHelperRate(W84,Trigger),"")</f>
        <v/>
      </c>
      <c r="Z84" s="109" t="str">
        <f>IF(ISERROR(_xll.qlSwapRateHelperSpread($W84)),IF(ISERROR(_xll.qlFuturesRateHelperConvexityAdjustment($W84)),"",_xll.qlFuturesRateHelperConvexityAdjustment($W84)),_xll.qlSwapRateHelperSpread($W84))</f>
        <v/>
      </c>
      <c r="AA84" s="12" t="str">
        <f>IFERROR(_xll.qlRateHelperEarliestDate(W84,Trigger),"")</f>
        <v/>
      </c>
      <c r="AB84" s="12" t="str">
        <f>IFERROR(_xll.qlRateHelperPillarDate(W84,Trigger),"")</f>
        <v/>
      </c>
      <c r="AC84" s="82" t="e">
        <v>#N/A</v>
      </c>
    </row>
    <row r="85" spans="1:29" x14ac:dyDescent="0.2">
      <c r="A85" s="62" t="s">
        <v>121</v>
      </c>
      <c r="B85" s="63" t="s">
        <v>67</v>
      </c>
      <c r="C85" s="64" t="s">
        <v>6</v>
      </c>
      <c r="D85" s="64" t="s">
        <v>161</v>
      </c>
      <c r="E85" s="64" t="s">
        <v>7</v>
      </c>
      <c r="F85" s="64" t="s">
        <v>159</v>
      </c>
      <c r="G85" s="64" t="str">
        <f t="shared" si="16"/>
        <v>AudBBSW1M</v>
      </c>
      <c r="H85" s="62" t="str">
        <f t="shared" si="17"/>
        <v>AUDQM3AB35Y_S1BR3BR_Quote</v>
      </c>
      <c r="I85" s="155" t="str">
        <f t="shared" si="18"/>
        <v>AUD1BR3BR35Y_Quote</v>
      </c>
      <c r="J85" s="67"/>
      <c r="L85" s="174"/>
    </row>
    <row r="86" spans="1:29" x14ac:dyDescent="0.2">
      <c r="A86" s="62" t="s">
        <v>121</v>
      </c>
      <c r="B86" s="63" t="s">
        <v>68</v>
      </c>
      <c r="C86" s="64" t="s">
        <v>6</v>
      </c>
      <c r="D86" s="64" t="s">
        <v>161</v>
      </c>
      <c r="E86" s="64" t="s">
        <v>7</v>
      </c>
      <c r="F86" s="64" t="s">
        <v>159</v>
      </c>
      <c r="G86" s="64" t="str">
        <f t="shared" si="16"/>
        <v>AudBBSW1M</v>
      </c>
      <c r="H86" s="62" t="str">
        <f t="shared" si="17"/>
        <v>AUDQM3AB40Y_S1BR3BR_Quote</v>
      </c>
      <c r="I86" s="155" t="str">
        <f t="shared" si="18"/>
        <v>AUD1BR3BR40Y_Quote</v>
      </c>
      <c r="J86" s="67"/>
    </row>
    <row r="87" spans="1:29" x14ac:dyDescent="0.2">
      <c r="A87" s="62" t="s">
        <v>121</v>
      </c>
      <c r="B87" s="63" t="s">
        <v>69</v>
      </c>
      <c r="C87" s="64" t="s">
        <v>6</v>
      </c>
      <c r="D87" s="64" t="s">
        <v>161</v>
      </c>
      <c r="E87" s="64" t="s">
        <v>7</v>
      </c>
      <c r="F87" s="64" t="s">
        <v>159</v>
      </c>
      <c r="G87" s="64" t="str">
        <f t="shared" si="16"/>
        <v>AudBBSW1M</v>
      </c>
      <c r="H87" s="62" t="str">
        <f t="shared" si="17"/>
        <v>AUDQM3AB50Y_S1BR3BR_Quote</v>
      </c>
      <c r="I87" s="155" t="str">
        <f t="shared" si="18"/>
        <v>AUD1BR3BR50Y_Quote</v>
      </c>
      <c r="J87" s="67"/>
    </row>
    <row r="88" spans="1:29" x14ac:dyDescent="0.2">
      <c r="A88" s="1" t="s">
        <v>121</v>
      </c>
      <c r="B88" s="8" t="s">
        <v>115</v>
      </c>
      <c r="C88" s="7" t="s">
        <v>6</v>
      </c>
      <c r="D88" s="7" t="s">
        <v>161</v>
      </c>
      <c r="E88" s="7" t="s">
        <v>7</v>
      </c>
      <c r="F88" s="7" t="s">
        <v>159</v>
      </c>
      <c r="G88" s="7" t="str">
        <f t="shared" si="16"/>
        <v>AudBBSW1M</v>
      </c>
      <c r="H88" s="1" t="str">
        <f t="shared" si="17"/>
        <v>AUDQM3AB60Y_S1BR3BR_Quote</v>
      </c>
      <c r="I88" s="156" t="str">
        <f t="shared" si="18"/>
        <v>AUD1BR3BR60Y_Quote</v>
      </c>
      <c r="J88" s="3"/>
    </row>
    <row r="90" spans="1:29" x14ac:dyDescent="0.2">
      <c r="K90" s="49" t="s">
        <v>35</v>
      </c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10:D46 D49:D88">
      <formula1>"Annual,Semiannual,EveryFourthMonth,Quarterly,Bimonthly,Monthly,Biweekly,Weekly,Daily,Once,NoFrequency"</formula1>
    </dataValidation>
    <dataValidation type="list" allowBlank="1" showInputMessage="1" showErrorMessage="1" sqref="E10:E46 E3:E6 E49:E88">
      <formula1>"Following,Modified Following,Preceding,Modified Preceding,Unadjusted,Half-Month Modified Following"</formula1>
    </dataValidation>
    <dataValidation type="list" allowBlank="1" showInputMessage="1" showErrorMessage="1" sqref="F10:F46 F3:F6 F49:F8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47</vt:i4>
      </vt:variant>
    </vt:vector>
  </HeadingPairs>
  <TitlesOfParts>
    <vt:vector size="52" baseType="lpstr">
      <vt:lpstr>GeneralSettings</vt:lpstr>
      <vt:lpstr>AUDON</vt:lpstr>
      <vt:lpstr>AUD3M</vt:lpstr>
      <vt:lpstr>AUD6M</vt:lpstr>
      <vt:lpstr>AUD1M</vt:lpstr>
      <vt:lpstr>Calendar</vt:lpstr>
      <vt:lpstr>Currency</vt:lpstr>
      <vt:lpstr>Discounting</vt:lpstr>
      <vt:lpstr>Evaluationdate</vt:lpstr>
      <vt:lpstr>FamilyName</vt:lpstr>
      <vt:lpstr>AUD1M!IncludeFlag</vt:lpstr>
      <vt:lpstr>AUD3M!IncludeFlag</vt:lpstr>
      <vt:lpstr>AUD6M!IncludeFlag</vt:lpstr>
      <vt:lpstr>AUDON!IncludeFlag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AUD1M!MinDistance</vt:lpstr>
      <vt:lpstr>AUD3M!MinDistance</vt:lpstr>
      <vt:lpstr>AUD6M!MinDistance</vt:lpstr>
      <vt:lpstr>AUDON!MinDistance</vt:lpstr>
      <vt:lpstr>ObjectOverwrite</vt:lpstr>
      <vt:lpstr>Permanent</vt:lpstr>
      <vt:lpstr>PillarDate</vt:lpstr>
      <vt:lpstr>AUD1M!Priority</vt:lpstr>
      <vt:lpstr>AUD3M!Priority</vt:lpstr>
      <vt:lpstr>AUD6M!Priority</vt:lpstr>
      <vt:lpstr>AUDON!Priority</vt:lpstr>
      <vt:lpstr>QuoteSuffix</vt:lpstr>
      <vt:lpstr>AUD1M!RateHelpers</vt:lpstr>
      <vt:lpstr>AUD3M!RateHelpers</vt:lpstr>
      <vt:lpstr>AUD6M!RateHelpers</vt:lpstr>
      <vt:lpstr>AUDON!RateHelpers</vt:lpstr>
      <vt:lpstr>RateHelpers1M</vt:lpstr>
      <vt:lpstr>RateHelpers3M</vt:lpstr>
      <vt:lpstr>RateHelpers6M</vt:lpstr>
      <vt:lpstr>RateHelpersON</vt:lpstr>
      <vt:lpstr>Settlementdate</vt:lpstr>
      <vt:lpstr>AUD1M!Tenor</vt:lpstr>
      <vt:lpstr>AUD3M!Tenor</vt:lpstr>
      <vt:lpstr>AUD6M!Tenor</vt:lpstr>
      <vt:lpstr>Trigger</vt:lpstr>
      <vt:lpstr>YieldCurve_1M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2015-12-17T09:11:47Z</dcterms:modified>
</cp:coreProperties>
</file>