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6M'!$W$30:$W$35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6M'!$P$5:$R$9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1" i="56"/>
  <c r="O30" i="56"/>
  <c r="S29" i="56"/>
  <c r="O29" i="56"/>
  <c r="O28" i="56"/>
  <c r="O11" i="56"/>
  <c r="Q3" i="56"/>
  <c r="K3" i="56"/>
  <c r="L1" i="56"/>
  <c r="N32" i="56" l="1"/>
  <c r="O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6" i="42"/>
  <c r="D7" i="42"/>
  <c r="D8" i="42"/>
  <c r="D9" i="42"/>
  <c r="D10" i="42"/>
  <c r="D11" i="42"/>
  <c r="D12" i="42"/>
  <c r="D13" i="42"/>
  <c r="D5" i="42"/>
  <c r="D7" i="29"/>
  <c r="K24" i="55"/>
  <c r="K16" i="55"/>
  <c r="K19" i="55"/>
  <c r="K31" i="55"/>
  <c r="K32" i="55"/>
  <c r="L3" i="56"/>
  <c r="J23" i="55"/>
  <c r="J10" i="55"/>
  <c r="K2" i="55"/>
  <c r="J28" i="55"/>
  <c r="J4" i="55"/>
  <c r="J5" i="55"/>
  <c r="J7" i="55"/>
  <c r="J15" i="55"/>
  <c r="J13" i="55"/>
  <c r="J34" i="55"/>
  <c r="J9" i="55"/>
  <c r="J6" i="55"/>
  <c r="J33" i="55"/>
  <c r="J18" i="55"/>
  <c r="J36" i="55"/>
  <c r="J35" i="55"/>
  <c r="M1" i="56"/>
  <c r="J3" i="55"/>
  <c r="T3" i="56"/>
  <c r="J8" i="55"/>
  <c r="J12" i="55"/>
  <c r="J11" i="55"/>
  <c r="J30" i="55"/>
  <c r="M3" i="56"/>
  <c r="S3" i="56"/>
  <c r="O3" i="56"/>
  <c r="K7" i="56" l="1"/>
  <c r="K8" i="56"/>
  <c r="K9" i="56"/>
  <c r="K5" i="56"/>
  <c r="K6" i="56"/>
  <c r="K4" i="56"/>
  <c r="N33" i="56"/>
  <c r="O32" i="56"/>
  <c r="K37" i="55"/>
  <c r="K27" i="55"/>
  <c r="K17" i="55"/>
  <c r="K22" i="55"/>
  <c r="K20" i="55"/>
  <c r="K25" i="55"/>
  <c r="K26" i="55"/>
  <c r="K29" i="55"/>
  <c r="K21" i="55"/>
  <c r="K14" i="55"/>
  <c r="K36" i="55"/>
  <c r="K3" i="55"/>
  <c r="K11" i="55"/>
  <c r="L8" i="56"/>
  <c r="K18" i="55"/>
  <c r="K8" i="55"/>
  <c r="L7" i="56"/>
  <c r="K33" i="55"/>
  <c r="L5" i="56"/>
  <c r="K13" i="55"/>
  <c r="K5" i="55"/>
  <c r="K10" i="55"/>
  <c r="K6" i="55"/>
  <c r="L4" i="56"/>
  <c r="K28" i="55"/>
  <c r="L6" i="56"/>
  <c r="K30" i="55"/>
  <c r="K9" i="55"/>
  <c r="K23" i="55"/>
  <c r="K34" i="55"/>
  <c r="K4" i="55"/>
  <c r="K15" i="55"/>
  <c r="K12" i="55"/>
  <c r="L9" i="56"/>
  <c r="K7" i="55"/>
  <c r="K35" i="55"/>
  <c r="O33" i="56" l="1"/>
  <c r="N34" i="56"/>
  <c r="O34" i="56" l="1"/>
  <c r="N35" i="56"/>
  <c r="D8" i="29"/>
  <c r="T9" i="56"/>
  <c r="O6" i="56"/>
  <c r="T7" i="56"/>
  <c r="M6" i="56"/>
  <c r="S8" i="56"/>
  <c r="O4" i="56"/>
  <c r="M5" i="56"/>
  <c r="O9" i="56"/>
  <c r="O7" i="56"/>
  <c r="S5" i="56"/>
  <c r="M4" i="56"/>
  <c r="M9" i="56"/>
  <c r="T5" i="56"/>
  <c r="M13" i="56" a="1"/>
  <c r="S9" i="56"/>
  <c r="T4" i="56"/>
  <c r="M8" i="56"/>
  <c r="M17" i="56" l="1"/>
  <c r="M20" i="56"/>
  <c r="M24" i="56"/>
  <c r="M19" i="56"/>
  <c r="M16" i="56"/>
  <c r="M13" i="56"/>
  <c r="M14" i="56"/>
  <c r="M22" i="56"/>
  <c r="M25" i="56"/>
  <c r="M23" i="56"/>
  <c r="M26" i="56"/>
  <c r="M15" i="56"/>
  <c r="M18" i="56"/>
  <c r="M21" i="56"/>
  <c r="O35" i="56"/>
  <c r="N13" i="43"/>
  <c r="B5" i="43"/>
  <c r="B6" i="43"/>
  <c r="B7" i="43"/>
  <c r="B4" i="43"/>
  <c r="H2" i="42"/>
  <c r="D2" i="42"/>
  <c r="B17" i="29"/>
  <c r="T6" i="56"/>
  <c r="T8" i="56"/>
  <c r="S7" i="56"/>
  <c r="S4" i="56"/>
  <c r="M7" i="56"/>
  <c r="O5" i="56"/>
  <c r="S6" i="56"/>
  <c r="O8" i="56"/>
  <c r="P4" i="43" l="1"/>
  <c r="P3" i="43"/>
  <c r="C4" i="43"/>
  <c r="C5" i="43"/>
  <c r="C6" i="43"/>
  <c r="C7" i="43"/>
  <c r="I23" i="29" l="1"/>
  <c r="I20" i="29"/>
  <c r="D6" i="33"/>
  <c r="D7" i="33"/>
  <c r="D4" i="33"/>
  <c r="D5" i="33"/>
  <c r="D3" i="33"/>
  <c r="G75" i="33" l="1"/>
  <c r="G76" i="33"/>
  <c r="G77" i="33"/>
  <c r="G78" i="33"/>
  <c r="G79" i="33"/>
  <c r="G80" i="33"/>
  <c r="G81" i="33"/>
  <c r="G82" i="33"/>
  <c r="G83" i="33"/>
  <c r="G84" i="33"/>
  <c r="G74" i="33"/>
  <c r="E6" i="33"/>
  <c r="D11" i="29"/>
  <c r="E3" i="33"/>
  <c r="E4" i="33"/>
  <c r="E7" i="33"/>
  <c r="E5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7" i="33"/>
  <c r="D20" i="29"/>
  <c r="D19" i="33"/>
  <c r="D21" i="33"/>
  <c r="D16" i="33"/>
  <c r="D20" i="33"/>
  <c r="D10" i="33"/>
  <c r="D24" i="33"/>
  <c r="B1" i="29"/>
  <c r="D22" i="33"/>
  <c r="D18" i="33"/>
  <c r="D15" i="33"/>
  <c r="D12" i="33"/>
  <c r="D14" i="33"/>
  <c r="D23" i="33"/>
  <c r="D9" i="33"/>
  <c r="D11" i="33"/>
  <c r="D13" i="33"/>
  <c r="D8" i="33"/>
  <c r="D4" i="42" l="1"/>
  <c r="D10" i="43"/>
  <c r="C3" i="43" s="1"/>
  <c r="E13" i="33"/>
  <c r="E14" i="33"/>
  <c r="E16" i="33"/>
  <c r="E12" i="33"/>
  <c r="E11" i="33"/>
  <c r="D10" i="29"/>
  <c r="E20" i="57"/>
  <c r="E18" i="59"/>
  <c r="P32" i="56"/>
  <c r="E17" i="57"/>
  <c r="E9" i="33"/>
  <c r="E22" i="57"/>
  <c r="E18" i="43"/>
  <c r="E19" i="57"/>
  <c r="E21" i="43"/>
  <c r="P35" i="56"/>
  <c r="E10" i="33"/>
  <c r="C5" i="42"/>
  <c r="E19" i="59"/>
  <c r="E15" i="43"/>
  <c r="E18" i="57"/>
  <c r="E19" i="43"/>
  <c r="E8" i="33"/>
  <c r="P34" i="56"/>
  <c r="D5" i="57"/>
  <c r="E24" i="57"/>
  <c r="E23" i="57"/>
  <c r="E20" i="43"/>
  <c r="E15" i="33"/>
  <c r="D6" i="57"/>
  <c r="D5" i="43"/>
  <c r="E21" i="57"/>
  <c r="P31" i="56"/>
  <c r="E15" i="59"/>
  <c r="D7" i="57"/>
  <c r="E16" i="59"/>
  <c r="E16" i="57"/>
  <c r="P30" i="56"/>
  <c r="E16" i="43"/>
  <c r="D7" i="43"/>
  <c r="P33" i="56"/>
  <c r="D6" i="43"/>
  <c r="E15" i="57"/>
  <c r="E17" i="43"/>
  <c r="E17" i="59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E7" i="57"/>
  <c r="F19" i="57"/>
  <c r="F20" i="57"/>
  <c r="F23" i="57"/>
  <c r="J19" i="59"/>
  <c r="F22" i="57"/>
  <c r="G5" i="57"/>
  <c r="G6" i="57"/>
  <c r="K5" i="43"/>
  <c r="J17" i="59"/>
  <c r="F15" i="57"/>
  <c r="J18" i="59"/>
  <c r="F24" i="57"/>
  <c r="G4" i="57"/>
  <c r="J16" i="59"/>
  <c r="K4" i="43"/>
  <c r="F18" i="57"/>
  <c r="E4" i="57"/>
  <c r="E5" i="43"/>
  <c r="F17" i="57"/>
  <c r="K7" i="43"/>
  <c r="E6" i="57"/>
  <c r="F16" i="57"/>
  <c r="G7" i="57"/>
  <c r="AG3" i="59"/>
  <c r="AC3" i="57"/>
  <c r="AF4" i="59"/>
  <c r="J15" i="59"/>
  <c r="E5" i="57"/>
  <c r="F21" i="57"/>
  <c r="K6" i="43"/>
  <c r="AB4" i="57"/>
  <c r="D2" i="33" l="1"/>
  <c r="J16" i="43"/>
  <c r="E7" i="43"/>
  <c r="E6" i="43"/>
  <c r="J18" i="43"/>
  <c r="AF4" i="43"/>
  <c r="H4" i="57"/>
  <c r="H5" i="57"/>
  <c r="J17" i="43"/>
  <c r="J19" i="43"/>
  <c r="AG4" i="59"/>
  <c r="J15" i="43"/>
  <c r="J20" i="43"/>
  <c r="AC4" i="57"/>
  <c r="J21" i="43"/>
  <c r="H7" i="57"/>
  <c r="E4" i="43"/>
  <c r="H6" i="57"/>
  <c r="AG3" i="43"/>
  <c r="L5" i="43"/>
  <c r="AF5" i="59"/>
  <c r="H5" i="43"/>
  <c r="AB5" i="57"/>
  <c r="AC5" i="57"/>
  <c r="AB6" i="57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F6" i="59"/>
  <c r="AF7" i="59" s="1"/>
  <c r="AC6" i="57"/>
  <c r="AG6" i="59"/>
  <c r="AG5" i="59"/>
  <c r="AG7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F8" i="59"/>
  <c r="AF5" i="43"/>
  <c r="L4" i="43"/>
  <c r="E17" i="33"/>
  <c r="E24" i="33"/>
  <c r="E22" i="33"/>
  <c r="E21" i="33"/>
  <c r="E19" i="33"/>
  <c r="L6" i="43"/>
  <c r="L7" i="43"/>
  <c r="AB7" i="57"/>
  <c r="AG4" i="43"/>
  <c r="H6" i="43"/>
  <c r="E18" i="33"/>
  <c r="H7" i="43"/>
  <c r="E23" i="33"/>
  <c r="E20" i="33"/>
  <c r="H4" i="43"/>
  <c r="AG8" i="59"/>
  <c r="M6" i="43" l="1"/>
  <c r="N4" i="43"/>
  <c r="O4" i="43"/>
  <c r="M4" i="43"/>
  <c r="M7" i="43"/>
  <c r="O6" i="43"/>
  <c r="N6" i="43"/>
  <c r="O7" i="43"/>
  <c r="N7" i="43"/>
  <c r="N5" i="43"/>
  <c r="O5" i="43"/>
  <c r="AF9" i="59"/>
  <c r="AC7" i="57"/>
  <c r="AG9" i="59"/>
  <c r="AF10" i="59"/>
  <c r="AG10" i="59"/>
  <c r="AF11" i="59"/>
  <c r="AF12" i="59"/>
  <c r="AG11" i="59"/>
  <c r="AG12" i="59"/>
  <c r="AF13" i="59"/>
  <c r="AF14" i="59"/>
  <c r="AG13" i="59"/>
  <c r="AF15" i="59"/>
  <c r="AG14" i="59"/>
  <c r="AG15" i="59"/>
  <c r="AF16" i="59"/>
  <c r="AF17" i="59"/>
  <c r="AG16" i="59"/>
  <c r="AF18" i="59"/>
  <c r="AG17" i="59"/>
  <c r="AF19" i="59"/>
  <c r="AG18" i="59"/>
  <c r="AG19" i="59"/>
  <c r="AF20" i="59"/>
  <c r="AF21" i="59"/>
  <c r="AG20" i="59"/>
  <c r="AG21" i="59"/>
  <c r="AF22" i="59"/>
  <c r="AF23" i="59"/>
  <c r="AG23" i="59" s="1"/>
  <c r="AG22" i="59"/>
  <c r="N41" i="33" l="1"/>
  <c r="AB8" i="57"/>
  <c r="AF6" i="43"/>
  <c r="AF7" i="43"/>
  <c r="AG5" i="43"/>
  <c r="AF8" i="43"/>
  <c r="AG7" i="43"/>
  <c r="N25" i="33" l="1"/>
  <c r="R3" i="42" l="1"/>
  <c r="AG6" i="43"/>
  <c r="R13" i="56" a="1"/>
  <c r="AC8" i="57"/>
  <c r="AB9" i="57"/>
  <c r="AG8" i="43"/>
  <c r="S13" i="56" a="1"/>
  <c r="AF9" i="43"/>
  <c r="AF10" i="43"/>
  <c r="AC9" i="57"/>
  <c r="AB10" i="57"/>
  <c r="AG10" i="43"/>
  <c r="AB11" i="57"/>
  <c r="AC11" i="57" s="1"/>
  <c r="O13" i="56" a="1"/>
  <c r="AB12" i="57"/>
  <c r="F4" i="42"/>
  <c r="AG9" i="43"/>
  <c r="AF11" i="43"/>
  <c r="AF12" i="43" s="1"/>
  <c r="AG12" i="43" s="1"/>
  <c r="D27" i="29"/>
  <c r="AF13" i="43"/>
  <c r="AG13" i="43" s="1"/>
  <c r="AG11" i="43"/>
  <c r="C30" i="29"/>
  <c r="E5" i="42"/>
  <c r="F5" i="42"/>
  <c r="AF14" i="43"/>
  <c r="AC12" i="57"/>
  <c r="AB13" i="57"/>
  <c r="D28" i="29"/>
  <c r="D21" i="29"/>
  <c r="AF15" i="43"/>
  <c r="AG14" i="43"/>
  <c r="AC13" i="57"/>
  <c r="AB14" i="57"/>
  <c r="Q30" i="56"/>
  <c r="Q35" i="56"/>
  <c r="Q33" i="56"/>
  <c r="Q34" i="56"/>
  <c r="Q32" i="56"/>
  <c r="Q31" i="56"/>
  <c r="AF16" i="43"/>
  <c r="AG15" i="43"/>
  <c r="AC14" i="57"/>
  <c r="AB15" i="57"/>
  <c r="AG16" i="43"/>
  <c r="AF17" i="43"/>
  <c r="AB16" i="57"/>
  <c r="AC15" i="57"/>
  <c r="AF18" i="43"/>
  <c r="AG17" i="43"/>
  <c r="AB17" i="57"/>
  <c r="AC16" i="57"/>
  <c r="AF19" i="43"/>
  <c r="AG18" i="43"/>
  <c r="AC17" i="57"/>
  <c r="AB18" i="57"/>
  <c r="AG19" i="43"/>
  <c r="AF20" i="43"/>
  <c r="AB19" i="57"/>
  <c r="AC18" i="57"/>
  <c r="AF21" i="43"/>
  <c r="AG20" i="43"/>
  <c r="AB20" i="57"/>
  <c r="AC19" i="57"/>
  <c r="AF22" i="43"/>
  <c r="AG21" i="43"/>
  <c r="AC20" i="57"/>
  <c r="AB21" i="57"/>
  <c r="AF23" i="43"/>
  <c r="AG22" i="43"/>
  <c r="AC21" i="57"/>
  <c r="AB22" i="57"/>
  <c r="AG23" i="43"/>
  <c r="AF24" i="43"/>
  <c r="AB23" i="57"/>
  <c r="AC22" i="57"/>
  <c r="AF25" i="43"/>
  <c r="AG24" i="43"/>
  <c r="AB24" i="57"/>
  <c r="AC23" i="57"/>
  <c r="AG25" i="43"/>
  <c r="AF26" i="43"/>
  <c r="AB25" i="57"/>
  <c r="AC24" i="57"/>
  <c r="AF27" i="43"/>
  <c r="AG26" i="43"/>
  <c r="AC25" i="57"/>
  <c r="AB26" i="57"/>
  <c r="AF28" i="43"/>
  <c r="AG27" i="43"/>
  <c r="AB27" i="57"/>
  <c r="AC26" i="57"/>
  <c r="AG28" i="43"/>
  <c r="AF29" i="43"/>
  <c r="AB28" i="57"/>
  <c r="AC27" i="57"/>
  <c r="AG29" i="43"/>
  <c r="AF30" i="43"/>
  <c r="AB29" i="57"/>
  <c r="AC28" i="57"/>
  <c r="AG30" i="43"/>
  <c r="AF31" i="43"/>
  <c r="AC29" i="57"/>
  <c r="AB30" i="57"/>
  <c r="AF32" i="43"/>
  <c r="AG31" i="43"/>
  <c r="AC30" i="57"/>
  <c r="AB31" i="57"/>
  <c r="AF33" i="43"/>
  <c r="AG32" i="43"/>
  <c r="AC31" i="57"/>
  <c r="AB32" i="57"/>
  <c r="AG33" i="43"/>
  <c r="AF34" i="43"/>
  <c r="AC32" i="57"/>
  <c r="AB33" i="57"/>
  <c r="AG34" i="43"/>
  <c r="AF35" i="43"/>
  <c r="AB34" i="57"/>
  <c r="AC33" i="57"/>
  <c r="AG35" i="43"/>
  <c r="AF36" i="43"/>
  <c r="AC34" i="57"/>
  <c r="AB35" i="57"/>
  <c r="AG36" i="43"/>
  <c r="AF37" i="43"/>
  <c r="AB36" i="57"/>
  <c r="AC35" i="57"/>
  <c r="AG37" i="43"/>
  <c r="AF38" i="43"/>
  <c r="AB37" i="57"/>
  <c r="AC36" i="57"/>
  <c r="AG38" i="43"/>
  <c r="AF39" i="43"/>
  <c r="AB38" i="57"/>
  <c r="AC37" i="57"/>
  <c r="AF40" i="43"/>
  <c r="AG39" i="43"/>
  <c r="AB39" i="57"/>
  <c r="AC38" i="57"/>
  <c r="AG40" i="43"/>
  <c r="AF41" i="43"/>
  <c r="AB40" i="57"/>
  <c r="AC39" i="57"/>
  <c r="AF42" i="43"/>
  <c r="AG41" i="43"/>
  <c r="AC40" i="57"/>
  <c r="AB41" i="57"/>
  <c r="AF43" i="43"/>
  <c r="AG42" i="43"/>
  <c r="AB42" i="57"/>
  <c r="AC41" i="57"/>
  <c r="AG43" i="43"/>
  <c r="AF44" i="43"/>
  <c r="AC42" i="57"/>
  <c r="AB43" i="57"/>
  <c r="AF45" i="43"/>
  <c r="AG44" i="43"/>
  <c r="AB44" i="57"/>
  <c r="AC43" i="57"/>
  <c r="AF46" i="43"/>
  <c r="AG45" i="43"/>
  <c r="AB45" i="57"/>
  <c r="AC44" i="57"/>
  <c r="AG46" i="43"/>
  <c r="AF47" i="43"/>
  <c r="AC45" i="57"/>
  <c r="AB46" i="57"/>
  <c r="AF48" i="43"/>
  <c r="AG47" i="43"/>
  <c r="AB47" i="57"/>
  <c r="AC46" i="57"/>
  <c r="AG48" i="43"/>
  <c r="AF49" i="43"/>
  <c r="AB48" i="57"/>
  <c r="AC47" i="57"/>
  <c r="AF50" i="43"/>
  <c r="AG49" i="43"/>
  <c r="AB49" i="57"/>
  <c r="AC48" i="57"/>
  <c r="AF51" i="43"/>
  <c r="AG50" i="43"/>
  <c r="AB50" i="57"/>
  <c r="AC49" i="57"/>
  <c r="AG51" i="43"/>
  <c r="AF52" i="43"/>
  <c r="AB51" i="57"/>
  <c r="AC50" i="57"/>
  <c r="AF53" i="43"/>
  <c r="AG52" i="43"/>
  <c r="AC51" i="57"/>
  <c r="AB52" i="57"/>
  <c r="AG53" i="43"/>
  <c r="AF54" i="43"/>
  <c r="AB53" i="57"/>
  <c r="AC52" i="57"/>
  <c r="AG54" i="43"/>
  <c r="AF55" i="43"/>
  <c r="AB54" i="57"/>
  <c r="AC53" i="57"/>
  <c r="AG55" i="43"/>
  <c r="AF56" i="43"/>
  <c r="AB55" i="57"/>
  <c r="AC54" i="57"/>
  <c r="AF57" i="43"/>
  <c r="AG56" i="43"/>
  <c r="AB56" i="57"/>
  <c r="AC55" i="57"/>
  <c r="AF58" i="43"/>
  <c r="AG57" i="43"/>
  <c r="AC56" i="57"/>
  <c r="AB57" i="57"/>
  <c r="AF59" i="43"/>
  <c r="AG58" i="43"/>
  <c r="AB58" i="57"/>
  <c r="AC57" i="57"/>
  <c r="AF60" i="43"/>
  <c r="AG59" i="43"/>
  <c r="AB59" i="57"/>
  <c r="AC58" i="57"/>
  <c r="AF61" i="43"/>
  <c r="AG60" i="43"/>
  <c r="AB60" i="57"/>
  <c r="AC59" i="57"/>
  <c r="AF62" i="43"/>
  <c r="AG61" i="43"/>
  <c r="AC60" i="57"/>
  <c r="AB61" i="57"/>
  <c r="AG62" i="43"/>
  <c r="AF63" i="43"/>
  <c r="AC61" i="57"/>
  <c r="AB62" i="57"/>
  <c r="AG63" i="43"/>
  <c r="AF64" i="43"/>
  <c r="AB63" i="57"/>
  <c r="AC62" i="57"/>
  <c r="AF65" i="43"/>
  <c r="AG65" i="43" s="1"/>
  <c r="AG64" i="43"/>
  <c r="AC63" i="57"/>
  <c r="AB64" i="57"/>
  <c r="AB65" i="57"/>
  <c r="AC64" i="57"/>
  <c r="AC65" i="57"/>
  <c r="AB66" i="57"/>
  <c r="AC66" i="57"/>
  <c r="AB67" i="57"/>
  <c r="AB68" i="57"/>
  <c r="AC67" i="57"/>
  <c r="AC68" i="57"/>
  <c r="AB69" i="57"/>
  <c r="AB70" i="57"/>
  <c r="AC69" i="57"/>
  <c r="AC70" i="57"/>
  <c r="AB71" i="57"/>
  <c r="AC71" i="57"/>
  <c r="AB72" i="57"/>
  <c r="AB73" i="57"/>
  <c r="AC72" i="57"/>
  <c r="AC73" i="57"/>
  <c r="AB74" i="57"/>
  <c r="AC74" i="57"/>
  <c r="AB75" i="57"/>
  <c r="AB76" i="57"/>
  <c r="AC75" i="57"/>
  <c r="AB77" i="57"/>
  <c r="AC76" i="57"/>
  <c r="AC77" i="57"/>
  <c r="AB78" i="57"/>
  <c r="AC78" i="57"/>
  <c r="AB79" i="57"/>
  <c r="AC79" i="57"/>
  <c r="AB80" i="57"/>
  <c r="AB81" i="57"/>
  <c r="AC80" i="57"/>
  <c r="AC81" i="57"/>
  <c r="AB82" i="57"/>
  <c r="AB83" i="57"/>
  <c r="AC82" i="57"/>
  <c r="AC83" i="57"/>
  <c r="AB84" i="57"/>
  <c r="AC84" i="57"/>
  <c r="AB85" i="57"/>
  <c r="AC85" i="57"/>
  <c r="AB86" i="57"/>
  <c r="AB87" i="57"/>
  <c r="AC86" i="57"/>
  <c r="AC87" i="57"/>
  <c r="AB88" i="57"/>
  <c r="AC88" i="57"/>
  <c r="AB89" i="57"/>
  <c r="AC89" i="57"/>
  <c r="AB90" i="57"/>
  <c r="AC90" i="57"/>
  <c r="AB91" i="57"/>
  <c r="AB92" i="57"/>
  <c r="AC91" i="57"/>
  <c r="AC92" i="57"/>
  <c r="AB93" i="57"/>
  <c r="AB94" i="57"/>
  <c r="AC93" i="57"/>
  <c r="AC94" i="57"/>
  <c r="AB95" i="57"/>
  <c r="AC95" i="57"/>
  <c r="AB96" i="57"/>
  <c r="AC96" i="57"/>
  <c r="AB97" i="57"/>
  <c r="AB98" i="57"/>
  <c r="AC97" i="57"/>
  <c r="AB99" i="57"/>
  <c r="AC98" i="57"/>
  <c r="AB100" i="57"/>
  <c r="AC99" i="57"/>
  <c r="AC100" i="57"/>
  <c r="AB101" i="57"/>
  <c r="AC101" i="57"/>
  <c r="AB102" i="57"/>
  <c r="AB103" i="57"/>
  <c r="AC102" i="57"/>
  <c r="AC103" i="57"/>
  <c r="AB104" i="57"/>
  <c r="AC104" i="57"/>
  <c r="AB105" i="57"/>
  <c r="AC105" i="57"/>
  <c r="AB106" i="57"/>
  <c r="AC106" i="57"/>
  <c r="AB107" i="57"/>
  <c r="AB108" i="57"/>
  <c r="AC107" i="57"/>
  <c r="AB109" i="57"/>
  <c r="AC108" i="57"/>
  <c r="AB110" i="57"/>
  <c r="AC109" i="57"/>
  <c r="AC110" i="57"/>
  <c r="AB111" i="57"/>
  <c r="AB112" i="57"/>
  <c r="AC111" i="57"/>
  <c r="AC112" i="57"/>
  <c r="AB113" i="57"/>
  <c r="AB114" i="57"/>
  <c r="AC113" i="57"/>
  <c r="AC114" i="57"/>
  <c r="AB115" i="57"/>
  <c r="AC115" i="57"/>
  <c r="AB116" i="57"/>
  <c r="AB117" i="57"/>
  <c r="AC116" i="57"/>
  <c r="AB118" i="57"/>
  <c r="AC117" i="57"/>
  <c r="AB119" i="57"/>
  <c r="AC118" i="57"/>
  <c r="AB120" i="57"/>
  <c r="AC119" i="57"/>
  <c r="AB121" i="57"/>
  <c r="AC120" i="57"/>
  <c r="AB122" i="57"/>
  <c r="AC121" i="57"/>
  <c r="AC122" i="57"/>
  <c r="AB123" i="57"/>
  <c r="AB124" i="57"/>
  <c r="AC124" i="57" s="1"/>
  <c r="AC123" i="57"/>
  <c r="O14" i="56" l="1"/>
  <c r="O23" i="56"/>
  <c r="O16" i="56"/>
  <c r="O21" i="56"/>
  <c r="O26" i="56"/>
  <c r="O17" i="56"/>
  <c r="O15" i="56"/>
  <c r="O18" i="56"/>
  <c r="O22" i="56"/>
  <c r="O20" i="56"/>
  <c r="O19" i="56"/>
  <c r="O25" i="56"/>
  <c r="O13" i="56"/>
  <c r="O24" i="56"/>
  <c r="S17" i="56"/>
  <c r="S15" i="56"/>
  <c r="S26" i="56"/>
  <c r="S20" i="56"/>
  <c r="S25" i="56"/>
  <c r="S18" i="56"/>
  <c r="S14" i="56"/>
  <c r="S22" i="56"/>
  <c r="S19" i="56"/>
  <c r="S13" i="56"/>
  <c r="S21" i="56"/>
  <c r="S23" i="56"/>
  <c r="S16" i="56"/>
  <c r="S24" i="56"/>
  <c r="R18" i="56"/>
  <c r="R21" i="56"/>
  <c r="R16" i="56"/>
  <c r="R25" i="56"/>
  <c r="R15" i="56"/>
  <c r="R26" i="56"/>
  <c r="R22" i="56"/>
  <c r="R24" i="56"/>
  <c r="R19" i="56"/>
  <c r="R17" i="56"/>
  <c r="R20" i="56"/>
  <c r="R23" i="56"/>
  <c r="R13" i="56"/>
  <c r="R14" i="56"/>
  <c r="F4" i="57" a="1"/>
  <c r="R35" i="56"/>
  <c r="G5" i="42"/>
  <c r="S3" i="42"/>
  <c r="R30" i="56"/>
  <c r="D30" i="29"/>
  <c r="R34" i="56"/>
  <c r="R31" i="56"/>
  <c r="R33" i="56"/>
  <c r="C31" i="29"/>
  <c r="D31" i="29"/>
  <c r="AC10" i="57"/>
  <c r="R4" i="42"/>
  <c r="G4" i="42"/>
  <c r="T3" i="42"/>
  <c r="R32" i="56"/>
  <c r="C6" i="42"/>
  <c r="R5" i="42"/>
  <c r="S4" i="42"/>
  <c r="T4" i="42" s="1"/>
  <c r="R6" i="42"/>
  <c r="S5" i="42"/>
  <c r="T5" i="42" s="1"/>
  <c r="S6" i="42"/>
  <c r="T6" i="42" s="1"/>
  <c r="R7" i="42"/>
  <c r="R8" i="42"/>
  <c r="S7" i="42"/>
  <c r="T7" i="42"/>
  <c r="S8" i="42"/>
  <c r="R9" i="42"/>
  <c r="R10" i="42"/>
  <c r="S9" i="42"/>
  <c r="T9" i="42" s="1"/>
  <c r="R11" i="42"/>
  <c r="S10" i="42"/>
  <c r="T10" i="42"/>
  <c r="S11" i="42"/>
  <c r="R12" i="42"/>
  <c r="T11" i="42"/>
  <c r="R13" i="42"/>
  <c r="S12" i="42"/>
  <c r="T12" i="42" s="1"/>
  <c r="S13" i="42"/>
  <c r="T13" i="42"/>
  <c r="R14" i="42"/>
  <c r="R15" i="42"/>
  <c r="S14" i="42"/>
  <c r="T14" i="42" s="1"/>
  <c r="R16" i="42"/>
  <c r="S15" i="42"/>
  <c r="T15" i="42" s="1"/>
  <c r="S16" i="42"/>
  <c r="R17" i="42"/>
  <c r="T16" i="42"/>
  <c r="S17" i="42"/>
  <c r="T17" i="42" s="1"/>
  <c r="R18" i="42"/>
  <c r="R19" i="42"/>
  <c r="S18" i="42"/>
  <c r="R20" i="42"/>
  <c r="S19" i="42"/>
  <c r="T19" i="42" s="1"/>
  <c r="S20" i="42"/>
  <c r="R21" i="42"/>
  <c r="T20" i="42"/>
  <c r="S21" i="42"/>
  <c r="T21" i="42" s="1"/>
  <c r="R22" i="42"/>
  <c r="R23" i="42"/>
  <c r="S22" i="42"/>
  <c r="T22" i="42" s="1"/>
  <c r="R24" i="42"/>
  <c r="S23" i="42"/>
  <c r="T23" i="42" s="1"/>
  <c r="R25" i="42"/>
  <c r="S24" i="42"/>
  <c r="T24" i="42" s="1"/>
  <c r="S25" i="42"/>
  <c r="R26" i="42"/>
  <c r="T25" i="42"/>
  <c r="R27" i="42"/>
  <c r="S26" i="42"/>
  <c r="T26" i="42" s="1"/>
  <c r="S27" i="42"/>
  <c r="T27" i="42"/>
  <c r="R28" i="42"/>
  <c r="R29" i="42"/>
  <c r="S28" i="42"/>
  <c r="T28" i="42"/>
  <c r="S29" i="42"/>
  <c r="R30" i="42"/>
  <c r="R31" i="42"/>
  <c r="S30" i="42"/>
  <c r="T30" i="42" s="1"/>
  <c r="R32" i="42"/>
  <c r="S31" i="42"/>
  <c r="T31" i="42" s="1"/>
  <c r="S32" i="42"/>
  <c r="R33" i="42"/>
  <c r="S33" i="42"/>
  <c r="R34" i="42"/>
  <c r="T33" i="42"/>
  <c r="R35" i="42"/>
  <c r="S34" i="42"/>
  <c r="T34" i="42" s="1"/>
  <c r="S35" i="42"/>
  <c r="T35" i="42"/>
  <c r="R36" i="42"/>
  <c r="S36" i="42"/>
  <c r="T36" i="42"/>
  <c r="R37" i="42"/>
  <c r="S37" i="42"/>
  <c r="R38" i="42"/>
  <c r="R39" i="42"/>
  <c r="S38" i="42"/>
  <c r="T38" i="42" s="1"/>
  <c r="R40" i="42"/>
  <c r="S39" i="42"/>
  <c r="T39" i="42" s="1"/>
  <c r="R41" i="42"/>
  <c r="S40" i="42"/>
  <c r="S41" i="42"/>
  <c r="R42" i="42"/>
  <c r="T41" i="42"/>
  <c r="S42" i="42"/>
  <c r="T42" i="42"/>
  <c r="R43" i="42"/>
  <c r="R44" i="42"/>
  <c r="S43" i="42"/>
  <c r="T43" i="42" s="1"/>
  <c r="S44" i="42"/>
  <c r="T44" i="42" s="1"/>
  <c r="R45" i="42"/>
  <c r="S45" i="42"/>
  <c r="R46" i="42"/>
  <c r="R47" i="42"/>
  <c r="S46" i="42"/>
  <c r="T46" i="42" s="1"/>
  <c r="S47" i="42"/>
  <c r="T47" i="42" s="1"/>
  <c r="R48" i="42"/>
  <c r="R49" i="42"/>
  <c r="S48" i="42"/>
  <c r="T48" i="42" s="1"/>
  <c r="S49" i="42"/>
  <c r="R50" i="42"/>
  <c r="T49" i="42"/>
  <c r="R51" i="42"/>
  <c r="S50" i="42"/>
  <c r="R52" i="42"/>
  <c r="S51" i="42"/>
  <c r="S52" i="42"/>
  <c r="R53" i="42"/>
  <c r="T52" i="42"/>
  <c r="R54" i="42"/>
  <c r="S53" i="42"/>
  <c r="R55" i="42"/>
  <c r="S54" i="42"/>
  <c r="T54" i="42" s="1"/>
  <c r="R56" i="42"/>
  <c r="S55" i="42"/>
  <c r="T55" i="42" s="1"/>
  <c r="S56" i="42"/>
  <c r="R57" i="42"/>
  <c r="S57" i="42"/>
  <c r="R58" i="42"/>
  <c r="T57" i="42"/>
  <c r="S58" i="42"/>
  <c r="T58" i="42" s="1"/>
  <c r="R59" i="42"/>
  <c r="S59" i="42"/>
  <c r="R60" i="42"/>
  <c r="R61" i="42"/>
  <c r="S60" i="42"/>
  <c r="T60" i="42"/>
  <c r="S61" i="42"/>
  <c r="T61" i="42"/>
  <c r="R62" i="42"/>
  <c r="R63" i="42"/>
  <c r="S62" i="42"/>
  <c r="T62" i="42" s="1"/>
  <c r="S63" i="42"/>
  <c r="T63" i="42" s="1"/>
  <c r="R64" i="42"/>
  <c r="R65" i="42"/>
  <c r="S64" i="42"/>
  <c r="T64" i="42" s="1"/>
  <c r="R66" i="42"/>
  <c r="S65" i="42"/>
  <c r="T65" i="42" s="1"/>
  <c r="R67" i="42"/>
  <c r="S66" i="42"/>
  <c r="T66" i="42" s="1"/>
  <c r="S67" i="42"/>
  <c r="T67" i="42" s="1"/>
  <c r="R68" i="42"/>
  <c r="S68" i="42"/>
  <c r="R69" i="42"/>
  <c r="T68" i="42"/>
  <c r="R70" i="42"/>
  <c r="S69" i="42"/>
  <c r="S70" i="42"/>
  <c r="T70" i="42"/>
  <c r="R71" i="42"/>
  <c r="R72" i="42"/>
  <c r="S71" i="42"/>
  <c r="T71" i="42"/>
  <c r="S72" i="42"/>
  <c r="R73" i="42"/>
  <c r="S73" i="42"/>
  <c r="T73" i="42" s="1"/>
  <c r="R74" i="42"/>
  <c r="S74" i="42"/>
  <c r="R75" i="42"/>
  <c r="T74" i="42"/>
  <c r="S75" i="42"/>
  <c r="T75" i="42"/>
  <c r="R76" i="42"/>
  <c r="R77" i="42"/>
  <c r="S76" i="42"/>
  <c r="T76" i="42"/>
  <c r="S77" i="42"/>
  <c r="R78" i="42"/>
  <c r="S78" i="42"/>
  <c r="T78" i="42" s="1"/>
  <c r="R79" i="42"/>
  <c r="R80" i="42"/>
  <c r="S79" i="42"/>
  <c r="T79" i="42" s="1"/>
  <c r="R81" i="42"/>
  <c r="S80" i="42"/>
  <c r="T80" i="42"/>
  <c r="S81" i="42"/>
  <c r="T81" i="42" s="1"/>
  <c r="R82" i="42"/>
  <c r="S82" i="42"/>
  <c r="T82" i="42" s="1"/>
  <c r="R83" i="42"/>
  <c r="R84" i="42"/>
  <c r="S83" i="42"/>
  <c r="T83" i="42"/>
  <c r="S84" i="42"/>
  <c r="R85" i="42"/>
  <c r="T84" i="42"/>
  <c r="R86" i="42"/>
  <c r="S85" i="42"/>
  <c r="S86" i="42"/>
  <c r="T86" i="42" s="1"/>
  <c r="R87" i="42"/>
  <c r="R88" i="42"/>
  <c r="S87" i="42"/>
  <c r="T87" i="42"/>
  <c r="R89" i="42"/>
  <c r="S88" i="42"/>
  <c r="T88" i="42"/>
  <c r="S89" i="42"/>
  <c r="T89" i="42" s="1"/>
  <c r="R90" i="42"/>
  <c r="S90" i="42"/>
  <c r="T90" i="42"/>
  <c r="R91" i="42"/>
  <c r="R92" i="42"/>
  <c r="S91" i="42"/>
  <c r="T91" i="42" s="1"/>
  <c r="S92" i="42"/>
  <c r="R93" i="42"/>
  <c r="T92" i="42"/>
  <c r="R94" i="42"/>
  <c r="S93" i="42"/>
  <c r="T93" i="42" s="1"/>
  <c r="R95" i="42"/>
  <c r="S94" i="42"/>
  <c r="T94" i="42"/>
  <c r="R96" i="42"/>
  <c r="S95" i="42"/>
  <c r="T95" i="42" s="1"/>
  <c r="R97" i="42"/>
  <c r="S96" i="42"/>
  <c r="T96" i="42" s="1"/>
  <c r="R98" i="42"/>
  <c r="S97" i="42"/>
  <c r="T97" i="42" s="1"/>
  <c r="S98" i="42"/>
  <c r="T98" i="42" s="1"/>
  <c r="R99" i="42"/>
  <c r="R100" i="42"/>
  <c r="S99" i="42"/>
  <c r="S100" i="42"/>
  <c r="R101" i="42"/>
  <c r="T100" i="42"/>
  <c r="R102" i="42"/>
  <c r="S101" i="42"/>
  <c r="T101" i="42" s="1"/>
  <c r="R103" i="42"/>
  <c r="S102" i="42"/>
  <c r="T102" i="42" s="1"/>
  <c r="S103" i="42"/>
  <c r="R104" i="42"/>
  <c r="R105" i="42"/>
  <c r="S104" i="42"/>
  <c r="S105" i="42"/>
  <c r="T105" i="42" s="1"/>
  <c r="R106" i="42"/>
  <c r="S106" i="42"/>
  <c r="R107" i="42"/>
  <c r="T106" i="42"/>
  <c r="R108" i="42"/>
  <c r="S107" i="42"/>
  <c r="T107" i="42"/>
  <c r="R109" i="42"/>
  <c r="S108" i="42"/>
  <c r="T108" i="42" s="1"/>
  <c r="R110" i="42"/>
  <c r="S109" i="42"/>
  <c r="S110" i="42"/>
  <c r="T110" i="42"/>
  <c r="R111" i="42"/>
  <c r="S111" i="42"/>
  <c r="R112" i="42"/>
  <c r="R113" i="42"/>
  <c r="S112" i="42"/>
  <c r="T112" i="42" s="1"/>
  <c r="S113" i="42"/>
  <c r="R114" i="42"/>
  <c r="T113" i="42"/>
  <c r="R115" i="42"/>
  <c r="S114" i="42"/>
  <c r="S115" i="42"/>
  <c r="T115" i="42" s="1"/>
  <c r="R116" i="42"/>
  <c r="S116" i="42"/>
  <c r="R117" i="42"/>
  <c r="R118" i="42"/>
  <c r="S117" i="42"/>
  <c r="T117" i="42" s="1"/>
  <c r="R119" i="42"/>
  <c r="S118" i="42"/>
  <c r="T118" i="42" s="1"/>
  <c r="R120" i="42"/>
  <c r="S119" i="42"/>
  <c r="T119" i="42"/>
  <c r="S120" i="42"/>
  <c r="T120" i="42" s="1"/>
  <c r="R121" i="42"/>
  <c r="R122" i="42"/>
  <c r="S121" i="42"/>
  <c r="T121" i="42" s="1"/>
  <c r="R123" i="42"/>
  <c r="S122" i="42"/>
  <c r="S123" i="42"/>
  <c r="R124" i="42"/>
  <c r="R125" i="42"/>
  <c r="S124" i="42"/>
  <c r="T124" i="42"/>
  <c r="R126" i="42"/>
  <c r="S125" i="42"/>
  <c r="S126" i="42"/>
  <c r="T126" i="42" s="1"/>
  <c r="R127" i="42"/>
  <c r="R128" i="42"/>
  <c r="S127" i="42"/>
  <c r="T127" i="42" s="1"/>
  <c r="S128" i="42"/>
  <c r="R129" i="42"/>
  <c r="T128" i="42"/>
  <c r="R130" i="42"/>
  <c r="S129" i="42"/>
  <c r="T129" i="42"/>
  <c r="R131" i="42"/>
  <c r="S130" i="42"/>
  <c r="T130" i="42" s="1"/>
  <c r="R132" i="42"/>
  <c r="S131" i="42"/>
  <c r="T131" i="42"/>
  <c r="S132" i="42"/>
  <c r="R133" i="42"/>
  <c r="S133" i="42"/>
  <c r="T133" i="42"/>
  <c r="R134" i="42"/>
  <c r="R135" i="42"/>
  <c r="S134" i="42"/>
  <c r="T134" i="42" s="1"/>
  <c r="R136" i="42"/>
  <c r="S135" i="42"/>
  <c r="T135" i="42" s="1"/>
  <c r="R137" i="42"/>
  <c r="S136" i="42"/>
  <c r="R138" i="42"/>
  <c r="S137" i="42"/>
  <c r="T137" i="42" s="1"/>
  <c r="R139" i="42"/>
  <c r="S138" i="42"/>
  <c r="R140" i="42"/>
  <c r="S139" i="42"/>
  <c r="T139" i="42" s="1"/>
  <c r="R141" i="42"/>
  <c r="S140" i="42"/>
  <c r="T140" i="42" s="1"/>
  <c r="R142" i="42"/>
  <c r="S141" i="42"/>
  <c r="T141" i="42" s="1"/>
  <c r="S142" i="42"/>
  <c r="R143" i="42"/>
  <c r="T142" i="42"/>
  <c r="R144" i="42"/>
  <c r="S143" i="42"/>
  <c r="T143" i="42"/>
  <c r="S144" i="42"/>
  <c r="R145" i="42"/>
  <c r="T144" i="42"/>
  <c r="S145" i="42"/>
  <c r="R146" i="42"/>
  <c r="R147" i="42"/>
  <c r="S146" i="42"/>
  <c r="T146" i="42" s="1"/>
  <c r="S147" i="42"/>
  <c r="T147" i="42" s="1"/>
  <c r="R148" i="42"/>
  <c r="R149" i="42"/>
  <c r="S148" i="42"/>
  <c r="S149" i="42"/>
  <c r="R150" i="42"/>
  <c r="R151" i="42"/>
  <c r="S150" i="42"/>
  <c r="T150" i="42"/>
  <c r="R152" i="42"/>
  <c r="S151" i="42"/>
  <c r="T151" i="42" s="1"/>
  <c r="S152" i="42"/>
  <c r="T152" i="42" s="1"/>
  <c r="R153" i="42"/>
  <c r="R154" i="42"/>
  <c r="S153" i="42"/>
  <c r="T153" i="42" s="1"/>
  <c r="S154" i="42"/>
  <c r="T154" i="42"/>
  <c r="R155" i="42"/>
  <c r="R156" i="42"/>
  <c r="S155" i="42"/>
  <c r="T155" i="42" s="1"/>
  <c r="S156" i="42"/>
  <c r="R157" i="42"/>
  <c r="T156" i="42"/>
  <c r="R158" i="42"/>
  <c r="S157" i="42"/>
  <c r="T157" i="42" s="1"/>
  <c r="S158" i="42"/>
  <c r="R159" i="42"/>
  <c r="T158" i="42"/>
  <c r="R160" i="42"/>
  <c r="S159" i="42"/>
  <c r="T159" i="42" s="1"/>
  <c r="S160" i="42"/>
  <c r="R161" i="42"/>
  <c r="S161" i="42"/>
  <c r="R162" i="42"/>
  <c r="T161" i="42"/>
  <c r="S162" i="42"/>
  <c r="T162" i="42"/>
  <c r="R163" i="42"/>
  <c r="S163" i="42"/>
  <c r="R164" i="42"/>
  <c r="T163" i="42"/>
  <c r="R165" i="42"/>
  <c r="S164" i="42"/>
  <c r="T164" i="42"/>
  <c r="S165" i="42"/>
  <c r="R166" i="42"/>
  <c r="R167" i="42"/>
  <c r="S166" i="42"/>
  <c r="T166" i="42" s="1"/>
  <c r="S167" i="42"/>
  <c r="T167" i="42" s="1"/>
  <c r="R168" i="42"/>
  <c r="S168" i="42"/>
  <c r="T168" i="42"/>
  <c r="R169" i="42"/>
  <c r="S169" i="42"/>
  <c r="R170" i="42"/>
  <c r="T169" i="42"/>
  <c r="R171" i="42"/>
  <c r="S170" i="42"/>
  <c r="R172" i="42"/>
  <c r="S171" i="42"/>
  <c r="T171" i="42" s="1"/>
  <c r="S172" i="42"/>
  <c r="R173" i="42"/>
  <c r="S173" i="42"/>
  <c r="R174" i="42"/>
  <c r="S174" i="42"/>
  <c r="T174" i="42" s="1"/>
  <c r="R175" i="42"/>
  <c r="S175" i="42"/>
  <c r="T175" i="42" s="1"/>
  <c r="R176" i="42"/>
  <c r="S176" i="42"/>
  <c r="T176" i="42"/>
  <c r="R177" i="42"/>
  <c r="R178" i="42"/>
  <c r="S177" i="42"/>
  <c r="T177" i="42" s="1"/>
  <c r="S178" i="42"/>
  <c r="R179" i="42"/>
  <c r="R180" i="42"/>
  <c r="S179" i="42"/>
  <c r="T179" i="42" s="1"/>
  <c r="R181" i="42"/>
  <c r="S180" i="42"/>
  <c r="T180" i="42"/>
  <c r="S181" i="42"/>
  <c r="R182" i="42"/>
  <c r="S182" i="42"/>
  <c r="T182" i="42"/>
  <c r="R183" i="42"/>
  <c r="S183" i="42"/>
  <c r="R184" i="42"/>
  <c r="T183" i="42"/>
  <c r="S184" i="42"/>
  <c r="R185" i="42"/>
  <c r="T184" i="42"/>
  <c r="S185" i="42"/>
  <c r="T185" i="42" s="1"/>
  <c r="R186" i="42"/>
  <c r="S186" i="42"/>
  <c r="R187" i="42"/>
  <c r="S187" i="42"/>
  <c r="R188" i="42"/>
  <c r="R189" i="42"/>
  <c r="S188" i="42"/>
  <c r="T188" i="42" s="1"/>
  <c r="R190" i="42"/>
  <c r="S189" i="42"/>
  <c r="R191" i="42"/>
  <c r="S190" i="42"/>
  <c r="T190" i="42" s="1"/>
  <c r="S191" i="42"/>
  <c r="R192" i="42"/>
  <c r="S192" i="42"/>
  <c r="R193" i="42"/>
  <c r="T192" i="42"/>
  <c r="S193" i="42"/>
  <c r="T193" i="42"/>
  <c r="R194" i="42"/>
  <c r="S194" i="42"/>
  <c r="R195" i="42"/>
  <c r="R196" i="42"/>
  <c r="S195" i="42"/>
  <c r="T195" i="42" s="1"/>
  <c r="S196" i="42"/>
  <c r="T196" i="42" s="1"/>
  <c r="R197" i="42"/>
  <c r="S197" i="42"/>
  <c r="T197" i="42"/>
  <c r="R198" i="42"/>
  <c r="S198" i="42"/>
  <c r="T198" i="42" s="1"/>
  <c r="R199" i="42"/>
  <c r="S199" i="42"/>
  <c r="T199" i="42"/>
  <c r="R200" i="42"/>
  <c r="S200" i="42"/>
  <c r="R201" i="42"/>
  <c r="S201" i="42"/>
  <c r="T201" i="42" s="1"/>
  <c r="R202" i="42"/>
  <c r="R203" i="42"/>
  <c r="S202" i="42"/>
  <c r="S203" i="42"/>
  <c r="T203" i="42"/>
  <c r="R204" i="42"/>
  <c r="R205" i="42"/>
  <c r="S204" i="42"/>
  <c r="T204" i="42"/>
  <c r="R206" i="42"/>
  <c r="S205" i="42"/>
  <c r="R207" i="42"/>
  <c r="S206" i="42"/>
  <c r="T206" i="42" s="1"/>
  <c r="R208" i="42"/>
  <c r="S207" i="42"/>
  <c r="T207" i="42"/>
  <c r="S208" i="42"/>
  <c r="R209" i="42"/>
  <c r="T208" i="42"/>
  <c r="R210" i="42"/>
  <c r="S209" i="42"/>
  <c r="T209" i="42" s="1"/>
  <c r="R211" i="42"/>
  <c r="S210" i="42"/>
  <c r="T210" i="42" s="1"/>
  <c r="R212" i="42"/>
  <c r="S211" i="42"/>
  <c r="T211" i="42" s="1"/>
  <c r="R213" i="42"/>
  <c r="S212" i="42"/>
  <c r="T212" i="42" s="1"/>
  <c r="S213" i="42"/>
  <c r="R214" i="42"/>
  <c r="T213" i="42"/>
  <c r="S214" i="42"/>
  <c r="R215" i="42"/>
  <c r="T214" i="42"/>
  <c r="S215" i="42"/>
  <c r="R216" i="42"/>
  <c r="T215" i="42"/>
  <c r="S216" i="42"/>
  <c r="T216" i="42" s="1"/>
  <c r="R217" i="42"/>
  <c r="S217" i="42"/>
  <c r="R218" i="42"/>
  <c r="T217" i="42"/>
  <c r="S218" i="42"/>
  <c r="R219" i="42"/>
  <c r="R220" i="42"/>
  <c r="S219" i="42"/>
  <c r="T219" i="42" s="1"/>
  <c r="S220" i="42"/>
  <c r="R221" i="42"/>
  <c r="R222" i="42"/>
  <c r="S221" i="42"/>
  <c r="S222" i="42"/>
  <c r="R223" i="42"/>
  <c r="T222" i="42"/>
  <c r="S223" i="42"/>
  <c r="T223" i="42" s="1"/>
  <c r="R224" i="42"/>
  <c r="S224" i="42"/>
  <c r="T224" i="42" s="1"/>
  <c r="R225" i="42"/>
  <c r="S225" i="42"/>
  <c r="R226" i="42"/>
  <c r="T225" i="42"/>
  <c r="R227" i="42"/>
  <c r="S226" i="42"/>
  <c r="S227" i="42"/>
  <c r="R228" i="42"/>
  <c r="R229" i="42"/>
  <c r="S228" i="42"/>
  <c r="T228" i="42"/>
  <c r="S229" i="42"/>
  <c r="R230" i="42"/>
  <c r="R231" i="42"/>
  <c r="S230" i="42"/>
  <c r="T230" i="42" s="1"/>
  <c r="R232" i="42"/>
  <c r="S231" i="42"/>
  <c r="T231" i="42" s="1"/>
  <c r="R233" i="42"/>
  <c r="S232" i="42"/>
  <c r="R234" i="42"/>
  <c r="S233" i="42"/>
  <c r="T233" i="42"/>
  <c r="S234" i="42"/>
  <c r="R235" i="42"/>
  <c r="T234" i="42"/>
  <c r="S235" i="42"/>
  <c r="R236" i="42"/>
  <c r="T235" i="42"/>
  <c r="R237" i="42"/>
  <c r="S236" i="42"/>
  <c r="R238" i="42"/>
  <c r="S237" i="42"/>
  <c r="S238" i="42"/>
  <c r="T238" i="42" s="1"/>
  <c r="R239" i="42"/>
  <c r="R240" i="42"/>
  <c r="S239" i="42"/>
  <c r="T239" i="42" s="1"/>
  <c r="S240" i="42"/>
  <c r="R241" i="42"/>
  <c r="R242" i="42"/>
  <c r="S241" i="42"/>
  <c r="T241" i="42"/>
  <c r="R243" i="42"/>
  <c r="S242" i="42"/>
  <c r="T242" i="42" s="1"/>
  <c r="R244" i="42"/>
  <c r="S243" i="42"/>
  <c r="T243" i="42" s="1"/>
  <c r="S244" i="42"/>
  <c r="R245" i="42"/>
  <c r="R246" i="42"/>
  <c r="S245" i="42"/>
  <c r="T245" i="42"/>
  <c r="R247" i="42"/>
  <c r="S246" i="42"/>
  <c r="T246" i="42" s="1"/>
  <c r="R248" i="42"/>
  <c r="S247" i="42"/>
  <c r="T247" i="42"/>
  <c r="R249" i="42"/>
  <c r="S248" i="42"/>
  <c r="R250" i="42"/>
  <c r="S249" i="42"/>
  <c r="T249" i="42" s="1"/>
  <c r="S250" i="42"/>
  <c r="R251" i="42"/>
  <c r="S251" i="42"/>
  <c r="R252" i="42"/>
  <c r="T251" i="42"/>
  <c r="R253" i="42"/>
  <c r="S252" i="42"/>
  <c r="T252" i="42" s="1"/>
  <c r="S253" i="42"/>
  <c r="R254" i="42"/>
  <c r="S254" i="42"/>
  <c r="T254" i="42" s="1"/>
  <c r="R255" i="42"/>
  <c r="R256" i="42"/>
  <c r="S255" i="42"/>
  <c r="T255" i="42" s="1"/>
  <c r="R257" i="42"/>
  <c r="S256" i="42"/>
  <c r="S257" i="42"/>
  <c r="T257" i="42" s="1"/>
  <c r="R258" i="42"/>
  <c r="S258" i="42"/>
  <c r="T258" i="42" s="1"/>
  <c r="R259" i="42"/>
  <c r="S259" i="42"/>
  <c r="R260" i="42"/>
  <c r="T259" i="42"/>
  <c r="R261" i="42"/>
  <c r="S260" i="42"/>
  <c r="T260" i="42" s="1"/>
  <c r="I21" i="29" l="1"/>
  <c r="S261" i="42"/>
  <c r="T261" i="42" s="1"/>
  <c r="T236" i="42"/>
  <c r="T205" i="42"/>
  <c r="T181" i="42"/>
  <c r="T148" i="42"/>
  <c r="T116" i="42"/>
  <c r="T77" i="42"/>
  <c r="T45" i="42"/>
  <c r="T256" i="42"/>
  <c r="T232" i="42"/>
  <c r="T202" i="42"/>
  <c r="T178" i="42"/>
  <c r="T145" i="42"/>
  <c r="T114" i="42"/>
  <c r="T72" i="42"/>
  <c r="T40" i="42"/>
  <c r="T253" i="42"/>
  <c r="T229" i="42"/>
  <c r="T200" i="42"/>
  <c r="T173" i="42"/>
  <c r="T138" i="42"/>
  <c r="T111" i="42"/>
  <c r="T69" i="42"/>
  <c r="T37" i="42"/>
  <c r="T250" i="42"/>
  <c r="T227" i="42"/>
  <c r="T194" i="42"/>
  <c r="T172" i="42"/>
  <c r="T136" i="42"/>
  <c r="T109" i="42"/>
  <c r="T59" i="42"/>
  <c r="T32" i="42"/>
  <c r="T248" i="42"/>
  <c r="T226" i="42"/>
  <c r="T191" i="42"/>
  <c r="T170" i="42"/>
  <c r="T132" i="42"/>
  <c r="T104" i="42"/>
  <c r="T56" i="42"/>
  <c r="T29" i="42"/>
  <c r="T244" i="42"/>
  <c r="T221" i="42"/>
  <c r="T189" i="42"/>
  <c r="T165" i="42"/>
  <c r="T125" i="42"/>
  <c r="T103" i="42"/>
  <c r="T53" i="42"/>
  <c r="T18" i="42"/>
  <c r="T240" i="42"/>
  <c r="T220" i="42"/>
  <c r="T187" i="42"/>
  <c r="T160" i="42"/>
  <c r="T123" i="42"/>
  <c r="T99" i="42"/>
  <c r="T51" i="42"/>
  <c r="T8" i="42"/>
  <c r="T237" i="42"/>
  <c r="T218" i="42"/>
  <c r="T186" i="42"/>
  <c r="T149" i="42"/>
  <c r="T122" i="42"/>
  <c r="T50" i="42"/>
  <c r="E6" i="42"/>
  <c r="T85" i="42"/>
  <c r="T12" i="56" a="1"/>
  <c r="F6" i="42"/>
  <c r="C7" i="42"/>
  <c r="E7" i="42" s="1"/>
  <c r="G6" i="42"/>
  <c r="F7" i="42"/>
  <c r="C8" i="42"/>
  <c r="E8" i="42" s="1"/>
  <c r="G7" i="42"/>
  <c r="C9" i="42"/>
  <c r="E9" i="42" s="1"/>
  <c r="F8" i="42"/>
  <c r="F9" i="42"/>
  <c r="G9" i="42"/>
  <c r="C10" i="42"/>
  <c r="E10" i="42" s="1"/>
  <c r="G8" i="42"/>
  <c r="C11" i="42"/>
  <c r="E11" i="42" s="1"/>
  <c r="F10" i="42"/>
  <c r="F11" i="42"/>
  <c r="C12" i="42"/>
  <c r="E12" i="42" s="1"/>
  <c r="G10" i="42"/>
  <c r="G11" i="42"/>
  <c r="F12" i="42"/>
  <c r="C13" i="42"/>
  <c r="E13" i="42" s="1"/>
  <c r="G12" i="42"/>
  <c r="F13" i="42"/>
  <c r="G13" i="42"/>
  <c r="T16" i="56" l="1"/>
  <c r="T21" i="56"/>
  <c r="T18" i="56"/>
  <c r="T15" i="56"/>
  <c r="T24" i="56"/>
  <c r="T19" i="56"/>
  <c r="T23" i="56"/>
  <c r="T25" i="56"/>
  <c r="T14" i="56"/>
  <c r="T26" i="56"/>
  <c r="T12" i="56"/>
  <c r="T17" i="56"/>
  <c r="T22" i="56"/>
  <c r="T13" i="56"/>
  <c r="T20" i="56"/>
  <c r="M5" i="33"/>
  <c r="M4" i="33"/>
  <c r="M6" i="33"/>
  <c r="M3" i="33"/>
  <c r="M7" i="33"/>
  <c r="N2" i="33" s="1"/>
  <c r="M15" i="33" l="1"/>
  <c r="M22" i="33"/>
  <c r="M16" i="33"/>
  <c r="M20" i="33"/>
  <c r="M21" i="33"/>
  <c r="M23" i="33"/>
  <c r="M18" i="33"/>
  <c r="M19" i="33"/>
  <c r="M17" i="33"/>
  <c r="M24" i="33"/>
  <c r="M14" i="33" l="1"/>
  <c r="M13" i="33"/>
  <c r="M11" i="33"/>
  <c r="M10" i="33"/>
  <c r="M12" i="33"/>
  <c r="M9" i="33"/>
  <c r="M8" i="33"/>
  <c r="I22" i="29" l="1"/>
  <c r="J13" i="42"/>
  <c r="I13" i="42"/>
  <c r="J12" i="42"/>
  <c r="I12" i="42"/>
  <c r="J11" i="42"/>
  <c r="J10" i="42"/>
  <c r="I11" i="42"/>
  <c r="I10" i="42"/>
  <c r="J8" i="42"/>
  <c r="J9" i="42"/>
  <c r="I9" i="42"/>
  <c r="I8" i="42"/>
  <c r="J7" i="42"/>
  <c r="I7" i="42"/>
  <c r="J6" i="42"/>
  <c r="W159" i="42"/>
  <c r="W235" i="42"/>
  <c r="V257" i="42"/>
  <c r="V130" i="42"/>
  <c r="W178" i="42"/>
  <c r="V172" i="42"/>
  <c r="V105" i="42"/>
  <c r="W231" i="42"/>
  <c r="W215" i="42"/>
  <c r="W28" i="42"/>
  <c r="W171" i="42"/>
  <c r="W119" i="42"/>
  <c r="V64" i="42"/>
  <c r="W112" i="42"/>
  <c r="W234" i="42"/>
  <c r="V98" i="42"/>
  <c r="V145" i="42"/>
  <c r="W120" i="42"/>
  <c r="V97" i="42"/>
  <c r="V252" i="42"/>
  <c r="W191" i="42"/>
  <c r="W259" i="42"/>
  <c r="V6" i="42"/>
  <c r="V155" i="42"/>
  <c r="V88" i="42"/>
  <c r="V193" i="42"/>
  <c r="V104" i="42"/>
  <c r="W135" i="42"/>
  <c r="V228" i="42"/>
  <c r="V232" i="42"/>
  <c r="V71" i="42"/>
  <c r="W20" i="42"/>
  <c r="V230" i="42"/>
  <c r="V106" i="42"/>
  <c r="W73" i="42"/>
  <c r="K18" i="43"/>
  <c r="W95" i="42"/>
  <c r="V44" i="42"/>
  <c r="V159" i="42"/>
  <c r="W92" i="42"/>
  <c r="W196" i="42"/>
  <c r="Q7" i="56"/>
  <c r="H21" i="57"/>
  <c r="Q4" i="56"/>
  <c r="F7" i="43"/>
  <c r="K20" i="43"/>
  <c r="U33" i="56"/>
  <c r="V42" i="42"/>
  <c r="W201" i="42"/>
  <c r="Q6" i="56"/>
  <c r="H22" i="57"/>
  <c r="V78" i="42"/>
  <c r="V29" i="42"/>
  <c r="V146" i="42"/>
  <c r="W109" i="42"/>
  <c r="L18" i="59"/>
  <c r="V107" i="42"/>
  <c r="H12" i="42"/>
  <c r="W258" i="42"/>
  <c r="W50" i="42"/>
  <c r="W14" i="42"/>
  <c r="V89" i="42"/>
  <c r="V217" i="42"/>
  <c r="S35" i="56"/>
  <c r="V55" i="42"/>
  <c r="W38" i="42"/>
  <c r="W91" i="42"/>
  <c r="W101" i="42"/>
  <c r="W4" i="42"/>
  <c r="K19" i="43"/>
  <c r="V256" i="42"/>
  <c r="W131" i="42"/>
  <c r="W180" i="42"/>
  <c r="V143" i="42"/>
  <c r="V144" i="42"/>
  <c r="V185" i="42"/>
  <c r="G6" i="43"/>
  <c r="V79" i="42"/>
  <c r="V181" i="42"/>
  <c r="W213" i="42"/>
  <c r="W199" i="42"/>
  <c r="W31" i="42"/>
  <c r="W21" i="42"/>
  <c r="W253" i="42"/>
  <c r="V76" i="42"/>
  <c r="W53" i="42"/>
  <c r="D3" i="59"/>
  <c r="W129" i="42"/>
  <c r="W144" i="42"/>
  <c r="V63" i="42"/>
  <c r="V20" i="42"/>
  <c r="W226" i="42"/>
  <c r="V236" i="42"/>
  <c r="W104" i="42"/>
  <c r="V95" i="42"/>
  <c r="W200" i="42"/>
  <c r="W69" i="42"/>
  <c r="F5" i="43"/>
  <c r="W6" i="42"/>
  <c r="H5" i="42"/>
  <c r="W152" i="42"/>
  <c r="V32" i="56"/>
  <c r="V225" i="42"/>
  <c r="W182" i="42"/>
  <c r="V245" i="42"/>
  <c r="G4" i="43"/>
  <c r="S34" i="56"/>
  <c r="V194" i="42"/>
  <c r="K15" i="43"/>
  <c r="V31" i="56"/>
  <c r="V52" i="42"/>
  <c r="W203" i="42"/>
  <c r="W59" i="42"/>
  <c r="V258" i="42"/>
  <c r="W122" i="42"/>
  <c r="V8" i="42"/>
  <c r="V61" i="42"/>
  <c r="W161" i="42"/>
  <c r="V73" i="42"/>
  <c r="V13" i="42"/>
  <c r="V212" i="42"/>
  <c r="W257" i="42"/>
  <c r="L17" i="43"/>
  <c r="V101" i="42"/>
  <c r="W40" i="42"/>
  <c r="W108" i="42"/>
  <c r="V70" i="42"/>
  <c r="V219" i="42"/>
  <c r="V152" i="42"/>
  <c r="W256" i="42"/>
  <c r="H9" i="42"/>
  <c r="V96" i="42"/>
  <c r="W12" i="42"/>
  <c r="V17" i="42"/>
  <c r="W26" i="42"/>
  <c r="W211" i="42"/>
  <c r="V251" i="42"/>
  <c r="H11" i="42"/>
  <c r="U35" i="56"/>
  <c r="V233" i="42"/>
  <c r="J5" i="42"/>
  <c r="V10" i="42"/>
  <c r="W222" i="42"/>
  <c r="V156" i="42"/>
  <c r="V261" i="42"/>
  <c r="W41" i="42"/>
  <c r="V137" i="42"/>
  <c r="W76" i="42"/>
  <c r="W116" i="42"/>
  <c r="W84" i="42"/>
  <c r="V166" i="42"/>
  <c r="W74" i="42"/>
  <c r="W15" i="42"/>
  <c r="W205" i="42"/>
  <c r="G22" i="57"/>
  <c r="V142" i="42"/>
  <c r="W123" i="42"/>
  <c r="V210" i="42"/>
  <c r="H24" i="57"/>
  <c r="V22" i="42"/>
  <c r="W170" i="42"/>
  <c r="V12" i="42"/>
  <c r="V30" i="56"/>
  <c r="V115" i="42"/>
  <c r="G15" i="57"/>
  <c r="V153" i="42"/>
  <c r="W78" i="42"/>
  <c r="P6" i="56"/>
  <c r="V119" i="42"/>
  <c r="L19" i="59"/>
  <c r="V157" i="42"/>
  <c r="G5" i="43"/>
  <c r="W261" i="42"/>
  <c r="W228" i="42"/>
  <c r="V169" i="42"/>
  <c r="V45" i="42"/>
  <c r="W121" i="42"/>
  <c r="V249" i="42"/>
  <c r="K16" i="59"/>
  <c r="W177" i="42"/>
  <c r="W27" i="42"/>
  <c r="W179" i="42"/>
  <c r="W93" i="42"/>
  <c r="L16" i="59"/>
  <c r="V57" i="42"/>
  <c r="W48" i="42"/>
  <c r="V208" i="42"/>
  <c r="W10" i="42"/>
  <c r="V231" i="42"/>
  <c r="E3" i="58"/>
  <c r="W33" i="42"/>
  <c r="V16" i="42"/>
  <c r="V91" i="42"/>
  <c r="P8" i="56"/>
  <c r="V165" i="42"/>
  <c r="V133" i="42"/>
  <c r="W17" i="42"/>
  <c r="H18" i="57"/>
  <c r="V82" i="42"/>
  <c r="W210" i="42"/>
  <c r="V25" i="42"/>
  <c r="W219" i="42"/>
  <c r="V188" i="42"/>
  <c r="W239" i="42"/>
  <c r="V53" i="42"/>
  <c r="D3" i="57"/>
  <c r="W186" i="42"/>
  <c r="V226" i="42"/>
  <c r="V141" i="42"/>
  <c r="V108" i="42"/>
  <c r="V198" i="42"/>
  <c r="G19" i="57"/>
  <c r="W44" i="42"/>
  <c r="V134" i="42"/>
  <c r="W54" i="42"/>
  <c r="V216" i="42"/>
  <c r="V92" i="42"/>
  <c r="W37" i="42"/>
  <c r="V255" i="42"/>
  <c r="W140" i="42"/>
  <c r="V209" i="42"/>
  <c r="V218" i="42"/>
  <c r="V21" i="42"/>
  <c r="V51" i="42"/>
  <c r="V191" i="42"/>
  <c r="V238" i="42"/>
  <c r="W141" i="42"/>
  <c r="V173" i="42"/>
  <c r="V74" i="42"/>
  <c r="V67" i="42"/>
  <c r="V220" i="42"/>
  <c r="V34" i="56"/>
  <c r="V99" i="42"/>
  <c r="G21" i="57"/>
  <c r="V77" i="42"/>
  <c r="V90" i="42"/>
  <c r="K17" i="59"/>
  <c r="W187" i="42"/>
  <c r="W255" i="42"/>
  <c r="S33" i="56"/>
  <c r="J4" i="42"/>
  <c r="W236" i="42"/>
  <c r="V206" i="42"/>
  <c r="W46" i="42"/>
  <c r="P5" i="56"/>
  <c r="V60" i="42"/>
  <c r="W85" i="42"/>
  <c r="V235" i="42"/>
  <c r="W249" i="42"/>
  <c r="V30" i="42"/>
  <c r="V179" i="42"/>
  <c r="W111" i="42"/>
  <c r="W216" i="42"/>
  <c r="V32" i="42"/>
  <c r="V34" i="42"/>
  <c r="W183" i="42"/>
  <c r="W115" i="42"/>
  <c r="V221" i="42"/>
  <c r="W79" i="42"/>
  <c r="S32" i="56"/>
  <c r="W100" i="42"/>
  <c r="V41" i="42"/>
  <c r="V109" i="42"/>
  <c r="V86" i="42"/>
  <c r="V223" i="42"/>
  <c r="W174" i="42"/>
  <c r="W88" i="42"/>
  <c r="V227" i="42"/>
  <c r="W29" i="42"/>
  <c r="G24" i="57"/>
  <c r="V49" i="42"/>
  <c r="W204" i="42"/>
  <c r="V117" i="42"/>
  <c r="W190" i="42"/>
  <c r="V36" i="42"/>
  <c r="P3" i="56"/>
  <c r="H3" i="58"/>
  <c r="V72" i="42"/>
  <c r="W230" i="42"/>
  <c r="W166" i="42"/>
  <c r="V168" i="42"/>
  <c r="W132" i="42"/>
  <c r="U30" i="56"/>
  <c r="W260" i="42"/>
  <c r="W192" i="42"/>
  <c r="V14" i="42"/>
  <c r="V43" i="42"/>
  <c r="W242" i="42"/>
  <c r="V254" i="42"/>
  <c r="U34" i="56"/>
  <c r="H19" i="57"/>
  <c r="W7" i="42"/>
  <c r="W240" i="42"/>
  <c r="V112" i="42"/>
  <c r="W150" i="42"/>
  <c r="G20" i="57"/>
  <c r="V125" i="42"/>
  <c r="V201" i="42"/>
  <c r="V54" i="42"/>
  <c r="V38" i="42"/>
  <c r="K21" i="43"/>
  <c r="V23" i="42"/>
  <c r="W251" i="42"/>
  <c r="W60" i="42"/>
  <c r="W188" i="42"/>
  <c r="W229" i="42"/>
  <c r="K15" i="59"/>
  <c r="L21" i="43"/>
  <c r="W245" i="42"/>
  <c r="L19" i="43"/>
  <c r="W58" i="42"/>
  <c r="H20" i="57"/>
  <c r="V229" i="42"/>
  <c r="W169" i="42"/>
  <c r="Q8" i="56"/>
  <c r="W198" i="42"/>
  <c r="W238" i="42"/>
  <c r="W25" i="42"/>
  <c r="I6" i="42"/>
  <c r="V102" i="42"/>
  <c r="W8" i="42"/>
  <c r="H13" i="42"/>
  <c r="H6" i="42"/>
  <c r="V47" i="42"/>
  <c r="V213" i="42"/>
  <c r="V248" i="42"/>
  <c r="W163" i="42"/>
  <c r="W130" i="42"/>
  <c r="W39" i="42"/>
  <c r="W81" i="42"/>
  <c r="V138" i="42"/>
  <c r="W250" i="42"/>
  <c r="W90" i="42"/>
  <c r="W5" i="42"/>
  <c r="V200" i="42"/>
  <c r="V46" i="42"/>
  <c r="L15" i="43"/>
  <c r="W30" i="42"/>
  <c r="V85" i="42"/>
  <c r="W223" i="42"/>
  <c r="W227" i="42"/>
  <c r="W202" i="42"/>
  <c r="V178" i="42"/>
  <c r="W145" i="42"/>
  <c r="Q9" i="56"/>
  <c r="V237" i="42"/>
  <c r="W194" i="42"/>
  <c r="V175" i="42"/>
  <c r="W149" i="42"/>
  <c r="V123" i="42"/>
  <c r="W220" i="42"/>
  <c r="V94" i="42"/>
  <c r="V243" i="42"/>
  <c r="V176" i="42"/>
  <c r="W18" i="42"/>
  <c r="V3" i="42"/>
  <c r="W97" i="42"/>
  <c r="V247" i="42"/>
  <c r="V180" i="42"/>
  <c r="W82" i="42"/>
  <c r="K18" i="59"/>
  <c r="V234" i="42"/>
  <c r="W9" i="42"/>
  <c r="W77" i="42"/>
  <c r="W16" i="42"/>
  <c r="W247" i="42"/>
  <c r="W138" i="42"/>
  <c r="V26" i="42"/>
  <c r="V203" i="42"/>
  <c r="V11" i="42"/>
  <c r="V122" i="42"/>
  <c r="W118" i="42"/>
  <c r="W52" i="42"/>
  <c r="V121" i="42"/>
  <c r="V83" i="42"/>
  <c r="V211" i="42"/>
  <c r="L20" i="43"/>
  <c r="V140" i="42"/>
  <c r="D3" i="43"/>
  <c r="W67" i="42"/>
  <c r="W224" i="42"/>
  <c r="V129" i="42"/>
  <c r="W181" i="42"/>
  <c r="V164" i="42"/>
  <c r="V196" i="42"/>
  <c r="V116" i="42"/>
  <c r="V33" i="56"/>
  <c r="W87" i="42"/>
  <c r="W153" i="42"/>
  <c r="W124" i="42"/>
  <c r="W252" i="42"/>
  <c r="W105" i="42"/>
  <c r="W173" i="42"/>
  <c r="W176" i="42"/>
  <c r="F6" i="43"/>
  <c r="W147" i="42"/>
  <c r="V160" i="42"/>
  <c r="V170" i="42"/>
  <c r="W137" i="42"/>
  <c r="W13" i="42"/>
  <c r="W55" i="42"/>
  <c r="W127" i="42"/>
  <c r="W23" i="42"/>
  <c r="W64" i="42"/>
  <c r="W165" i="42"/>
  <c r="W136" i="42"/>
  <c r="V205" i="42"/>
  <c r="W80" i="42"/>
  <c r="V239" i="42"/>
  <c r="H17" i="57"/>
  <c r="W96" i="42"/>
  <c r="V124" i="42"/>
  <c r="W86" i="42"/>
  <c r="V242" i="42"/>
  <c r="W208" i="42"/>
  <c r="V202" i="42"/>
  <c r="V132" i="42"/>
  <c r="V40" i="42"/>
  <c r="V69" i="42"/>
  <c r="W189" i="42"/>
  <c r="W237" i="42"/>
  <c r="V114" i="42"/>
  <c r="V111" i="42"/>
  <c r="W22" i="42"/>
  <c r="V184" i="42"/>
  <c r="W43" i="42"/>
  <c r="V128" i="42"/>
  <c r="W71" i="42"/>
  <c r="V246" i="42"/>
  <c r="V183" i="42"/>
  <c r="G17" i="57"/>
  <c r="V39" i="42"/>
  <c r="V35" i="56"/>
  <c r="V214" i="42"/>
  <c r="V24" i="42"/>
  <c r="V59" i="42"/>
  <c r="W158" i="42"/>
  <c r="W146" i="42"/>
  <c r="V240" i="42"/>
  <c r="V48" i="42"/>
  <c r="V62" i="42"/>
  <c r="V162" i="42"/>
  <c r="W162" i="42"/>
  <c r="V244" i="42"/>
  <c r="V93" i="42"/>
  <c r="W35" i="42"/>
  <c r="W62" i="42"/>
  <c r="W94" i="42"/>
  <c r="W49" i="42"/>
  <c r="V182" i="42"/>
  <c r="W185" i="42"/>
  <c r="G18" i="57"/>
  <c r="V177" i="42"/>
  <c r="V150" i="42"/>
  <c r="V15" i="42"/>
  <c r="V147" i="42"/>
  <c r="V241" i="42"/>
  <c r="K17" i="43"/>
  <c r="W117" i="42"/>
  <c r="V186" i="42"/>
  <c r="V158" i="42"/>
  <c r="W47" i="42"/>
  <c r="V19" i="42"/>
  <c r="E3" i="42"/>
  <c r="W212" i="42"/>
  <c r="V151" i="42"/>
  <c r="W51" i="42"/>
  <c r="W139" i="42"/>
  <c r="V28" i="42"/>
  <c r="W66" i="42"/>
  <c r="W113" i="42"/>
  <c r="V192" i="42"/>
  <c r="W128" i="42"/>
  <c r="V9" i="42"/>
  <c r="V50" i="42"/>
  <c r="V148" i="42"/>
  <c r="W184" i="42"/>
  <c r="L18" i="43"/>
  <c r="W36" i="42"/>
  <c r="V87" i="42"/>
  <c r="W134" i="42"/>
  <c r="H8" i="42"/>
  <c r="V171" i="42"/>
  <c r="W195" i="42"/>
  <c r="V5" i="42"/>
  <c r="W133" i="42"/>
  <c r="V224" i="42"/>
  <c r="V204" i="42"/>
  <c r="H23" i="57"/>
  <c r="V135" i="42"/>
  <c r="V58" i="42"/>
  <c r="W32" i="42"/>
  <c r="W164" i="42"/>
  <c r="K19" i="59"/>
  <c r="W214" i="42"/>
  <c r="V35" i="42"/>
  <c r="Q5" i="56"/>
  <c r="Q13" i="56" s="1" a="1"/>
  <c r="W102" i="42"/>
  <c r="W110" i="42"/>
  <c r="U32" i="56"/>
  <c r="W142" i="42"/>
  <c r="V174" i="42"/>
  <c r="W221" i="42"/>
  <c r="W70" i="42"/>
  <c r="L15" i="59"/>
  <c r="W24" i="42"/>
  <c r="V126" i="42"/>
  <c r="W225" i="42"/>
  <c r="W75" i="42"/>
  <c r="W19" i="42"/>
  <c r="W156" i="42"/>
  <c r="W160" i="42"/>
  <c r="V187" i="42"/>
  <c r="V195" i="42"/>
  <c r="V103" i="42"/>
  <c r="W57" i="42"/>
  <c r="W3" i="42"/>
  <c r="V136" i="42"/>
  <c r="W61" i="42"/>
  <c r="W248" i="42"/>
  <c r="S31" i="56"/>
  <c r="W243" i="42"/>
  <c r="G7" i="43"/>
  <c r="W56" i="42"/>
  <c r="W125" i="42"/>
  <c r="W206" i="42"/>
  <c r="W11" i="42"/>
  <c r="H10" i="42"/>
  <c r="U31" i="56"/>
  <c r="W42" i="42"/>
  <c r="W175" i="42"/>
  <c r="L17" i="59"/>
  <c r="V80" i="42"/>
  <c r="V189" i="42"/>
  <c r="W233" i="42"/>
  <c r="W103" i="42"/>
  <c r="W154" i="42"/>
  <c r="V120" i="42"/>
  <c r="W126" i="42"/>
  <c r="W114" i="42"/>
  <c r="W157" i="42"/>
  <c r="S30" i="56"/>
  <c r="H7" i="42"/>
  <c r="W209" i="42"/>
  <c r="W65" i="42"/>
  <c r="V215" i="42"/>
  <c r="W148" i="42"/>
  <c r="V253" i="42"/>
  <c r="P9" i="56"/>
  <c r="V163" i="42"/>
  <c r="V100" i="42"/>
  <c r="V84" i="42"/>
  <c r="W218" i="42"/>
  <c r="V149" i="42"/>
  <c r="P4" i="56"/>
  <c r="W83" i="42"/>
  <c r="V259" i="42"/>
  <c r="V7" i="42"/>
  <c r="V27" i="42"/>
  <c r="W254" i="42"/>
  <c r="V65" i="42"/>
  <c r="W193" i="42"/>
  <c r="W168" i="42"/>
  <c r="V110" i="42"/>
  <c r="W241" i="42"/>
  <c r="H16" i="57"/>
  <c r="W246" i="42"/>
  <c r="K16" i="43"/>
  <c r="I5" i="42"/>
  <c r="V4" i="42"/>
  <c r="W63" i="42"/>
  <c r="W107" i="42"/>
  <c r="V118" i="42"/>
  <c r="V31" i="42"/>
  <c r="V260" i="42"/>
  <c r="W68" i="42"/>
  <c r="V197" i="42"/>
  <c r="W72" i="42"/>
  <c r="W197" i="42"/>
  <c r="V81" i="42"/>
  <c r="P7" i="56"/>
  <c r="V56" i="42"/>
  <c r="V161" i="42"/>
  <c r="V37" i="42"/>
  <c r="W232" i="42"/>
  <c r="W106" i="42"/>
  <c r="V68" i="42"/>
  <c r="W98" i="42"/>
  <c r="V18" i="42"/>
  <c r="V167" i="42"/>
  <c r="W172" i="42"/>
  <c r="V207" i="42"/>
  <c r="W207" i="42"/>
  <c r="H15" i="57"/>
  <c r="W34" i="42"/>
  <c r="W151" i="42"/>
  <c r="I4" i="42"/>
  <c r="W89" i="42"/>
  <c r="V190" i="42"/>
  <c r="W45" i="42"/>
  <c r="W155" i="42"/>
  <c r="F4" i="43"/>
  <c r="V66" i="42"/>
  <c r="V33" i="42"/>
  <c r="G16" i="57"/>
  <c r="W167" i="42"/>
  <c r="V199" i="42"/>
  <c r="V139" i="42"/>
  <c r="V154" i="42"/>
  <c r="W99" i="42"/>
  <c r="W143" i="42"/>
  <c r="V131" i="42"/>
  <c r="V113" i="42"/>
  <c r="G23" i="57"/>
  <c r="V250" i="42"/>
  <c r="L16" i="43"/>
  <c r="W244" i="42"/>
  <c r="V127" i="42"/>
  <c r="V222" i="42"/>
  <c r="W217" i="42"/>
  <c r="V75" i="42"/>
  <c r="H4" i="42"/>
  <c r="N15" i="33"/>
  <c r="N8" i="33"/>
  <c r="F3" i="59"/>
  <c r="K3" i="59"/>
  <c r="E3" i="59"/>
  <c r="F3" i="58"/>
  <c r="I3" i="58"/>
  <c r="G3" i="57"/>
  <c r="E3" i="57"/>
  <c r="H3" i="57" s="1"/>
  <c r="F3" i="43"/>
  <c r="K3" i="43"/>
  <c r="E3" i="43"/>
  <c r="H3" i="59"/>
  <c r="G3" i="59"/>
  <c r="L3" i="59"/>
  <c r="G3" i="58"/>
  <c r="J3" i="58"/>
  <c r="H3" i="43"/>
  <c r="L3" i="43"/>
  <c r="G3" i="43"/>
  <c r="O3" i="43" l="1"/>
  <c r="N3" i="43"/>
  <c r="M3" i="43"/>
  <c r="M3" i="59"/>
  <c r="O3" i="59"/>
  <c r="N3" i="59"/>
  <c r="I3" i="43"/>
  <c r="I3" i="57"/>
  <c r="J3" i="57"/>
  <c r="K3" i="57"/>
  <c r="K3" i="58"/>
  <c r="L3" i="58" s="1"/>
  <c r="I3" i="59"/>
  <c r="X75" i="42"/>
  <c r="X222" i="42"/>
  <c r="X127" i="42"/>
  <c r="X250" i="42"/>
  <c r="I23" i="57"/>
  <c r="X113" i="42"/>
  <c r="X131" i="42"/>
  <c r="X154" i="42"/>
  <c r="X139" i="42"/>
  <c r="X199" i="42"/>
  <c r="I16" i="57"/>
  <c r="X33" i="42"/>
  <c r="X66" i="42"/>
  <c r="I4" i="43"/>
  <c r="X190" i="42"/>
  <c r="K4" i="42"/>
  <c r="L4" i="42" s="1"/>
  <c r="X207" i="42"/>
  <c r="X167" i="42"/>
  <c r="X18" i="42"/>
  <c r="X68" i="42"/>
  <c r="X37" i="42"/>
  <c r="X161" i="42"/>
  <c r="X56" i="42"/>
  <c r="X81" i="42"/>
  <c r="X197" i="42"/>
  <c r="X260" i="42"/>
  <c r="X31" i="42"/>
  <c r="X118" i="42"/>
  <c r="X4" i="42"/>
  <c r="K5" i="42"/>
  <c r="L5" i="42" s="1"/>
  <c r="M16" i="43"/>
  <c r="X110" i="42"/>
  <c r="X65" i="42"/>
  <c r="X27" i="42"/>
  <c r="X7" i="42"/>
  <c r="X259" i="42"/>
  <c r="X149" i="42"/>
  <c r="X84" i="42"/>
  <c r="X100" i="42"/>
  <c r="X163" i="42"/>
  <c r="X253" i="42"/>
  <c r="X215" i="42"/>
  <c r="X120" i="42"/>
  <c r="X189" i="42"/>
  <c r="X80" i="42"/>
  <c r="T31" i="56"/>
  <c r="X31" i="56" s="1"/>
  <c r="X136" i="42"/>
  <c r="X103" i="42"/>
  <c r="X195" i="42"/>
  <c r="X187" i="42"/>
  <c r="X126" i="42"/>
  <c r="X174" i="42"/>
  <c r="T32" i="56"/>
  <c r="W32" i="56" s="1"/>
  <c r="F6" i="57" s="1"/>
  <c r="Q24" i="56"/>
  <c r="Q19" i="56"/>
  <c r="Q14" i="56"/>
  <c r="Q22" i="56"/>
  <c r="Q23" i="56"/>
  <c r="Q17" i="56"/>
  <c r="Q13" i="56"/>
  <c r="Q25" i="56"/>
  <c r="Q18" i="56"/>
  <c r="Q16" i="56"/>
  <c r="Q20" i="56"/>
  <c r="Q15" i="56"/>
  <c r="Q26" i="56"/>
  <c r="Q21" i="56"/>
  <c r="X35" i="42"/>
  <c r="M19" i="59"/>
  <c r="X58" i="42"/>
  <c r="X135" i="42"/>
  <c r="X204" i="42"/>
  <c r="X224" i="42"/>
  <c r="X5" i="42"/>
  <c r="X171" i="42"/>
  <c r="X87" i="42"/>
  <c r="X148" i="42"/>
  <c r="X50" i="42"/>
  <c r="X9" i="42"/>
  <c r="X192" i="42"/>
  <c r="X28" i="42"/>
  <c r="X151" i="42"/>
  <c r="X19" i="42"/>
  <c r="X158" i="42"/>
  <c r="X186" i="42"/>
  <c r="M17" i="43"/>
  <c r="X241" i="42"/>
  <c r="X147" i="42"/>
  <c r="X15" i="42"/>
  <c r="X150" i="42"/>
  <c r="X177" i="42"/>
  <c r="I18" i="57"/>
  <c r="X182" i="42"/>
  <c r="X93" i="42"/>
  <c r="X244" i="42"/>
  <c r="X162" i="42"/>
  <c r="X62" i="42"/>
  <c r="X48" i="42"/>
  <c r="X240" i="42"/>
  <c r="X59" i="42"/>
  <c r="X24" i="42"/>
  <c r="X214" i="42"/>
  <c r="X39" i="42"/>
  <c r="I17" i="57"/>
  <c r="X183" i="42"/>
  <c r="X246" i="42"/>
  <c r="X128" i="42"/>
  <c r="X184" i="42"/>
  <c r="X111" i="42"/>
  <c r="X114" i="42"/>
  <c r="X69" i="42"/>
  <c r="X40" i="42"/>
  <c r="X132" i="42"/>
  <c r="X202" i="42"/>
  <c r="X242" i="42"/>
  <c r="X124" i="42"/>
  <c r="X239" i="42"/>
  <c r="X205" i="42"/>
  <c r="X170" i="42"/>
  <c r="X160" i="42"/>
  <c r="I6" i="43"/>
  <c r="X116" i="42"/>
  <c r="X196" i="42"/>
  <c r="X164" i="42"/>
  <c r="X129" i="42"/>
  <c r="X140" i="42"/>
  <c r="X211" i="42"/>
  <c r="X83" i="42"/>
  <c r="X121" i="42"/>
  <c r="X122" i="42"/>
  <c r="X11" i="42"/>
  <c r="X203" i="42"/>
  <c r="X26" i="42"/>
  <c r="X234" i="42"/>
  <c r="M18" i="59"/>
  <c r="X180" i="42"/>
  <c r="X247" i="42"/>
  <c r="X3" i="42"/>
  <c r="X176" i="42"/>
  <c r="X243" i="42"/>
  <c r="X94" i="42"/>
  <c r="X123" i="42"/>
  <c r="X175" i="42"/>
  <c r="X237" i="42"/>
  <c r="X178" i="42"/>
  <c r="X85" i="42"/>
  <c r="X46" i="42"/>
  <c r="X200" i="42"/>
  <c r="X138" i="42"/>
  <c r="X248" i="42"/>
  <c r="X213" i="42"/>
  <c r="X47" i="42"/>
  <c r="X102" i="42"/>
  <c r="K6" i="42"/>
  <c r="L6" i="42" s="1"/>
  <c r="X229" i="42"/>
  <c r="M15" i="59"/>
  <c r="X23" i="42"/>
  <c r="M21" i="43"/>
  <c r="X38" i="42"/>
  <c r="X54" i="42"/>
  <c r="X201" i="42"/>
  <c r="X125" i="42"/>
  <c r="I20" i="57"/>
  <c r="X112" i="42"/>
  <c r="T34" i="56"/>
  <c r="W34" i="56" s="1"/>
  <c r="X254" i="42"/>
  <c r="X43" i="42"/>
  <c r="X14" i="42"/>
  <c r="T30" i="56"/>
  <c r="X30" i="56" s="1"/>
  <c r="X168" i="42"/>
  <c r="X72" i="42"/>
  <c r="X36" i="42"/>
  <c r="X117" i="42"/>
  <c r="X49" i="42"/>
  <c r="I24" i="57"/>
  <c r="X227" i="42"/>
  <c r="X223" i="42"/>
  <c r="X86" i="42"/>
  <c r="X109" i="42"/>
  <c r="X41" i="42"/>
  <c r="X221" i="42"/>
  <c r="X34" i="42"/>
  <c r="X32" i="42"/>
  <c r="X179" i="42"/>
  <c r="X30" i="42"/>
  <c r="X235" i="42"/>
  <c r="X60" i="42"/>
  <c r="X206" i="42"/>
  <c r="M17" i="59"/>
  <c r="X90" i="42"/>
  <c r="X77" i="42"/>
  <c r="I21" i="57"/>
  <c r="X99" i="42"/>
  <c r="X220" i="42"/>
  <c r="X67" i="42"/>
  <c r="X74" i="42"/>
  <c r="X173" i="42"/>
  <c r="X238" i="42"/>
  <c r="X191" i="42"/>
  <c r="X51" i="42"/>
  <c r="X21" i="42"/>
  <c r="X218" i="42"/>
  <c r="X209" i="42"/>
  <c r="X255" i="42"/>
  <c r="X92" i="42"/>
  <c r="X216" i="42"/>
  <c r="X134" i="42"/>
  <c r="I19" i="57"/>
  <c r="X198" i="42"/>
  <c r="X108" i="42"/>
  <c r="X141" i="42"/>
  <c r="X226" i="42"/>
  <c r="X53" i="42"/>
  <c r="X188" i="42"/>
  <c r="X25" i="42"/>
  <c r="X82" i="42"/>
  <c r="X133" i="42"/>
  <c r="X165" i="42"/>
  <c r="X91" i="42"/>
  <c r="X16" i="42"/>
  <c r="X231" i="42"/>
  <c r="X208" i="42"/>
  <c r="X57" i="42"/>
  <c r="M16" i="59"/>
  <c r="X249" i="42"/>
  <c r="X45" i="42"/>
  <c r="X169" i="42"/>
  <c r="X157" i="42"/>
  <c r="X119" i="42"/>
  <c r="X153" i="42"/>
  <c r="I15" i="57"/>
  <c r="X115" i="42"/>
  <c r="X12" i="42"/>
  <c r="X22" i="42"/>
  <c r="X210" i="42"/>
  <c r="X142" i="42"/>
  <c r="I22" i="57"/>
  <c r="X166" i="42"/>
  <c r="X137" i="42"/>
  <c r="X261" i="42"/>
  <c r="X156" i="42"/>
  <c r="X10" i="42"/>
  <c r="X233" i="42"/>
  <c r="T35" i="56"/>
  <c r="X35" i="56" s="1"/>
  <c r="X251" i="42"/>
  <c r="X17" i="42"/>
  <c r="X96" i="42"/>
  <c r="X152" i="42"/>
  <c r="X219" i="42"/>
  <c r="X70" i="42"/>
  <c r="X101" i="42"/>
  <c r="X212" i="42"/>
  <c r="X13" i="42"/>
  <c r="X73" i="42"/>
  <c r="X61" i="42"/>
  <c r="X8" i="42"/>
  <c r="X258" i="42"/>
  <c r="X52" i="42"/>
  <c r="M15" i="43"/>
  <c r="X194" i="42"/>
  <c r="X34" i="56"/>
  <c r="X245" i="42"/>
  <c r="X225" i="42"/>
  <c r="I5" i="43"/>
  <c r="X95" i="42"/>
  <c r="X236" i="42"/>
  <c r="X20" i="42"/>
  <c r="X63" i="42"/>
  <c r="X76" i="42"/>
  <c r="X181" i="42"/>
  <c r="X79" i="42"/>
  <c r="X185" i="42"/>
  <c r="X144" i="42"/>
  <c r="X143" i="42"/>
  <c r="X256" i="42"/>
  <c r="M19" i="43"/>
  <c r="X55" i="42"/>
  <c r="X217" i="42"/>
  <c r="X89" i="42"/>
  <c r="X107" i="42"/>
  <c r="X146" i="42"/>
  <c r="X29" i="42"/>
  <c r="X78" i="42"/>
  <c r="X42" i="42"/>
  <c r="T33" i="56"/>
  <c r="X33" i="56" s="1"/>
  <c r="M20" i="43"/>
  <c r="I7" i="43"/>
  <c r="X159" i="42"/>
  <c r="X44" i="42"/>
  <c r="M18" i="43"/>
  <c r="X106" i="42"/>
  <c r="X230" i="42"/>
  <c r="X71" i="42"/>
  <c r="X232" i="42"/>
  <c r="X228" i="42"/>
  <c r="X104" i="42"/>
  <c r="X193" i="42"/>
  <c r="X88" i="42"/>
  <c r="X155" i="42"/>
  <c r="X6" i="42"/>
  <c r="X252" i="42"/>
  <c r="X97" i="42"/>
  <c r="X145" i="42"/>
  <c r="X98" i="42"/>
  <c r="X64" i="42"/>
  <c r="X105" i="42"/>
  <c r="X172" i="42"/>
  <c r="X130" i="42"/>
  <c r="X257" i="42"/>
  <c r="K7" i="42"/>
  <c r="L7" i="42" s="1"/>
  <c r="K8" i="42"/>
  <c r="L8" i="42" s="1"/>
  <c r="K9" i="42"/>
  <c r="L9" i="42" s="1"/>
  <c r="K10" i="42"/>
  <c r="L10" i="42" s="1"/>
  <c r="K11" i="42"/>
  <c r="L11" i="42" s="1"/>
  <c r="K12" i="42"/>
  <c r="L12" i="42" s="1"/>
  <c r="K13" i="42"/>
  <c r="L13" i="42" s="1"/>
  <c r="S3" i="43" a="1"/>
  <c r="P3" i="57" a="1"/>
  <c r="P9" i="57" a="1"/>
  <c r="T3" i="43" a="1"/>
  <c r="T9" i="43" a="1"/>
  <c r="O3" i="57" a="1"/>
  <c r="U9" i="43" a="1"/>
  <c r="U3" i="43" a="1"/>
  <c r="U13" i="43" a="1"/>
  <c r="U3" i="59" a="1"/>
  <c r="U9" i="59" a="1"/>
  <c r="U13" i="59" a="1"/>
  <c r="S3" i="59" a="1"/>
  <c r="T9" i="59" a="1"/>
  <c r="T3" i="59" a="1"/>
  <c r="Q13" i="57" a="1"/>
  <c r="Q3" i="57" a="1"/>
  <c r="Q9" i="57" a="1"/>
  <c r="P12" i="42" l="1"/>
  <c r="P8" i="42"/>
  <c r="P13" i="42"/>
  <c r="W33" i="56"/>
  <c r="F7" i="57" s="1"/>
  <c r="Q10" i="57"/>
  <c r="Q9" i="57"/>
  <c r="Q3" i="57"/>
  <c r="Q5" i="57"/>
  <c r="Q4" i="57"/>
  <c r="Q13" i="57"/>
  <c r="W13" i="57" s="1"/>
  <c r="T3" i="59"/>
  <c r="T4" i="59"/>
  <c r="T5" i="59"/>
  <c r="T10" i="59"/>
  <c r="T9" i="59"/>
  <c r="S4" i="59"/>
  <c r="S5" i="59"/>
  <c r="S3" i="59"/>
  <c r="U13" i="59"/>
  <c r="AA13" i="59" s="1"/>
  <c r="U10" i="59"/>
  <c r="U9" i="59"/>
  <c r="U4" i="59"/>
  <c r="U5" i="59"/>
  <c r="U3" i="59"/>
  <c r="U13" i="43"/>
  <c r="AA13" i="43" s="1"/>
  <c r="U3" i="43"/>
  <c r="U5" i="43"/>
  <c r="U4" i="43"/>
  <c r="U10" i="43"/>
  <c r="U9" i="43"/>
  <c r="O4" i="57"/>
  <c r="O5" i="57"/>
  <c r="O3" i="57"/>
  <c r="T9" i="43"/>
  <c r="T10" i="43"/>
  <c r="T5" i="43"/>
  <c r="T4" i="43"/>
  <c r="T3" i="43"/>
  <c r="P10" i="57"/>
  <c r="P9" i="57"/>
  <c r="W9" i="57" s="1" a="1"/>
  <c r="P3" i="57"/>
  <c r="P5" i="57"/>
  <c r="P4" i="57"/>
  <c r="S3" i="43"/>
  <c r="S4" i="43"/>
  <c r="S5" i="43"/>
  <c r="W31" i="56"/>
  <c r="F5" i="57" s="1"/>
  <c r="P10" i="42"/>
  <c r="P11" i="42"/>
  <c r="P4" i="42"/>
  <c r="J3" i="43" s="1"/>
  <c r="X32" i="56"/>
  <c r="P6" i="42"/>
  <c r="P5" i="42"/>
  <c r="W35" i="56"/>
  <c r="P9" i="42"/>
  <c r="M3" i="58"/>
  <c r="J3" i="59" s="1"/>
  <c r="W30" i="56"/>
  <c r="P7" i="42"/>
  <c r="Y3" i="59" a="1"/>
  <c r="Y9" i="59" a="1"/>
  <c r="Y13" i="59" a="1"/>
  <c r="AA3" i="43" l="1" a="1"/>
  <c r="Y13" i="59"/>
  <c r="W13" i="59" s="1"/>
  <c r="Y10" i="59"/>
  <c r="Y9" i="59"/>
  <c r="Y3" i="59"/>
  <c r="Y4" i="59"/>
  <c r="Y5" i="59"/>
  <c r="AC3" i="43"/>
  <c r="AA4" i="43"/>
  <c r="AB3" i="43"/>
  <c r="AC5" i="43"/>
  <c r="AA3" i="43"/>
  <c r="AB5" i="43"/>
  <c r="AA5" i="43"/>
  <c r="AC4" i="43"/>
  <c r="AB4" i="43"/>
  <c r="AA9" i="43" a="1"/>
  <c r="AA3" i="59" a="1"/>
  <c r="F4" i="57"/>
  <c r="F3" i="57"/>
  <c r="W3" i="57" a="1"/>
  <c r="X10" i="57"/>
  <c r="W9" i="57"/>
  <c r="W10" i="57"/>
  <c r="X9" i="57"/>
  <c r="AA9" i="59" a="1"/>
  <c r="AA9" i="43" l="1"/>
  <c r="AA10" i="43"/>
  <c r="AB9" i="43"/>
  <c r="AB10" i="43"/>
  <c r="Y3" i="57"/>
  <c r="W3" i="57"/>
  <c r="X3" i="57"/>
  <c r="Y4" i="57"/>
  <c r="W5" i="57"/>
  <c r="W4" i="57"/>
  <c r="Y5" i="57"/>
  <c r="X4" i="57"/>
  <c r="X5" i="57"/>
  <c r="AA9" i="59"/>
  <c r="W9" i="59" s="1" a="1"/>
  <c r="AB10" i="59"/>
  <c r="AA10" i="59"/>
  <c r="AB9" i="59"/>
  <c r="AC3" i="59"/>
  <c r="AB3" i="59"/>
  <c r="AC4" i="59"/>
  <c r="AC5" i="59"/>
  <c r="AA3" i="59"/>
  <c r="W3" i="59" s="1" a="1"/>
  <c r="AA5" i="59"/>
  <c r="AA4" i="59"/>
  <c r="AB4" i="59"/>
  <c r="AB5" i="59"/>
  <c r="AH20" i="59"/>
  <c r="AH21" i="59"/>
  <c r="AH19" i="59"/>
  <c r="AH22" i="59"/>
  <c r="AH9" i="59"/>
  <c r="AH8" i="59"/>
  <c r="AH3" i="59"/>
  <c r="AH13" i="59"/>
  <c r="AH14" i="59"/>
  <c r="AH23" i="59"/>
  <c r="AH17" i="59"/>
  <c r="AH5" i="59"/>
  <c r="AH4" i="59"/>
  <c r="AH12" i="59"/>
  <c r="AH10" i="59"/>
  <c r="AH15" i="59"/>
  <c r="AH7" i="59"/>
  <c r="AH16" i="59"/>
  <c r="AH11" i="59"/>
  <c r="AH6" i="59"/>
  <c r="AH18" i="59"/>
  <c r="N18" i="59"/>
  <c r="N19" i="59"/>
  <c r="N17" i="59"/>
  <c r="N16" i="59"/>
  <c r="N15" i="59"/>
  <c r="W3" i="59" l="1"/>
  <c r="W4" i="59"/>
  <c r="W5" i="59"/>
  <c r="W9" i="59"/>
  <c r="W10" i="59"/>
  <c r="AI15" i="59" l="1"/>
  <c r="AI10" i="59"/>
  <c r="AI21" i="59"/>
  <c r="AI7" i="59"/>
  <c r="AI17" i="59"/>
  <c r="AI6" i="59"/>
  <c r="AI22" i="59"/>
  <c r="AI12" i="59"/>
  <c r="AI11" i="59"/>
  <c r="AI20" i="59"/>
  <c r="AI5" i="59"/>
  <c r="AI13" i="59"/>
  <c r="AI4" i="59"/>
  <c r="AI23" i="59"/>
  <c r="AI18" i="59"/>
  <c r="AI9" i="59"/>
  <c r="AI14" i="59"/>
  <c r="AI8" i="59"/>
  <c r="AI19" i="59"/>
  <c r="AI3" i="59"/>
  <c r="AI16" i="59"/>
  <c r="O18" i="59"/>
  <c r="O19" i="59"/>
  <c r="O17" i="59"/>
  <c r="O16" i="59"/>
  <c r="O15" i="59"/>
  <c r="AJ4" i="59"/>
  <c r="AJ10" i="59"/>
  <c r="AJ5" i="59"/>
  <c r="AJ19" i="59"/>
  <c r="AJ16" i="59"/>
  <c r="AJ22" i="59"/>
  <c r="AJ12" i="59"/>
  <c r="AJ11" i="59"/>
  <c r="AJ17" i="59"/>
  <c r="AJ14" i="59"/>
  <c r="AJ6" i="59"/>
  <c r="AJ3" i="59"/>
  <c r="AJ13" i="59"/>
  <c r="AJ7" i="59"/>
  <c r="AJ23" i="59"/>
  <c r="AJ18" i="59"/>
  <c r="AJ8" i="59"/>
  <c r="AJ21" i="59"/>
  <c r="AJ9" i="59"/>
  <c r="AJ15" i="59"/>
  <c r="AJ20" i="59"/>
  <c r="P15" i="59"/>
  <c r="C23" i="59" s="1"/>
  <c r="H3" i="33" s="1"/>
  <c r="P19" i="59"/>
  <c r="C27" i="59" s="1"/>
  <c r="H7" i="33" s="1"/>
  <c r="P18" i="59"/>
  <c r="C26" i="59" s="1"/>
  <c r="H6" i="33" s="1"/>
  <c r="P16" i="59"/>
  <c r="C24" i="59" s="1"/>
  <c r="H4" i="33" s="1"/>
  <c r="P17" i="59"/>
  <c r="C25" i="59" s="1"/>
  <c r="H5" i="33" s="1"/>
  <c r="P13" i="56" a="1"/>
  <c r="U9" i="57" a="1"/>
  <c r="U3" i="57" a="1"/>
  <c r="U13" i="57" a="1"/>
  <c r="N1" i="42"/>
  <c r="U206" i="42"/>
  <c r="U188" i="42"/>
  <c r="U66" i="42"/>
  <c r="U108" i="42"/>
  <c r="U191" i="42"/>
  <c r="U15" i="42"/>
  <c r="U121" i="42"/>
  <c r="U220" i="42"/>
  <c r="U49" i="42"/>
  <c r="U153" i="42"/>
  <c r="U11" i="42"/>
  <c r="U165" i="42"/>
  <c r="U135" i="42"/>
  <c r="U92" i="42"/>
  <c r="U171" i="42"/>
  <c r="U75" i="42"/>
  <c r="U69" i="42"/>
  <c r="U119" i="42"/>
  <c r="U193" i="42"/>
  <c r="U44" i="42"/>
  <c r="U221" i="42"/>
  <c r="U260" i="42"/>
  <c r="U174" i="42"/>
  <c r="U239" i="42"/>
  <c r="U117" i="42"/>
  <c r="U39" i="42"/>
  <c r="U26" i="42"/>
  <c r="U159" i="42"/>
  <c r="N7" i="42"/>
  <c r="U234" i="42"/>
  <c r="N11" i="42"/>
  <c r="U88" i="42"/>
  <c r="U186" i="42"/>
  <c r="U164" i="42"/>
  <c r="U242" i="42"/>
  <c r="U157" i="42"/>
  <c r="U24" i="42"/>
  <c r="U156" i="42"/>
  <c r="U236" i="42"/>
  <c r="U238" i="42"/>
  <c r="U58" i="42"/>
  <c r="U106" i="42"/>
  <c r="N6" i="42"/>
  <c r="U173" i="42"/>
  <c r="U216" i="42"/>
  <c r="U149" i="42"/>
  <c r="U124" i="42"/>
  <c r="U225" i="42"/>
  <c r="U128" i="42"/>
  <c r="U152" i="42"/>
  <c r="U208" i="42"/>
  <c r="U73" i="42"/>
  <c r="U261" i="42"/>
  <c r="U126" i="42"/>
  <c r="U111" i="42"/>
  <c r="U76" i="42"/>
  <c r="U256" i="42"/>
  <c r="U211" i="42"/>
  <c r="U48" i="42"/>
  <c r="U63" i="42"/>
  <c r="U131" i="42"/>
  <c r="U146" i="42"/>
  <c r="U13" i="42"/>
  <c r="U100" i="42"/>
  <c r="U112" i="42"/>
  <c r="U35" i="42"/>
  <c r="U154" i="42"/>
  <c r="U60" i="42"/>
  <c r="U169" i="42"/>
  <c r="U109" i="42"/>
  <c r="U94" i="42"/>
  <c r="U229" i="42"/>
  <c r="U197" i="42"/>
  <c r="U36" i="42"/>
  <c r="U38" i="42"/>
  <c r="U85" i="42"/>
  <c r="U62" i="42"/>
  <c r="U170" i="42"/>
  <c r="U168" i="42"/>
  <c r="U95" i="42"/>
  <c r="U25" i="42"/>
  <c r="U122" i="42"/>
  <c r="N5" i="42"/>
  <c r="U45" i="42"/>
  <c r="U141" i="42"/>
  <c r="U37" i="42"/>
  <c r="U107" i="42"/>
  <c r="U101" i="42"/>
  <c r="U57" i="42"/>
  <c r="U46" i="42"/>
  <c r="U136" i="42"/>
  <c r="U84" i="42"/>
  <c r="U204" i="42"/>
  <c r="U134" i="42"/>
  <c r="U139" i="42"/>
  <c r="U132" i="42"/>
  <c r="U201" i="42"/>
  <c r="U243" i="42"/>
  <c r="U65" i="42"/>
  <c r="U71" i="42"/>
  <c r="U33" i="42"/>
  <c r="U96" i="42"/>
  <c r="U6" i="42"/>
  <c r="U99" i="42"/>
  <c r="U196" i="42"/>
  <c r="U230" i="42"/>
  <c r="U91" i="42"/>
  <c r="J5" i="43"/>
  <c r="U120" i="42"/>
  <c r="U137" i="42"/>
  <c r="U97" i="42"/>
  <c r="U215" i="42"/>
  <c r="U240" i="42"/>
  <c r="U140" i="42"/>
  <c r="U89" i="42"/>
  <c r="U251" i="42"/>
  <c r="N4" i="42"/>
  <c r="U64" i="42"/>
  <c r="U184" i="42"/>
  <c r="U218" i="42"/>
  <c r="U22" i="42"/>
  <c r="U252" i="42"/>
  <c r="U113" i="42"/>
  <c r="U105" i="42"/>
  <c r="U53" i="42"/>
  <c r="U28" i="42"/>
  <c r="U54" i="42"/>
  <c r="U155" i="42"/>
  <c r="U222" i="42"/>
  <c r="U148" i="42"/>
  <c r="U40" i="42"/>
  <c r="U241" i="42"/>
  <c r="U226" i="42"/>
  <c r="U214" i="42"/>
  <c r="U77" i="42"/>
  <c r="N10" i="42"/>
  <c r="U219" i="42"/>
  <c r="U90" i="42"/>
  <c r="U244" i="42"/>
  <c r="U195" i="42"/>
  <c r="N9" i="42"/>
  <c r="U123" i="42"/>
  <c r="U202" i="42"/>
  <c r="U67" i="42"/>
  <c r="U182" i="42"/>
  <c r="U55" i="42"/>
  <c r="U115" i="42"/>
  <c r="U212" i="42"/>
  <c r="U80" i="42"/>
  <c r="U17" i="42"/>
  <c r="U255" i="42"/>
  <c r="U227" i="42"/>
  <c r="U177" i="42"/>
  <c r="U233" i="42"/>
  <c r="U160" i="42"/>
  <c r="U72" i="42"/>
  <c r="U3" i="42"/>
  <c r="U133" i="42"/>
  <c r="U18" i="42"/>
  <c r="U34" i="42"/>
  <c r="U248" i="42"/>
  <c r="U19" i="42"/>
  <c r="U203" i="42"/>
  <c r="U114" i="42"/>
  <c r="U254" i="42"/>
  <c r="J4" i="43"/>
  <c r="U179" i="42"/>
  <c r="U50" i="42"/>
  <c r="U129" i="42"/>
  <c r="U259" i="42"/>
  <c r="U56" i="42"/>
  <c r="U237" i="42"/>
  <c r="U43" i="42"/>
  <c r="U245" i="42"/>
  <c r="U41" i="42"/>
  <c r="U163" i="42"/>
  <c r="U59" i="42"/>
  <c r="U147" i="42"/>
  <c r="U103" i="42"/>
  <c r="U253" i="42"/>
  <c r="U12" i="42"/>
  <c r="U158" i="42"/>
  <c r="U250" i="42"/>
  <c r="U144" i="42"/>
  <c r="U224" i="42"/>
  <c r="U10" i="42"/>
  <c r="U217" i="42"/>
  <c r="U104" i="42"/>
  <c r="U81" i="42"/>
  <c r="U228" i="42"/>
  <c r="U127" i="42"/>
  <c r="U5" i="42"/>
  <c r="U30" i="42"/>
  <c r="U98" i="42"/>
  <c r="U23" i="42"/>
  <c r="U223" i="42"/>
  <c r="U167" i="42"/>
  <c r="U145" i="42"/>
  <c r="U125" i="42"/>
  <c r="U20" i="42"/>
  <c r="U110" i="42"/>
  <c r="U150" i="42"/>
  <c r="U232" i="42"/>
  <c r="U31" i="42"/>
  <c r="U83" i="42"/>
  <c r="U194" i="42"/>
  <c r="U207" i="42"/>
  <c r="U213" i="42"/>
  <c r="U8" i="42"/>
  <c r="U7" i="42"/>
  <c r="U257" i="42"/>
  <c r="U166" i="42"/>
  <c r="U16" i="42"/>
  <c r="U209" i="42"/>
  <c r="U21" i="42"/>
  <c r="U93" i="42"/>
  <c r="U205" i="42"/>
  <c r="U70" i="42"/>
  <c r="U178" i="42"/>
  <c r="U68" i="42"/>
  <c r="U258" i="42"/>
  <c r="U78" i="42"/>
  <c r="N12" i="42"/>
  <c r="U4" i="42"/>
  <c r="U161" i="42"/>
  <c r="U74" i="42"/>
  <c r="U130" i="42"/>
  <c r="U246" i="42"/>
  <c r="U82" i="42"/>
  <c r="U181" i="42"/>
  <c r="U235" i="42"/>
  <c r="U183" i="42"/>
  <c r="U142" i="42"/>
  <c r="U138" i="42"/>
  <c r="U175" i="42"/>
  <c r="N8" i="42"/>
  <c r="U189" i="42"/>
  <c r="U247" i="42"/>
  <c r="U210" i="42"/>
  <c r="U116" i="42"/>
  <c r="J7" i="43"/>
  <c r="U187" i="42"/>
  <c r="J6" i="43"/>
  <c r="U143" i="42"/>
  <c r="U29" i="42"/>
  <c r="U47" i="42"/>
  <c r="U231" i="42"/>
  <c r="U102" i="42"/>
  <c r="U162" i="42"/>
  <c r="U198" i="42"/>
  <c r="U199" i="42"/>
  <c r="U192" i="42"/>
  <c r="U42" i="42"/>
  <c r="U200" i="42"/>
  <c r="U9" i="42"/>
  <c r="U176" i="42"/>
  <c r="U32" i="42"/>
  <c r="U51" i="42"/>
  <c r="N13" i="42"/>
  <c r="U151" i="42"/>
  <c r="U172" i="42"/>
  <c r="U61" i="42"/>
  <c r="U249" i="42"/>
  <c r="U52" i="42"/>
  <c r="U180" i="42"/>
  <c r="U118" i="42"/>
  <c r="U86" i="42"/>
  <c r="U185" i="42"/>
  <c r="U27" i="42"/>
  <c r="U190" i="42"/>
  <c r="U87" i="42"/>
  <c r="U14" i="42"/>
  <c r="U79" i="42"/>
  <c r="Y3" i="43" a="1"/>
  <c r="Y9" i="43" a="1"/>
  <c r="Y13" i="43" a="1"/>
  <c r="Y13" i="43"/>
  <c r="W13" i="43"/>
  <c r="AH65" i="43" s="1"/>
  <c r="Y87" i="42"/>
  <c r="Y249" i="42"/>
  <c r="Y9" i="42"/>
  <c r="Y231" i="42"/>
  <c r="Y189" i="42"/>
  <c r="Y82" i="42"/>
  <c r="Y258" i="42"/>
  <c r="Y16" i="42"/>
  <c r="Y83" i="42"/>
  <c r="Y167" i="42"/>
  <c r="Y81" i="42"/>
  <c r="Y12" i="42"/>
  <c r="Y43" i="42"/>
  <c r="Y114" i="42"/>
  <c r="Y72" i="42"/>
  <c r="Y212" i="42"/>
  <c r="Y195" i="42"/>
  <c r="Y241" i="42"/>
  <c r="Y105" i="42"/>
  <c r="Y251" i="42"/>
  <c r="Y91" i="42"/>
  <c r="Y65" i="42"/>
  <c r="Y136" i="42"/>
  <c r="Y38" i="42"/>
  <c r="Y154" i="42"/>
  <c r="Y48" i="42"/>
  <c r="Y208" i="42"/>
  <c r="Y242" i="42"/>
  <c r="Y26" i="42"/>
  <c r="Y193" i="42"/>
  <c r="Y11" i="42"/>
  <c r="Y66" i="42"/>
  <c r="U9" i="57"/>
  <c r="U10" i="57"/>
  <c r="S9" i="57" a="1"/>
  <c r="S10" i="57" s="1"/>
  <c r="P25" i="56"/>
  <c r="AH30" i="43"/>
  <c r="AH43" i="43"/>
  <c r="AH28" i="43"/>
  <c r="AH56" i="43"/>
  <c r="AH41" i="43"/>
  <c r="AH5" i="43"/>
  <c r="AH62" i="43"/>
  <c r="Y248" i="42"/>
  <c r="Y22" i="42"/>
  <c r="Y132" i="42"/>
  <c r="Y101" i="42"/>
  <c r="Y100" i="42"/>
  <c r="Y238" i="42"/>
  <c r="Y75" i="42"/>
  <c r="U13" i="57"/>
  <c r="S13" i="57"/>
  <c r="AD95" i="57" s="1"/>
  <c r="P17" i="56"/>
  <c r="AH38" i="43"/>
  <c r="AH21" i="43"/>
  <c r="Y215" i="42"/>
  <c r="Y94" i="42"/>
  <c r="Y124" i="42"/>
  <c r="Y174" i="42"/>
  <c r="U5" i="57"/>
  <c r="P13" i="56"/>
  <c r="AH57" i="43"/>
  <c r="AH15" i="43"/>
  <c r="AH22" i="43"/>
  <c r="Y96" i="42"/>
  <c r="Y109" i="42"/>
  <c r="Y156" i="42"/>
  <c r="Y92" i="42"/>
  <c r="P16" i="56"/>
  <c r="AH45" i="43"/>
  <c r="AH26" i="43"/>
  <c r="AH52" i="43"/>
  <c r="Y32" i="42"/>
  <c r="Y162" i="42"/>
  <c r="Y210" i="42"/>
  <c r="Y125" i="42"/>
  <c r="Y41" i="42"/>
  <c r="Y17" i="42"/>
  <c r="Y28" i="42"/>
  <c r="Y33" i="42"/>
  <c r="Y9" i="43"/>
  <c r="Y190" i="42"/>
  <c r="Y61" i="42"/>
  <c r="Y200" i="42"/>
  <c r="Y47" i="42"/>
  <c r="Y246" i="42"/>
  <c r="Y68" i="42"/>
  <c r="Y166" i="42"/>
  <c r="Y31" i="42"/>
  <c r="Y223" i="42"/>
  <c r="Y104" i="42"/>
  <c r="Y253" i="42"/>
  <c r="Y237" i="42"/>
  <c r="Y203" i="42"/>
  <c r="Y160" i="42"/>
  <c r="Y115" i="42"/>
  <c r="Y244" i="42"/>
  <c r="Y40" i="42"/>
  <c r="Y113" i="42"/>
  <c r="Y89" i="42"/>
  <c r="Y230" i="42"/>
  <c r="Y243" i="42"/>
  <c r="Y46" i="42"/>
  <c r="Y122" i="42"/>
  <c r="Y36" i="42"/>
  <c r="Y35" i="42"/>
  <c r="Y211" i="42"/>
  <c r="Y152" i="42"/>
  <c r="Y106" i="42"/>
  <c r="Y164" i="42"/>
  <c r="Y39" i="42"/>
  <c r="Y119" i="42"/>
  <c r="Y153" i="42"/>
  <c r="Y188" i="42"/>
  <c r="P24" i="56"/>
  <c r="P15" i="56"/>
  <c r="AH42" i="43"/>
  <c r="AH59" i="43"/>
  <c r="AH18" i="43"/>
  <c r="AH7" i="43"/>
  <c r="AH55" i="43"/>
  <c r="AH6" i="43"/>
  <c r="AH8" i="43"/>
  <c r="Y177" i="42"/>
  <c r="Y222" i="42"/>
  <c r="Y99" i="42"/>
  <c r="Y229" i="42"/>
  <c r="Y225" i="42"/>
  <c r="Y239" i="42"/>
  <c r="P22" i="56"/>
  <c r="AH27" i="43"/>
  <c r="AH54" i="43"/>
  <c r="Y67" i="42"/>
  <c r="Y6" i="42"/>
  <c r="Y13" i="42"/>
  <c r="Y121" i="42"/>
  <c r="AH64" i="43"/>
  <c r="AH51" i="43"/>
  <c r="Y37" i="42"/>
  <c r="Y126" i="42"/>
  <c r="Y234" i="42"/>
  <c r="Y15" i="42"/>
  <c r="P20" i="56"/>
  <c r="AH12" i="43"/>
  <c r="Y180" i="42"/>
  <c r="Y235" i="42"/>
  <c r="Y207" i="42"/>
  <c r="Y250" i="42"/>
  <c r="Y133" i="42"/>
  <c r="Y214" i="42"/>
  <c r="Y137" i="42"/>
  <c r="Y141" i="42"/>
  <c r="Y10" i="43"/>
  <c r="Y27" i="42"/>
  <c r="Y172" i="42"/>
  <c r="Y42" i="42"/>
  <c r="Y29" i="42"/>
  <c r="Y175" i="42"/>
  <c r="Y130" i="42"/>
  <c r="Y178" i="42"/>
  <c r="Y257" i="42"/>
  <c r="Y232" i="42"/>
  <c r="Y23" i="42"/>
  <c r="Y217" i="42"/>
  <c r="Y103" i="42"/>
  <c r="Y56" i="42"/>
  <c r="Y19" i="42"/>
  <c r="Y233" i="42"/>
  <c r="Y55" i="42"/>
  <c r="Y90" i="42"/>
  <c r="Y148" i="42"/>
  <c r="Y252" i="42"/>
  <c r="Y140" i="42"/>
  <c r="Y196" i="42"/>
  <c r="Y201" i="42"/>
  <c r="Y57" i="42"/>
  <c r="Y25" i="42"/>
  <c r="Y197" i="42"/>
  <c r="Y112" i="42"/>
  <c r="Y256" i="42"/>
  <c r="Y128" i="42"/>
  <c r="Y58" i="42"/>
  <c r="Y186" i="42"/>
  <c r="Y117" i="42"/>
  <c r="Y69" i="42"/>
  <c r="Y49" i="42"/>
  <c r="Y206" i="42"/>
  <c r="P14" i="56"/>
  <c r="P18" i="56"/>
  <c r="AH20" i="43"/>
  <c r="AH63" i="43"/>
  <c r="AH47" i="43"/>
  <c r="AH17" i="43"/>
  <c r="AH13" i="43"/>
  <c r="AH9" i="43"/>
  <c r="AH35" i="43"/>
  <c r="Y259" i="42"/>
  <c r="Y219" i="42"/>
  <c r="Y240" i="42"/>
  <c r="Y95" i="42"/>
  <c r="Y76" i="42"/>
  <c r="Y88" i="42"/>
  <c r="Y220" i="42"/>
  <c r="AH31" i="43"/>
  <c r="AH60" i="43"/>
  <c r="Y155" i="42"/>
  <c r="Y139" i="42"/>
  <c r="Y107" i="42"/>
  <c r="Y168" i="42"/>
  <c r="Y111" i="42"/>
  <c r="Y236" i="42"/>
  <c r="Y171" i="42"/>
  <c r="P26" i="56"/>
  <c r="AH50" i="43"/>
  <c r="AH32" i="43"/>
  <c r="Y134" i="42"/>
  <c r="Y146" i="42"/>
  <c r="Y149" i="42"/>
  <c r="Y260" i="42"/>
  <c r="U3" i="57"/>
  <c r="S3" i="57" a="1"/>
  <c r="S4" i="57" s="1"/>
  <c r="AH29" i="43"/>
  <c r="AH3" i="43"/>
  <c r="AH24" i="43"/>
  <c r="Y79" i="42"/>
  <c r="Y21" i="42"/>
  <c r="Y127" i="42"/>
  <c r="Y179" i="42"/>
  <c r="Y123" i="42"/>
  <c r="Y64" i="42"/>
  <c r="Y204" i="42"/>
  <c r="Y5" i="43"/>
  <c r="W3" i="43" s="1" a="1"/>
  <c r="Y185" i="42"/>
  <c r="Y151" i="42"/>
  <c r="Y192" i="42"/>
  <c r="Y143" i="42"/>
  <c r="Y138" i="42"/>
  <c r="Y74" i="42"/>
  <c r="Y70" i="42"/>
  <c r="Y7" i="42"/>
  <c r="Y150" i="42"/>
  <c r="Y98" i="42"/>
  <c r="Y10" i="42"/>
  <c r="Y147" i="42"/>
  <c r="Y182" i="42"/>
  <c r="Y3" i="43"/>
  <c r="Y86" i="42"/>
  <c r="Y199" i="42"/>
  <c r="Y187" i="42"/>
  <c r="Y142" i="42"/>
  <c r="Y161" i="42"/>
  <c r="Y205" i="42"/>
  <c r="Y8" i="42"/>
  <c r="Y110" i="42"/>
  <c r="Y30" i="42"/>
  <c r="Y224" i="42"/>
  <c r="Y59" i="42"/>
  <c r="Y129" i="42"/>
  <c r="Y34" i="42"/>
  <c r="Y227" i="42"/>
  <c r="Y218" i="42"/>
  <c r="Y4" i="43"/>
  <c r="Y118" i="42"/>
  <c r="Y51" i="42"/>
  <c r="Y198" i="42"/>
  <c r="Y116" i="42"/>
  <c r="Y183" i="42"/>
  <c r="Y4" i="42"/>
  <c r="Y93" i="42"/>
  <c r="Y213" i="42"/>
  <c r="Y20" i="42"/>
  <c r="Y5" i="42"/>
  <c r="Y144" i="42"/>
  <c r="Y163" i="42"/>
  <c r="Y50" i="42"/>
  <c r="Y18" i="42"/>
  <c r="Y255" i="42"/>
  <c r="Y202" i="42"/>
  <c r="Y77" i="42"/>
  <c r="Y54" i="42"/>
  <c r="Y184" i="42"/>
  <c r="Y97" i="42"/>
  <c r="Y170" i="42"/>
  <c r="Y14" i="42"/>
  <c r="Y194" i="42"/>
  <c r="Y62" i="42"/>
  <c r="Y216" i="42"/>
  <c r="Y135" i="42"/>
  <c r="P23" i="56"/>
  <c r="AH16" i="43"/>
  <c r="AH53" i="43"/>
  <c r="Y131" i="42"/>
  <c r="AH44" i="43"/>
  <c r="Y84" i="42"/>
  <c r="Y261" i="42"/>
  <c r="P19" i="56"/>
  <c r="Y209" i="42"/>
  <c r="Y52" i="42"/>
  <c r="Y145" i="42"/>
  <c r="Y226" i="42"/>
  <c r="Y85" i="42"/>
  <c r="Y173" i="42"/>
  <c r="Y165" i="42"/>
  <c r="AH39" i="43"/>
  <c r="AH14" i="43"/>
  <c r="Y60" i="42"/>
  <c r="Y157" i="42"/>
  <c r="AH33" i="43"/>
  <c r="Y63" i="42"/>
  <c r="Y78" i="42"/>
  <c r="AH37" i="43"/>
  <c r="Y80" i="42"/>
  <c r="AH23" i="43"/>
  <c r="Y176" i="42"/>
  <c r="Y228" i="42"/>
  <c r="Y53" i="42"/>
  <c r="Y169" i="42"/>
  <c r="Y24" i="42"/>
  <c r="Y191" i="42"/>
  <c r="AH10" i="43"/>
  <c r="AH4" i="43"/>
  <c r="Y108" i="42"/>
  <c r="Y120" i="42"/>
  <c r="AH58" i="43"/>
  <c r="Y159" i="42"/>
  <c r="AH61" i="43"/>
  <c r="Y3" i="42"/>
  <c r="Y221" i="42"/>
  <c r="AH36" i="43"/>
  <c r="Y45" i="42"/>
  <c r="AH34" i="43"/>
  <c r="Y102" i="42"/>
  <c r="Y158" i="42"/>
  <c r="Y44" i="42"/>
  <c r="Y247" i="42"/>
  <c r="Y245" i="42"/>
  <c r="U4" i="57"/>
  <c r="P21" i="56"/>
  <c r="Y181" i="42"/>
  <c r="Y254" i="42"/>
  <c r="Y71" i="42"/>
  <c r="Y73" i="42"/>
  <c r="S9" i="57"/>
  <c r="AD20" i="57"/>
  <c r="AD51" i="57"/>
  <c r="O12" i="42"/>
  <c r="O13" i="42"/>
  <c r="O5" i="42"/>
  <c r="O7" i="42"/>
  <c r="O8" i="42"/>
  <c r="O9" i="42"/>
  <c r="O6" i="42"/>
  <c r="O10" i="42"/>
  <c r="O11" i="42"/>
  <c r="O4" i="42"/>
  <c r="N17" i="43"/>
  <c r="N18" i="43"/>
  <c r="N16" i="43"/>
  <c r="N19" i="43"/>
  <c r="N21" i="43"/>
  <c r="N15" i="43"/>
  <c r="N20" i="43"/>
  <c r="W9" i="43" a="1"/>
  <c r="W10" i="43" s="1"/>
  <c r="AE73" i="57" l="1"/>
  <c r="AE102" i="57"/>
  <c r="AE95" i="57"/>
  <c r="AE58" i="57"/>
  <c r="AE33" i="57"/>
  <c r="AE89" i="57"/>
  <c r="AE98" i="57"/>
  <c r="AE10" i="57"/>
  <c r="AE9" i="57"/>
  <c r="AE29" i="57"/>
  <c r="AE94" i="57"/>
  <c r="AE22" i="57"/>
  <c r="AE51" i="57"/>
  <c r="AE28" i="57"/>
  <c r="AE38" i="57"/>
  <c r="AE55" i="57"/>
  <c r="AE25" i="57"/>
  <c r="AE99" i="57"/>
  <c r="AE110" i="57"/>
  <c r="K19" i="57"/>
  <c r="C32" i="57" s="1"/>
  <c r="H19" i="33" s="1"/>
  <c r="K21" i="57"/>
  <c r="C34" i="57" s="1"/>
  <c r="H21" i="33" s="1"/>
  <c r="AE17" i="57"/>
  <c r="AE119" i="57"/>
  <c r="AE15" i="57"/>
  <c r="AE31" i="57"/>
  <c r="AE45" i="57"/>
  <c r="AE96" i="57"/>
  <c r="AE75" i="57"/>
  <c r="AE74" i="57"/>
  <c r="AE57" i="57"/>
  <c r="AE90" i="57"/>
  <c r="AE52" i="57"/>
  <c r="AE8" i="57"/>
  <c r="AE32" i="57"/>
  <c r="AE88" i="57"/>
  <c r="AE84" i="57"/>
  <c r="AE65" i="57"/>
  <c r="AE86" i="57"/>
  <c r="AE7" i="57"/>
  <c r="AE60" i="57"/>
  <c r="AE23" i="57"/>
  <c r="AE68" i="57"/>
  <c r="AE35" i="57"/>
  <c r="AE39" i="57"/>
  <c r="AE34" i="57"/>
  <c r="AE82" i="57"/>
  <c r="AE46" i="57"/>
  <c r="AE83" i="57"/>
  <c r="K20" i="57"/>
  <c r="C33" i="57" s="1"/>
  <c r="H20" i="33" s="1"/>
  <c r="AE37" i="57"/>
  <c r="AE49" i="57"/>
  <c r="AE77" i="57"/>
  <c r="AE112" i="57"/>
  <c r="K22" i="57"/>
  <c r="C35" i="57" s="1"/>
  <c r="H22" i="33" s="1"/>
  <c r="AE12" i="57"/>
  <c r="AE106" i="57"/>
  <c r="AE40" i="57"/>
  <c r="AE54" i="57"/>
  <c r="K18" i="57"/>
  <c r="C31" i="57" s="1"/>
  <c r="H18" i="33" s="1"/>
  <c r="AE27" i="57"/>
  <c r="AE103" i="57"/>
  <c r="K16" i="57"/>
  <c r="C29" i="57" s="1"/>
  <c r="H16" i="33" s="1"/>
  <c r="AE79" i="57"/>
  <c r="AE78" i="57"/>
  <c r="AE43" i="57"/>
  <c r="AE107" i="57"/>
  <c r="AE91" i="57"/>
  <c r="AE70" i="57"/>
  <c r="AE85" i="57"/>
  <c r="K15" i="57"/>
  <c r="C28" i="57" s="1"/>
  <c r="H15" i="33" s="1"/>
  <c r="AE93" i="57"/>
  <c r="AE124" i="57"/>
  <c r="AE69" i="57"/>
  <c r="AE72" i="57"/>
  <c r="AE64" i="57"/>
  <c r="AE26" i="57"/>
  <c r="AE20" i="57"/>
  <c r="AE111" i="57"/>
  <c r="AE24" i="57"/>
  <c r="AE19" i="57"/>
  <c r="AE5" i="57"/>
  <c r="AD30" i="57"/>
  <c r="AD82" i="57"/>
  <c r="AD104" i="57"/>
  <c r="AD32" i="57"/>
  <c r="AD3" i="57"/>
  <c r="AD110" i="57"/>
  <c r="S5" i="57"/>
  <c r="AF123" i="57" s="1"/>
  <c r="AD101" i="57"/>
  <c r="AD103" i="57"/>
  <c r="AD122" i="57"/>
  <c r="AD107" i="57"/>
  <c r="AD4" i="57"/>
  <c r="AH49" i="43"/>
  <c r="AH48" i="43"/>
  <c r="AH25" i="43"/>
  <c r="AH40" i="43"/>
  <c r="AH19" i="43"/>
  <c r="AH46" i="43"/>
  <c r="AH11" i="43"/>
  <c r="W4" i="43"/>
  <c r="W3" i="43"/>
  <c r="W5" i="43"/>
  <c r="AD29" i="57"/>
  <c r="AD96" i="57"/>
  <c r="AD31" i="57"/>
  <c r="AF119" i="57"/>
  <c r="AF47" i="57"/>
  <c r="AD80" i="57"/>
  <c r="AD43" i="57"/>
  <c r="AD118" i="57"/>
  <c r="AD99" i="57"/>
  <c r="AF37" i="57"/>
  <c r="AD26" i="57"/>
  <c r="AD6" i="57"/>
  <c r="AD54" i="57"/>
  <c r="AD24" i="57"/>
  <c r="AD92" i="57"/>
  <c r="AD73" i="57"/>
  <c r="AI4" i="43"/>
  <c r="AI3" i="43"/>
  <c r="AD87" i="57"/>
  <c r="AD108" i="57"/>
  <c r="AD93" i="57"/>
  <c r="AD37" i="57"/>
  <c r="AD38" i="57"/>
  <c r="AD67" i="57"/>
  <c r="AD105" i="57"/>
  <c r="AD47" i="57"/>
  <c r="AD119" i="57"/>
  <c r="AD19" i="57"/>
  <c r="AD21" i="57"/>
  <c r="AD70" i="57"/>
  <c r="AD33" i="57"/>
  <c r="AD81" i="57"/>
  <c r="AD102" i="57"/>
  <c r="AD49" i="57"/>
  <c r="J22" i="57"/>
  <c r="J20" i="57"/>
  <c r="AD111" i="57"/>
  <c r="AD57" i="57"/>
  <c r="AD85" i="57"/>
  <c r="AD50" i="57"/>
  <c r="AD28" i="57"/>
  <c r="AD11" i="57"/>
  <c r="AD17" i="57"/>
  <c r="AD114" i="57"/>
  <c r="AD8" i="57"/>
  <c r="AD69" i="57"/>
  <c r="AD94" i="57"/>
  <c r="AD48" i="57"/>
  <c r="AD116" i="57"/>
  <c r="AD55" i="57"/>
  <c r="AD22" i="57"/>
  <c r="AD76" i="57"/>
  <c r="AD72" i="57"/>
  <c r="J24" i="57"/>
  <c r="J18" i="57"/>
  <c r="AD123" i="57"/>
  <c r="AD45" i="57"/>
  <c r="AD46" i="57"/>
  <c r="AD62" i="57"/>
  <c r="AD78" i="57"/>
  <c r="AD42" i="57"/>
  <c r="AD13" i="57"/>
  <c r="AD109" i="57"/>
  <c r="AD83" i="57"/>
  <c r="AD64" i="57"/>
  <c r="AD25" i="57"/>
  <c r="AD66" i="57"/>
  <c r="AD41" i="57"/>
  <c r="AD27" i="57"/>
  <c r="AD16" i="57"/>
  <c r="AD34" i="57"/>
  <c r="AD9" i="57"/>
  <c r="AD61" i="57"/>
  <c r="AD36" i="57"/>
  <c r="AD97" i="57"/>
  <c r="J17" i="57"/>
  <c r="J23" i="57"/>
  <c r="AD84" i="57"/>
  <c r="AD10" i="57"/>
  <c r="AD77" i="57"/>
  <c r="AD52" i="57"/>
  <c r="AD112" i="57"/>
  <c r="AD115" i="57"/>
  <c r="AD106" i="57"/>
  <c r="AD98" i="57"/>
  <c r="AD15" i="57"/>
  <c r="AD59" i="57"/>
  <c r="AD79" i="57"/>
  <c r="AD75" i="57"/>
  <c r="AD7" i="57"/>
  <c r="AD5" i="57"/>
  <c r="AD53" i="57"/>
  <c r="AD89" i="57"/>
  <c r="AD113" i="57"/>
  <c r="AI62" i="43"/>
  <c r="O16" i="43"/>
  <c r="AI8" i="43"/>
  <c r="AI29" i="43"/>
  <c r="J16" i="57"/>
  <c r="J15" i="57"/>
  <c r="AF13" i="57"/>
  <c r="AD88" i="57"/>
  <c r="AD71" i="57"/>
  <c r="AD91" i="57"/>
  <c r="AD44" i="57"/>
  <c r="AD74" i="57"/>
  <c r="AD63" i="57"/>
  <c r="AD124" i="57"/>
  <c r="AI5" i="43"/>
  <c r="AI25" i="43"/>
  <c r="AI16" i="43"/>
  <c r="AI34" i="43"/>
  <c r="O19" i="43"/>
  <c r="AI57" i="43"/>
  <c r="AI42" i="43"/>
  <c r="AI36" i="43"/>
  <c r="J19" i="57"/>
  <c r="AD12" i="57"/>
  <c r="AI9" i="43"/>
  <c r="O17" i="43"/>
  <c r="AI22" i="43"/>
  <c r="AD86" i="57"/>
  <c r="AD35" i="57"/>
  <c r="AD40" i="57"/>
  <c r="AD121" i="57"/>
  <c r="AD56" i="57"/>
  <c r="AD68" i="57"/>
  <c r="AD120" i="57"/>
  <c r="AI28" i="43"/>
  <c r="AI54" i="43"/>
  <c r="AI18" i="43"/>
  <c r="AD23" i="57"/>
  <c r="AD39" i="57"/>
  <c r="AI47" i="43"/>
  <c r="J21" i="57"/>
  <c r="AI61" i="43"/>
  <c r="AI50" i="43"/>
  <c r="W9" i="43"/>
  <c r="AI14" i="43" s="1"/>
  <c r="AF92" i="57"/>
  <c r="AD14" i="57"/>
  <c r="AD100" i="57"/>
  <c r="AD90" i="57"/>
  <c r="AD117" i="57"/>
  <c r="AD60" i="57"/>
  <c r="AD58" i="57"/>
  <c r="AD65" i="57"/>
  <c r="AD18" i="57"/>
  <c r="K17" i="57"/>
  <c r="C30" i="57" s="1"/>
  <c r="H17" i="33" s="1"/>
  <c r="AE41" i="57"/>
  <c r="AE113" i="57"/>
  <c r="AE13" i="57"/>
  <c r="AE101" i="57"/>
  <c r="AE105" i="57"/>
  <c r="AE6" i="57"/>
  <c r="AE56" i="57"/>
  <c r="AE14" i="57"/>
  <c r="AE42" i="57"/>
  <c r="AE3" i="57"/>
  <c r="AE21" i="57"/>
  <c r="AE62" i="57"/>
  <c r="AE50" i="57"/>
  <c r="AE108" i="57"/>
  <c r="AE122" i="57"/>
  <c r="AE63" i="57"/>
  <c r="AE47" i="57"/>
  <c r="AE53" i="57"/>
  <c r="S3" i="57"/>
  <c r="AE87" i="57"/>
  <c r="AE81" i="57"/>
  <c r="AE117" i="57"/>
  <c r="AE30" i="57"/>
  <c r="AE18" i="57"/>
  <c r="AE120" i="57"/>
  <c r="AE11" i="57"/>
  <c r="AE80" i="57"/>
  <c r="AE104" i="57"/>
  <c r="AE123" i="57"/>
  <c r="AE61" i="57"/>
  <c r="AE114" i="57"/>
  <c r="AE76" i="57"/>
  <c r="AE36" i="57"/>
  <c r="AE97" i="57"/>
  <c r="AE48" i="57"/>
  <c r="K23" i="57"/>
  <c r="C36" i="57" s="1"/>
  <c r="H23" i="33" s="1"/>
  <c r="K24" i="57"/>
  <c r="C37" i="57" s="1"/>
  <c r="H24" i="33" s="1"/>
  <c r="AE67" i="57"/>
  <c r="AE66" i="57"/>
  <c r="AE16" i="57"/>
  <c r="AE118" i="57"/>
  <c r="AE100" i="57"/>
  <c r="AE109" i="57"/>
  <c r="AE115" i="57"/>
  <c r="AE116" i="57"/>
  <c r="AE121" i="57"/>
  <c r="AE59" i="57"/>
  <c r="AE71" i="57"/>
  <c r="AE4" i="57"/>
  <c r="AE44" i="57"/>
  <c r="AE92" i="57"/>
  <c r="AF71" i="57" l="1"/>
  <c r="AF95" i="57"/>
  <c r="AF32" i="57"/>
  <c r="AF26" i="57"/>
  <c r="AF23" i="57"/>
  <c r="AF114" i="57"/>
  <c r="AF17" i="57"/>
  <c r="AF117" i="57"/>
  <c r="AF73" i="57"/>
  <c r="AF58" i="57"/>
  <c r="AF3" i="57"/>
  <c r="AF18" i="57"/>
  <c r="AF83" i="57"/>
  <c r="AF27" i="57"/>
  <c r="AF61" i="57"/>
  <c r="AF96" i="57"/>
  <c r="AF113" i="57"/>
  <c r="AF31" i="57"/>
  <c r="AF101" i="57"/>
  <c r="AF120" i="57"/>
  <c r="AF62" i="57"/>
  <c r="AF116" i="57"/>
  <c r="AF80" i="57"/>
  <c r="AF109" i="57"/>
  <c r="AF81" i="57"/>
  <c r="AI15" i="43"/>
  <c r="L18" i="57"/>
  <c r="AI55" i="43"/>
  <c r="AI17" i="43"/>
  <c r="L17" i="57"/>
  <c r="AF124" i="57"/>
  <c r="L22" i="57"/>
  <c r="AF12" i="57"/>
  <c r="AF107" i="57"/>
  <c r="AI12" i="43"/>
  <c r="O21" i="43"/>
  <c r="O18" i="43"/>
  <c r="AI23" i="43"/>
  <c r="AI52" i="43"/>
  <c r="L23" i="57"/>
  <c r="AF94" i="57"/>
  <c r="AF10" i="57"/>
  <c r="L16" i="57"/>
  <c r="AF48" i="57"/>
  <c r="AI44" i="43"/>
  <c r="AI40" i="43"/>
  <c r="AI13" i="43"/>
  <c r="AI60" i="43"/>
  <c r="O20" i="43"/>
  <c r="AF5" i="57"/>
  <c r="AF66" i="57"/>
  <c r="AF72" i="57"/>
  <c r="AF46" i="57"/>
  <c r="AI56" i="43"/>
  <c r="AI41" i="43"/>
  <c r="AI19" i="43"/>
  <c r="AI10" i="43"/>
  <c r="AI53" i="43"/>
  <c r="AF11" i="57"/>
  <c r="AI63" i="43"/>
  <c r="AF36" i="57"/>
  <c r="AF40" i="57"/>
  <c r="AF59" i="57"/>
  <c r="AF122" i="57"/>
  <c r="AF33" i="57"/>
  <c r="AF39" i="57"/>
  <c r="AF70" i="57"/>
  <c r="L24" i="57"/>
  <c r="AF111" i="57"/>
  <c r="AF52" i="57"/>
  <c r="AF121" i="57"/>
  <c r="AF90" i="57"/>
  <c r="O15" i="43"/>
  <c r="AF68" i="57"/>
  <c r="AF29" i="57"/>
  <c r="AF8" i="57"/>
  <c r="AI65" i="43"/>
  <c r="AI43" i="43"/>
  <c r="AF50" i="57"/>
  <c r="AI38" i="43"/>
  <c r="AI58" i="43"/>
  <c r="AI59" i="43"/>
  <c r="AI33" i="43"/>
  <c r="AI24" i="43"/>
  <c r="AF35" i="57"/>
  <c r="AI45" i="43"/>
  <c r="AI51" i="43"/>
  <c r="AF42" i="57"/>
  <c r="AI32" i="43"/>
  <c r="AF43" i="57"/>
  <c r="AF20" i="57"/>
  <c r="AF112" i="57"/>
  <c r="AF115" i="57"/>
  <c r="AF7" i="57"/>
  <c r="AF89" i="57"/>
  <c r="AF41" i="57"/>
  <c r="P19" i="43"/>
  <c r="C29" i="43" s="1"/>
  <c r="H12" i="33" s="1"/>
  <c r="AJ63" i="43"/>
  <c r="AJ36" i="43"/>
  <c r="AJ19" i="43"/>
  <c r="AJ3" i="43"/>
  <c r="AJ14" i="43"/>
  <c r="AJ46" i="43"/>
  <c r="AJ45" i="43"/>
  <c r="AJ55" i="43"/>
  <c r="P20" i="43"/>
  <c r="C30" i="43" s="1"/>
  <c r="H13" i="33" s="1"/>
  <c r="AJ6" i="43"/>
  <c r="AJ48" i="43"/>
  <c r="AJ25" i="43"/>
  <c r="AJ5" i="43"/>
  <c r="AJ34" i="43"/>
  <c r="AJ62" i="43"/>
  <c r="AJ9" i="43"/>
  <c r="AJ50" i="43"/>
  <c r="P21" i="43"/>
  <c r="C31" i="43" s="1"/>
  <c r="H14" i="33" s="1"/>
  <c r="AJ44" i="43"/>
  <c r="AJ15" i="43"/>
  <c r="AJ30" i="43"/>
  <c r="AJ12" i="43"/>
  <c r="AJ16" i="43"/>
  <c r="AJ57" i="43"/>
  <c r="AJ39" i="43"/>
  <c r="AJ59" i="43"/>
  <c r="AJ13" i="43"/>
  <c r="AJ49" i="43"/>
  <c r="AJ11" i="43"/>
  <c r="AJ33" i="43"/>
  <c r="AJ17" i="43"/>
  <c r="AJ4" i="43"/>
  <c r="AJ54" i="43"/>
  <c r="AJ40" i="43"/>
  <c r="AJ53" i="43"/>
  <c r="AJ27" i="43"/>
  <c r="AJ56" i="43"/>
  <c r="AJ26" i="43"/>
  <c r="AJ43" i="43"/>
  <c r="AJ23" i="43"/>
  <c r="AJ21" i="43"/>
  <c r="AJ37" i="43"/>
  <c r="AJ7" i="43"/>
  <c r="AJ51" i="43"/>
  <c r="AJ20" i="43"/>
  <c r="AJ42" i="43"/>
  <c r="AJ35" i="43"/>
  <c r="AJ24" i="43"/>
  <c r="AJ31" i="43"/>
  <c r="P18" i="43"/>
  <c r="C28" i="43" s="1"/>
  <c r="H11" i="33" s="1"/>
  <c r="AJ8" i="43"/>
  <c r="P17" i="43"/>
  <c r="C27" i="43" s="1"/>
  <c r="H10" i="33" s="1"/>
  <c r="AJ65" i="43"/>
  <c r="AJ52" i="43"/>
  <c r="AJ47" i="43"/>
  <c r="AJ41" i="43"/>
  <c r="AJ18" i="43"/>
  <c r="AJ22" i="43"/>
  <c r="AJ64" i="43"/>
  <c r="P16" i="43"/>
  <c r="C26" i="43" s="1"/>
  <c r="H9" i="33" s="1"/>
  <c r="AJ60" i="43"/>
  <c r="AJ10" i="43"/>
  <c r="AJ28" i="43"/>
  <c r="AJ38" i="43"/>
  <c r="AJ61" i="43"/>
  <c r="AJ32" i="43"/>
  <c r="P15" i="43"/>
  <c r="C25" i="43" s="1"/>
  <c r="H8" i="33" s="1"/>
  <c r="AJ58" i="43"/>
  <c r="AJ29" i="43"/>
  <c r="AF38" i="57"/>
  <c r="AF84" i="57"/>
  <c r="AF34" i="57"/>
  <c r="AF87" i="57"/>
  <c r="AF49" i="57"/>
  <c r="AF64" i="57"/>
  <c r="AF86" i="57"/>
  <c r="L21" i="57"/>
  <c r="AF25" i="57"/>
  <c r="AF4" i="57"/>
  <c r="AF93" i="57"/>
  <c r="L20" i="57"/>
  <c r="AF105" i="57"/>
  <c r="L15" i="57"/>
  <c r="AF74" i="57"/>
  <c r="AF82" i="57"/>
  <c r="AF118" i="57"/>
  <c r="L19" i="57"/>
  <c r="AF103" i="57"/>
  <c r="AF79" i="57"/>
  <c r="AF21" i="57"/>
  <c r="AF9" i="57"/>
  <c r="AF99" i="57"/>
  <c r="AF19" i="57"/>
  <c r="AF75" i="57"/>
  <c r="AF85" i="57"/>
  <c r="AF100" i="57"/>
  <c r="AF98" i="57"/>
  <c r="AF63" i="57"/>
  <c r="AF51" i="57"/>
  <c r="AF54" i="57"/>
  <c r="AF22" i="57"/>
  <c r="AF53" i="57"/>
  <c r="AF24" i="57"/>
  <c r="AF65" i="57"/>
  <c r="AF55" i="57"/>
  <c r="AF97" i="57"/>
  <c r="AI21" i="43"/>
  <c r="AI49" i="43"/>
  <c r="AF78" i="57"/>
  <c r="AI46" i="43"/>
  <c r="AI27" i="43"/>
  <c r="AI64" i="43"/>
  <c r="AI35" i="43"/>
  <c r="AI11" i="43"/>
  <c r="AF104" i="57"/>
  <c r="AI30" i="43"/>
  <c r="AF76" i="57"/>
  <c r="AI26" i="43"/>
  <c r="AF60" i="57"/>
  <c r="AF57" i="57"/>
  <c r="AF110" i="57"/>
  <c r="AF6" i="57"/>
  <c r="AF28" i="57"/>
  <c r="AF56" i="57"/>
  <c r="AF102" i="57"/>
  <c r="AF77" i="57"/>
  <c r="AF30" i="57"/>
  <c r="AI39" i="43"/>
  <c r="AF16" i="57"/>
  <c r="AI48" i="43"/>
  <c r="AI20" i="43"/>
  <c r="AI6" i="43"/>
  <c r="AI37" i="43"/>
  <c r="AI31" i="43"/>
  <c r="AF14" i="57"/>
  <c r="AI7" i="43"/>
  <c r="AF106" i="57"/>
  <c r="AF91" i="57"/>
  <c r="AF67" i="57"/>
  <c r="AF44" i="57"/>
  <c r="AF69" i="57"/>
  <c r="AF45" i="57"/>
  <c r="AF15" i="57"/>
  <c r="AF108" i="57"/>
  <c r="AF88" i="57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<sst xmlns="http://schemas.openxmlformats.org/spreadsheetml/2006/main" count="550" uniqueCount="174">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</sst>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8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171" fontId="13" fillId="6" borderId="4" xfId="0" applyNumberFormat="1" applyFont="1" applyFill="1" applyBorder="1"/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3.2007441731982784E-4</c:v>
                </c:pt>
                <c:pt idx="1">
                  <c:v>3.2007441731982784E-4</c:v>
                </c:pt>
                <c:pt idx="2">
                  <c:v>3.2007441731982784E-4</c:v>
                </c:pt>
                <c:pt idx="3">
                  <c:v>3.2007441731982784E-4</c:v>
                </c:pt>
                <c:pt idx="4">
                  <c:v>3.2007441731982784E-4</c:v>
                </c:pt>
                <c:pt idx="5">
                  <c:v>3.2007441731982784E-4</c:v>
                </c:pt>
                <c:pt idx="6">
                  <c:v>3.2007441731982784E-4</c:v>
                </c:pt>
                <c:pt idx="7">
                  <c:v>3.2007441731982784E-4</c:v>
                </c:pt>
                <c:pt idx="8">
                  <c:v>3.2007441731982784E-4</c:v>
                </c:pt>
                <c:pt idx="9">
                  <c:v>3.2007441731982784E-4</c:v>
                </c:pt>
                <c:pt idx="10">
                  <c:v>3.2007441731982784E-4</c:v>
                </c:pt>
                <c:pt idx="11">
                  <c:v>3.2007441731982784E-4</c:v>
                </c:pt>
                <c:pt idx="12">
                  <c:v>3.2007441731982784E-4</c:v>
                </c:pt>
                <c:pt idx="13">
                  <c:v>3.2007441731982784E-4</c:v>
                </c:pt>
                <c:pt idx="14">
                  <c:v>3.2007441731982784E-4</c:v>
                </c:pt>
                <c:pt idx="15">
                  <c:v>3.2007441731982784E-4</c:v>
                </c:pt>
                <c:pt idx="16">
                  <c:v>3.2007441731982784E-4</c:v>
                </c:pt>
                <c:pt idx="17">
                  <c:v>3.2007441731982784E-4</c:v>
                </c:pt>
                <c:pt idx="18">
                  <c:v>3.2007441731982784E-4</c:v>
                </c:pt>
                <c:pt idx="19">
                  <c:v>3.2007441731982784E-4</c:v>
                </c:pt>
                <c:pt idx="20">
                  <c:v>3.2007441731982784E-4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192064"/>
        <c:axId val="425263488"/>
      </c:lineChart>
      <c:dateAx>
        <c:axId val="4251920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5263488"/>
        <c:crosses val="autoZero"/>
        <c:auto val="1"/>
        <c:lblOffset val="100"/>
        <c:baseTimeUnit val="days"/>
      </c:dateAx>
      <c:valAx>
        <c:axId val="4252634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5192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8.9057011714688598E-4</c:v>
                </c:pt>
                <c:pt idx="1">
                  <c:v>8.9057011714688598E-4</c:v>
                </c:pt>
                <c:pt idx="2">
                  <c:v>8.9057011714688598E-4</c:v>
                </c:pt>
                <c:pt idx="3">
                  <c:v>8.9057011714688598E-4</c:v>
                </c:pt>
                <c:pt idx="4">
                  <c:v>8.9057011714688598E-4</c:v>
                </c:pt>
                <c:pt idx="5">
                  <c:v>8.9057011714688598E-4</c:v>
                </c:pt>
                <c:pt idx="6">
                  <c:v>8.9057011714688598E-4</c:v>
                </c:pt>
                <c:pt idx="7">
                  <c:v>8.9057011714688598E-4</c:v>
                </c:pt>
                <c:pt idx="8">
                  <c:v>8.9057011714688598E-4</c:v>
                </c:pt>
                <c:pt idx="9">
                  <c:v>8.9057011714688598E-4</c:v>
                </c:pt>
                <c:pt idx="10">
                  <c:v>8.9057011714688598E-4</c:v>
                </c:pt>
                <c:pt idx="11">
                  <c:v>8.9057011714688598E-4</c:v>
                </c:pt>
                <c:pt idx="12">
                  <c:v>8.9057011714688598E-4</c:v>
                </c:pt>
                <c:pt idx="13">
                  <c:v>8.9057011714688598E-4</c:v>
                </c:pt>
                <c:pt idx="14">
                  <c:v>8.9057011714688598E-4</c:v>
                </c:pt>
                <c:pt idx="15">
                  <c:v>8.9057011714688598E-4</c:v>
                </c:pt>
                <c:pt idx="16">
                  <c:v>8.9057011714688598E-4</c:v>
                </c:pt>
                <c:pt idx="17">
                  <c:v>8.9057011714688598E-4</c:v>
                </c:pt>
                <c:pt idx="18">
                  <c:v>8.9057011714688598E-4</c:v>
                </c:pt>
                <c:pt idx="19">
                  <c:v>8.9057011714688598E-4</c:v>
                </c:pt>
                <c:pt idx="20">
                  <c:v>8.9057011714688598E-4</c:v>
                </c:pt>
                <c:pt idx="21">
                  <c:v>8.9057011714688598E-4</c:v>
                </c:pt>
                <c:pt idx="22">
                  <c:v>8.9057011714688598E-4</c:v>
                </c:pt>
                <c:pt idx="23">
                  <c:v>8.9057011714688598E-4</c:v>
                </c:pt>
                <c:pt idx="24">
                  <c:v>8.9057011714688598E-4</c:v>
                </c:pt>
                <c:pt idx="25">
                  <c:v>8.9057011714688598E-4</c:v>
                </c:pt>
                <c:pt idx="26">
                  <c:v>8.9057011714688598E-4</c:v>
                </c:pt>
                <c:pt idx="27">
                  <c:v>8.9057011714688598E-4</c:v>
                </c:pt>
                <c:pt idx="28">
                  <c:v>8.9057011714688598E-4</c:v>
                </c:pt>
                <c:pt idx="29">
                  <c:v>8.9057011714688598E-4</c:v>
                </c:pt>
                <c:pt idx="30">
                  <c:v>8.9057011714688598E-4</c:v>
                </c:pt>
                <c:pt idx="31">
                  <c:v>8.9057011714688598E-4</c:v>
                </c:pt>
                <c:pt idx="32">
                  <c:v>8.9057011714688598E-4</c:v>
                </c:pt>
                <c:pt idx="33">
                  <c:v>8.9057011714688598E-4</c:v>
                </c:pt>
                <c:pt idx="34">
                  <c:v>8.9057011714688598E-4</c:v>
                </c:pt>
                <c:pt idx="35">
                  <c:v>8.9057011714688598E-4</c:v>
                </c:pt>
                <c:pt idx="36">
                  <c:v>8.9057011714688598E-4</c:v>
                </c:pt>
                <c:pt idx="37">
                  <c:v>8.9057011714688598E-4</c:v>
                </c:pt>
                <c:pt idx="38">
                  <c:v>8.9057011714688598E-4</c:v>
                </c:pt>
                <c:pt idx="39">
                  <c:v>8.9057011714688598E-4</c:v>
                </c:pt>
                <c:pt idx="40">
                  <c:v>8.9057011714688598E-4</c:v>
                </c:pt>
                <c:pt idx="41">
                  <c:v>8.9057011714688598E-4</c:v>
                </c:pt>
                <c:pt idx="42">
                  <c:v>8.9057011714688598E-4</c:v>
                </c:pt>
                <c:pt idx="43">
                  <c:v>8.9057011714688598E-4</c:v>
                </c:pt>
                <c:pt idx="44">
                  <c:v>8.9057011714688598E-4</c:v>
                </c:pt>
                <c:pt idx="45">
                  <c:v>8.9057011714688598E-4</c:v>
                </c:pt>
                <c:pt idx="46">
                  <c:v>8.9057011714688598E-4</c:v>
                </c:pt>
                <c:pt idx="47">
                  <c:v>8.9057011714688598E-4</c:v>
                </c:pt>
                <c:pt idx="48">
                  <c:v>8.9057011714688598E-4</c:v>
                </c:pt>
                <c:pt idx="49">
                  <c:v>8.9057011714688598E-4</c:v>
                </c:pt>
                <c:pt idx="50">
                  <c:v>8.9057011714688598E-4</c:v>
                </c:pt>
                <c:pt idx="51">
                  <c:v>8.9057011714688598E-4</c:v>
                </c:pt>
                <c:pt idx="52">
                  <c:v>8.9057011714688598E-4</c:v>
                </c:pt>
                <c:pt idx="53">
                  <c:v>8.9057011714688598E-4</c:v>
                </c:pt>
                <c:pt idx="54">
                  <c:v>8.9057011714688598E-4</c:v>
                </c:pt>
                <c:pt idx="55">
                  <c:v>8.9057011714688598E-4</c:v>
                </c:pt>
                <c:pt idx="56">
                  <c:v>8.9057011714688598E-4</c:v>
                </c:pt>
                <c:pt idx="57">
                  <c:v>8.9057011714688598E-4</c:v>
                </c:pt>
                <c:pt idx="58">
                  <c:v>8.9057011714688598E-4</c:v>
                </c:pt>
                <c:pt idx="59">
                  <c:v>8.9057011714688598E-4</c:v>
                </c:pt>
                <c:pt idx="60">
                  <c:v>8.9057011714688598E-4</c:v>
                </c:pt>
                <c:pt idx="61">
                  <c:v>8.9057011714688598E-4</c:v>
                </c:pt>
                <c:pt idx="62">
                  <c:v>8.9057011714688598E-4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1.0736218032533289E-3</c:v>
                </c:pt>
                <c:pt idx="1">
                  <c:v>1.0696424187727541E-3</c:v>
                </c:pt>
                <c:pt idx="2">
                  <c:v>1.0656630342921792E-3</c:v>
                </c:pt>
                <c:pt idx="3">
                  <c:v>1.0616836498116044E-3</c:v>
                </c:pt>
                <c:pt idx="4">
                  <c:v>1.0577042653310295E-3</c:v>
                </c:pt>
                <c:pt idx="5">
                  <c:v>1.045766111889305E-3</c:v>
                </c:pt>
                <c:pt idx="6">
                  <c:v>1.0417867274087303E-3</c:v>
                </c:pt>
                <c:pt idx="7">
                  <c:v>1.0378073429281555E-3</c:v>
                </c:pt>
                <c:pt idx="8">
                  <c:v>1.0338279584475806E-3</c:v>
                </c:pt>
                <c:pt idx="9">
                  <c:v>1.0298485739670057E-3</c:v>
                </c:pt>
                <c:pt idx="10">
                  <c:v>1.0179104205252812E-3</c:v>
                </c:pt>
                <c:pt idx="11">
                  <c:v>1.0139310360447063E-3</c:v>
                </c:pt>
                <c:pt idx="12">
                  <c:v>1.0099516515641315E-3</c:v>
                </c:pt>
                <c:pt idx="13">
                  <c:v>1.0059722670835566E-3</c:v>
                </c:pt>
                <c:pt idx="14">
                  <c:v>1.0019928826029817E-3</c:v>
                </c:pt>
                <c:pt idx="15">
                  <c:v>9.9005472916125718E-4</c:v>
                </c:pt>
                <c:pt idx="16">
                  <c:v>9.8607534468068232E-4</c:v>
                </c:pt>
                <c:pt idx="17">
                  <c:v>9.8209596020010768E-4</c:v>
                </c:pt>
                <c:pt idx="18">
                  <c:v>9.7811657571953282E-4</c:v>
                </c:pt>
                <c:pt idx="19">
                  <c:v>9.7413719123895786E-4</c:v>
                </c:pt>
                <c:pt idx="20">
                  <c:v>9.621990377972334E-4</c:v>
                </c:pt>
                <c:pt idx="21">
                  <c:v>9.5821965331665854E-4</c:v>
                </c:pt>
                <c:pt idx="22">
                  <c:v>9.5424026883608368E-4</c:v>
                </c:pt>
                <c:pt idx="23">
                  <c:v>9.5026088435550883E-4</c:v>
                </c:pt>
                <c:pt idx="24">
                  <c:v>9.4628149987493397E-4</c:v>
                </c:pt>
                <c:pt idx="25">
                  <c:v>9.3434334643320951E-4</c:v>
                </c:pt>
                <c:pt idx="26">
                  <c:v>9.3036396195263465E-4</c:v>
                </c:pt>
                <c:pt idx="27">
                  <c:v>9.2638457747205979E-4</c:v>
                </c:pt>
                <c:pt idx="28">
                  <c:v>9.2240519299148494E-4</c:v>
                </c:pt>
                <c:pt idx="29">
                  <c:v>9.1842580851091008E-4</c:v>
                </c:pt>
                <c:pt idx="30">
                  <c:v>9.0648765506918562E-4</c:v>
                </c:pt>
                <c:pt idx="31">
                  <c:v>9.0250827058861076E-4</c:v>
                </c:pt>
                <c:pt idx="32">
                  <c:v>8.9852888610803591E-4</c:v>
                </c:pt>
                <c:pt idx="33">
                  <c:v>8.9454950162746105E-4</c:v>
                </c:pt>
                <c:pt idx="34">
                  <c:v>8.9057011714688619E-4</c:v>
                </c:pt>
                <c:pt idx="35">
                  <c:v>8.7863196370516173E-4</c:v>
                </c:pt>
                <c:pt idx="36">
                  <c:v>8.7465257922458677E-4</c:v>
                </c:pt>
                <c:pt idx="37">
                  <c:v>8.7067319474401202E-4</c:v>
                </c:pt>
                <c:pt idx="38">
                  <c:v>8.6669381026343716E-4</c:v>
                </c:pt>
                <c:pt idx="39">
                  <c:v>8.627144257828623E-4</c:v>
                </c:pt>
                <c:pt idx="40">
                  <c:v>8.5077627234113784E-4</c:v>
                </c:pt>
                <c:pt idx="41">
                  <c:v>8.4679688786056299E-4</c:v>
                </c:pt>
                <c:pt idx="42">
                  <c:v>8.4281750337998813E-4</c:v>
                </c:pt>
                <c:pt idx="43">
                  <c:v>8.3883811889941327E-4</c:v>
                </c:pt>
                <c:pt idx="44">
                  <c:v>8.3485873441883842E-4</c:v>
                </c:pt>
                <c:pt idx="45">
                  <c:v>8.2292058097711385E-4</c:v>
                </c:pt>
                <c:pt idx="46">
                  <c:v>8.1894119649653899E-4</c:v>
                </c:pt>
                <c:pt idx="47">
                  <c:v>8.1496181201596413E-4</c:v>
                </c:pt>
                <c:pt idx="48">
                  <c:v>8.1098242753538938E-4</c:v>
                </c:pt>
                <c:pt idx="49">
                  <c:v>8.0700304305481453E-4</c:v>
                </c:pt>
                <c:pt idx="50">
                  <c:v>7.9506488961309007E-4</c:v>
                </c:pt>
                <c:pt idx="51">
                  <c:v>7.9108550513251521E-4</c:v>
                </c:pt>
                <c:pt idx="52">
                  <c:v>7.8710612065194035E-4</c:v>
                </c:pt>
                <c:pt idx="53">
                  <c:v>7.831267361713655E-4</c:v>
                </c:pt>
                <c:pt idx="54">
                  <c:v>7.7914735169079064E-4</c:v>
                </c:pt>
                <c:pt idx="55">
                  <c:v>7.6720919824906607E-4</c:v>
                </c:pt>
                <c:pt idx="56">
                  <c:v>7.6322981376849121E-4</c:v>
                </c:pt>
                <c:pt idx="57">
                  <c:v>7.5925042928791635E-4</c:v>
                </c:pt>
                <c:pt idx="58">
                  <c:v>7.5527104480734161E-4</c:v>
                </c:pt>
                <c:pt idx="59">
                  <c:v>7.5129166032676664E-4</c:v>
                </c:pt>
                <c:pt idx="60">
                  <c:v>7.3935350688504218E-4</c:v>
                </c:pt>
                <c:pt idx="61">
                  <c:v>7.3537412240446743E-4</c:v>
                </c:pt>
                <c:pt idx="62">
                  <c:v>7.3139473792389257E-4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1.1255352134741784E-3</c:v>
                </c:pt>
                <c:pt idx="1">
                  <c:v>1.119304925038734E-3</c:v>
                </c:pt>
                <c:pt idx="2">
                  <c:v>1.113111841627337E-3</c:v>
                </c:pt>
                <c:pt idx="3">
                  <c:v>1.1069559632399875E-3</c:v>
                </c:pt>
                <c:pt idx="4">
                  <c:v>1.1008372898766851E-3</c:v>
                </c:pt>
                <c:pt idx="5">
                  <c:v>1.0827044999310632E-3</c:v>
                </c:pt>
                <c:pt idx="6">
                  <c:v>1.0767346466639507E-3</c:v>
                </c:pt>
                <c:pt idx="7">
                  <c:v>1.0708019984208858E-3</c:v>
                </c:pt>
                <c:pt idx="8">
                  <c:v>1.0649065552018682E-3</c:v>
                </c:pt>
                <c:pt idx="9">
                  <c:v>1.0590483170068981E-3</c:v>
                </c:pt>
                <c:pt idx="10">
                  <c:v>1.0416968325662722E-3</c:v>
                </c:pt>
                <c:pt idx="11">
                  <c:v>1.0359874144674917E-3</c:v>
                </c:pt>
                <c:pt idx="12">
                  <c:v>1.0303152013927588E-3</c:v>
                </c:pt>
                <c:pt idx="13">
                  <c:v>1.0246801933420733E-3</c:v>
                </c:pt>
                <c:pt idx="14">
                  <c:v>1.0190823903154353E-3</c:v>
                </c:pt>
                <c:pt idx="15">
                  <c:v>1.0025122113798053E-3</c:v>
                </c:pt>
                <c:pt idx="16">
                  <c:v>9.9706322844935694E-4</c:v>
                </c:pt>
                <c:pt idx="17">
                  <c:v>9.9165145054295589E-4</c:v>
                </c:pt>
                <c:pt idx="18">
                  <c:v>9.8627687766060252E-4</c:v>
                </c:pt>
                <c:pt idx="19">
                  <c:v>9.809395098022962E-4</c:v>
                </c:pt>
                <c:pt idx="20">
                  <c:v>9.6515063637166263E-4</c:v>
                </c:pt>
                <c:pt idx="21">
                  <c:v>9.5996208860954621E-4</c:v>
                </c:pt>
                <c:pt idx="22">
                  <c:v>9.5481074587147727E-4</c:v>
                </c:pt>
                <c:pt idx="23">
                  <c:v>9.4969660815745569E-4</c:v>
                </c:pt>
                <c:pt idx="24">
                  <c:v>9.4461967546748159E-4</c:v>
                </c:pt>
                <c:pt idx="25">
                  <c:v>9.2961210754184394E-4</c:v>
                </c:pt>
                <c:pt idx="26">
                  <c:v>9.2468399494805952E-4</c:v>
                </c:pt>
                <c:pt idx="27">
                  <c:v>9.197930873783227E-4</c:v>
                </c:pt>
                <c:pt idx="28">
                  <c:v>9.1493938483263313E-4</c:v>
                </c:pt>
                <c:pt idx="29">
                  <c:v>9.1012288731099115E-4</c:v>
                </c:pt>
                <c:pt idx="30">
                  <c:v>8.9589662489034951E-4</c:v>
                </c:pt>
                <c:pt idx="31">
                  <c:v>8.9122894746489711E-4</c:v>
                </c:pt>
                <c:pt idx="32">
                  <c:v>8.8659847506349218E-4</c:v>
                </c:pt>
                <c:pt idx="33">
                  <c:v>8.8200520768613472E-4</c:v>
                </c:pt>
                <c:pt idx="34">
                  <c:v>8.7744914533282475E-4</c:v>
                </c:pt>
                <c:pt idx="35">
                  <c:v>8.6400418841717903E-4</c:v>
                </c:pt>
                <c:pt idx="36">
                  <c:v>8.5959694616005874E-4</c:v>
                </c:pt>
                <c:pt idx="37">
                  <c:v>8.5522690892698581E-4</c:v>
                </c:pt>
                <c:pt idx="38">
                  <c:v>8.5089407671796048E-4</c:v>
                </c:pt>
                <c:pt idx="39">
                  <c:v>8.465984495329824E-4</c:v>
                </c:pt>
                <c:pt idx="40">
                  <c:v>8.3393479812233291E-4</c:v>
                </c:pt>
                <c:pt idx="41">
                  <c:v>8.2978799103354463E-4</c:v>
                </c:pt>
                <c:pt idx="42">
                  <c:v>8.2567838896880372E-4</c:v>
                </c:pt>
                <c:pt idx="43">
                  <c:v>8.2160599192811028E-4</c:v>
                </c:pt>
                <c:pt idx="44">
                  <c:v>8.1757079991146432E-4</c:v>
                </c:pt>
                <c:pt idx="45">
                  <c:v>8.0568845400581096E-4</c:v>
                </c:pt>
                <c:pt idx="46">
                  <c:v>8.0180208208535447E-4</c:v>
                </c:pt>
                <c:pt idx="47">
                  <c:v>7.9795291518894578E-4</c:v>
                </c:pt>
                <c:pt idx="48">
                  <c:v>7.9414095331658424E-4</c:v>
                </c:pt>
                <c:pt idx="49">
                  <c:v>7.9036619646827039E-4</c:v>
                </c:pt>
                <c:pt idx="50">
                  <c:v>7.7926515606761284E-4</c:v>
                </c:pt>
                <c:pt idx="51">
                  <c:v>7.7563921931548868E-4</c:v>
                </c:pt>
                <c:pt idx="52">
                  <c:v>7.7205048758741178E-4</c:v>
                </c:pt>
                <c:pt idx="53">
                  <c:v>7.6849896088338246E-4</c:v>
                </c:pt>
                <c:pt idx="54">
                  <c:v>7.6498463920340041E-4</c:v>
                </c:pt>
                <c:pt idx="55">
                  <c:v>7.5466490430773909E-4</c:v>
                </c:pt>
                <c:pt idx="56">
                  <c:v>7.5129940272394683E-4</c:v>
                </c:pt>
                <c:pt idx="57">
                  <c:v>7.4797110616420205E-4</c:v>
                </c:pt>
                <c:pt idx="58">
                  <c:v>7.4468001462850474E-4</c:v>
                </c:pt>
                <c:pt idx="59">
                  <c:v>7.4142612811685469E-4</c:v>
                </c:pt>
                <c:pt idx="60">
                  <c:v>7.318876987261895E-4</c:v>
                </c:pt>
                <c:pt idx="61">
                  <c:v>7.2878263231072925E-4</c:v>
                </c:pt>
                <c:pt idx="62">
                  <c:v>7.2571477091931636E-4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991104"/>
        <c:axId val="416992640"/>
      </c:lineChart>
      <c:dateAx>
        <c:axId val="4169911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6992640"/>
        <c:crosses val="autoZero"/>
        <c:auto val="1"/>
        <c:lblOffset val="100"/>
        <c:baseTimeUnit val="days"/>
      </c:dateAx>
      <c:valAx>
        <c:axId val="4169926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6991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1.5717378361623517E-3</c:v>
                </c:pt>
                <c:pt idx="1">
                  <c:v>1.5717378361623517E-3</c:v>
                </c:pt>
                <c:pt idx="2">
                  <c:v>1.5717378361623517E-3</c:v>
                </c:pt>
                <c:pt idx="3">
                  <c:v>1.5717378361623517E-3</c:v>
                </c:pt>
                <c:pt idx="4">
                  <c:v>1.5717378361623517E-3</c:v>
                </c:pt>
                <c:pt idx="5">
                  <c:v>1.5717378361623517E-3</c:v>
                </c:pt>
                <c:pt idx="6">
                  <c:v>1.5717378361623517E-3</c:v>
                </c:pt>
                <c:pt idx="7">
                  <c:v>1.5717378361623517E-3</c:v>
                </c:pt>
                <c:pt idx="8">
                  <c:v>1.5717378361623517E-3</c:v>
                </c:pt>
                <c:pt idx="9">
                  <c:v>1.5717378361623517E-3</c:v>
                </c:pt>
                <c:pt idx="10">
                  <c:v>1.5717378361623517E-3</c:v>
                </c:pt>
                <c:pt idx="11">
                  <c:v>1.5717378361623517E-3</c:v>
                </c:pt>
                <c:pt idx="12">
                  <c:v>1.5717378361623517E-3</c:v>
                </c:pt>
                <c:pt idx="13">
                  <c:v>1.5717378361623517E-3</c:v>
                </c:pt>
                <c:pt idx="14">
                  <c:v>1.5717378361623517E-3</c:v>
                </c:pt>
                <c:pt idx="15">
                  <c:v>1.5717378361623517E-3</c:v>
                </c:pt>
                <c:pt idx="16">
                  <c:v>1.5717378361623517E-3</c:v>
                </c:pt>
                <c:pt idx="17">
                  <c:v>1.5717378361623517E-3</c:v>
                </c:pt>
                <c:pt idx="18">
                  <c:v>1.5717378361623517E-3</c:v>
                </c:pt>
                <c:pt idx="19">
                  <c:v>1.5717378361623517E-3</c:v>
                </c:pt>
                <c:pt idx="20">
                  <c:v>1.5717378361623517E-3</c:v>
                </c:pt>
                <c:pt idx="21">
                  <c:v>1.5717378361623517E-3</c:v>
                </c:pt>
                <c:pt idx="22">
                  <c:v>1.5717378361623517E-3</c:v>
                </c:pt>
                <c:pt idx="23">
                  <c:v>1.5717378361623517E-3</c:v>
                </c:pt>
                <c:pt idx="24">
                  <c:v>1.5717378361623517E-3</c:v>
                </c:pt>
                <c:pt idx="25">
                  <c:v>1.5717378361623517E-3</c:v>
                </c:pt>
                <c:pt idx="26">
                  <c:v>1.5717378361623517E-3</c:v>
                </c:pt>
                <c:pt idx="27">
                  <c:v>1.5717378361623517E-3</c:v>
                </c:pt>
                <c:pt idx="28">
                  <c:v>1.5717378361623517E-3</c:v>
                </c:pt>
                <c:pt idx="29">
                  <c:v>1.5717378361623517E-3</c:v>
                </c:pt>
                <c:pt idx="30">
                  <c:v>1.5717378361623517E-3</c:v>
                </c:pt>
                <c:pt idx="31">
                  <c:v>1.5717378361623517E-3</c:v>
                </c:pt>
                <c:pt idx="32">
                  <c:v>1.5717378361623517E-3</c:v>
                </c:pt>
                <c:pt idx="33">
                  <c:v>1.5717378361623517E-3</c:v>
                </c:pt>
                <c:pt idx="34">
                  <c:v>1.5717378361623517E-3</c:v>
                </c:pt>
                <c:pt idx="35">
                  <c:v>1.5717378361623517E-3</c:v>
                </c:pt>
                <c:pt idx="36">
                  <c:v>1.5717378361623517E-3</c:v>
                </c:pt>
                <c:pt idx="37">
                  <c:v>1.5717378361623517E-3</c:v>
                </c:pt>
                <c:pt idx="38">
                  <c:v>1.5717378361623517E-3</c:v>
                </c:pt>
                <c:pt idx="39">
                  <c:v>1.5717378361623517E-3</c:v>
                </c:pt>
                <c:pt idx="40">
                  <c:v>1.5717378361623517E-3</c:v>
                </c:pt>
                <c:pt idx="41">
                  <c:v>1.5717378361623517E-3</c:v>
                </c:pt>
                <c:pt idx="42">
                  <c:v>1.5717378361623517E-3</c:v>
                </c:pt>
                <c:pt idx="43">
                  <c:v>1.5717378361623517E-3</c:v>
                </c:pt>
                <c:pt idx="44">
                  <c:v>1.5717378361623517E-3</c:v>
                </c:pt>
                <c:pt idx="45">
                  <c:v>1.5717378361623517E-3</c:v>
                </c:pt>
                <c:pt idx="46">
                  <c:v>1.5717378361623517E-3</c:v>
                </c:pt>
                <c:pt idx="47">
                  <c:v>1.5717378361623517E-3</c:v>
                </c:pt>
                <c:pt idx="48">
                  <c:v>1.5717378361623517E-3</c:v>
                </c:pt>
                <c:pt idx="49">
                  <c:v>1.5717378361623517E-3</c:v>
                </c:pt>
                <c:pt idx="50">
                  <c:v>1.5717378361623517E-3</c:v>
                </c:pt>
                <c:pt idx="51">
                  <c:v>1.5717378361623517E-3</c:v>
                </c:pt>
                <c:pt idx="52">
                  <c:v>1.5717378361623517E-3</c:v>
                </c:pt>
                <c:pt idx="53">
                  <c:v>1.5717378361623517E-3</c:v>
                </c:pt>
                <c:pt idx="54">
                  <c:v>1.5717378361623517E-3</c:v>
                </c:pt>
                <c:pt idx="55">
                  <c:v>1.5717378361623517E-3</c:v>
                </c:pt>
                <c:pt idx="56">
                  <c:v>1.5717378361623517E-3</c:v>
                </c:pt>
                <c:pt idx="57">
                  <c:v>1.5717378361623517E-3</c:v>
                </c:pt>
                <c:pt idx="58">
                  <c:v>1.5717378361623517E-3</c:v>
                </c:pt>
                <c:pt idx="59">
                  <c:v>1.5717378361623517E-3</c:v>
                </c:pt>
                <c:pt idx="60">
                  <c:v>1.5717378361623517E-3</c:v>
                </c:pt>
                <c:pt idx="61">
                  <c:v>1.5717378361623517E-3</c:v>
                </c:pt>
                <c:pt idx="62">
                  <c:v>1.5717378361623517E-3</c:v>
                </c:pt>
                <c:pt idx="63">
                  <c:v>1.5717378361623517E-3</c:v>
                </c:pt>
                <c:pt idx="64">
                  <c:v>1.5717378361623517E-3</c:v>
                </c:pt>
                <c:pt idx="65">
                  <c:v>1.5717378361623517E-3</c:v>
                </c:pt>
                <c:pt idx="66">
                  <c:v>1.5717378361623517E-3</c:v>
                </c:pt>
                <c:pt idx="67">
                  <c:v>1.5717378361623517E-3</c:v>
                </c:pt>
                <c:pt idx="68">
                  <c:v>1.5717378361623517E-3</c:v>
                </c:pt>
                <c:pt idx="69">
                  <c:v>1.5717378361623517E-3</c:v>
                </c:pt>
                <c:pt idx="70">
                  <c:v>1.5717378361623517E-3</c:v>
                </c:pt>
                <c:pt idx="71">
                  <c:v>1.5717378361623517E-3</c:v>
                </c:pt>
                <c:pt idx="72">
                  <c:v>1.5717378361623517E-3</c:v>
                </c:pt>
                <c:pt idx="73">
                  <c:v>1.5717378361623517E-3</c:v>
                </c:pt>
                <c:pt idx="74">
                  <c:v>1.5717378361623517E-3</c:v>
                </c:pt>
                <c:pt idx="75">
                  <c:v>1.5717378361623517E-3</c:v>
                </c:pt>
                <c:pt idx="76">
                  <c:v>1.5717378361623517E-3</c:v>
                </c:pt>
                <c:pt idx="77">
                  <c:v>1.5717378361623517E-3</c:v>
                </c:pt>
                <c:pt idx="78">
                  <c:v>1.5717378361623517E-3</c:v>
                </c:pt>
                <c:pt idx="79">
                  <c:v>1.5717378361623517E-3</c:v>
                </c:pt>
                <c:pt idx="80">
                  <c:v>1.5717378361623517E-3</c:v>
                </c:pt>
                <c:pt idx="81">
                  <c:v>1.5717378361623517E-3</c:v>
                </c:pt>
                <c:pt idx="82">
                  <c:v>1.5717378361623517E-3</c:v>
                </c:pt>
                <c:pt idx="83">
                  <c:v>1.5717378361623517E-3</c:v>
                </c:pt>
                <c:pt idx="84">
                  <c:v>1.5717378361623517E-3</c:v>
                </c:pt>
                <c:pt idx="85">
                  <c:v>1.5717378361623517E-3</c:v>
                </c:pt>
                <c:pt idx="86">
                  <c:v>1.5717378361623517E-3</c:v>
                </c:pt>
                <c:pt idx="87">
                  <c:v>1.5717378361623517E-3</c:v>
                </c:pt>
                <c:pt idx="88">
                  <c:v>1.5717378361623517E-3</c:v>
                </c:pt>
                <c:pt idx="89">
                  <c:v>1.5717378361623517E-3</c:v>
                </c:pt>
                <c:pt idx="90">
                  <c:v>1.5717378361623517E-3</c:v>
                </c:pt>
                <c:pt idx="91">
                  <c:v>1.5717378361623517E-3</c:v>
                </c:pt>
                <c:pt idx="92">
                  <c:v>1.5717378361623517E-3</c:v>
                </c:pt>
                <c:pt idx="93">
                  <c:v>1.5717378361623517E-3</c:v>
                </c:pt>
                <c:pt idx="94">
                  <c:v>1.5717378361623517E-3</c:v>
                </c:pt>
                <c:pt idx="95">
                  <c:v>1.5717378361623517E-3</c:v>
                </c:pt>
                <c:pt idx="96">
                  <c:v>1.5717378361623517E-3</c:v>
                </c:pt>
                <c:pt idx="97">
                  <c:v>1.5717378361623517E-3</c:v>
                </c:pt>
                <c:pt idx="98">
                  <c:v>1.5717378361623517E-3</c:v>
                </c:pt>
                <c:pt idx="99">
                  <c:v>1.5717378361623517E-3</c:v>
                </c:pt>
                <c:pt idx="100">
                  <c:v>1.5717378361623517E-3</c:v>
                </c:pt>
                <c:pt idx="101">
                  <c:v>1.5717378361623517E-3</c:v>
                </c:pt>
                <c:pt idx="102">
                  <c:v>1.5717378361623517E-3</c:v>
                </c:pt>
                <c:pt idx="103">
                  <c:v>1.5717378361623517E-3</c:v>
                </c:pt>
                <c:pt idx="104">
                  <c:v>1.5717378361623517E-3</c:v>
                </c:pt>
                <c:pt idx="105">
                  <c:v>1.5717378361623517E-3</c:v>
                </c:pt>
                <c:pt idx="106">
                  <c:v>1.5717378361623517E-3</c:v>
                </c:pt>
                <c:pt idx="107">
                  <c:v>1.5717378361623517E-3</c:v>
                </c:pt>
                <c:pt idx="108">
                  <c:v>1.5717378361623517E-3</c:v>
                </c:pt>
                <c:pt idx="109">
                  <c:v>1.5717378361623517E-3</c:v>
                </c:pt>
                <c:pt idx="110">
                  <c:v>1.5717378361623517E-3</c:v>
                </c:pt>
                <c:pt idx="111">
                  <c:v>1.5717378361623517E-3</c:v>
                </c:pt>
                <c:pt idx="112">
                  <c:v>1.5717378361623517E-3</c:v>
                </c:pt>
                <c:pt idx="113">
                  <c:v>1.5717378361623517E-3</c:v>
                </c:pt>
                <c:pt idx="114">
                  <c:v>1.5717378361623517E-3</c:v>
                </c:pt>
                <c:pt idx="115">
                  <c:v>1.5717378361623517E-3</c:v>
                </c:pt>
                <c:pt idx="116">
                  <c:v>1.5717378361623517E-3</c:v>
                </c:pt>
                <c:pt idx="117">
                  <c:v>1.5717378361623517E-3</c:v>
                </c:pt>
                <c:pt idx="118">
                  <c:v>1.5717378361623517E-3</c:v>
                </c:pt>
                <c:pt idx="119">
                  <c:v>1.5717378361623517E-3</c:v>
                </c:pt>
                <c:pt idx="120">
                  <c:v>1.5717378361623517E-3</c:v>
                </c:pt>
                <c:pt idx="121">
                  <c:v>1.5717378361623517E-3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1.292056789715992E-3</c:v>
                </c:pt>
                <c:pt idx="1">
                  <c:v>1.2951134131744223E-3</c:v>
                </c:pt>
                <c:pt idx="2">
                  <c:v>1.2981700366328523E-3</c:v>
                </c:pt>
                <c:pt idx="3">
                  <c:v>1.3012266600912826E-3</c:v>
                </c:pt>
                <c:pt idx="4">
                  <c:v>1.3042832835497126E-3</c:v>
                </c:pt>
                <c:pt idx="5">
                  <c:v>1.3134531539250032E-3</c:v>
                </c:pt>
                <c:pt idx="6">
                  <c:v>1.3165097773834332E-3</c:v>
                </c:pt>
                <c:pt idx="7">
                  <c:v>1.3195664008418635E-3</c:v>
                </c:pt>
                <c:pt idx="8">
                  <c:v>1.3226230243002937E-3</c:v>
                </c:pt>
                <c:pt idx="9">
                  <c:v>1.3256796477587238E-3</c:v>
                </c:pt>
                <c:pt idx="10">
                  <c:v>1.3348495181340144E-3</c:v>
                </c:pt>
                <c:pt idx="11">
                  <c:v>1.3379061415924444E-3</c:v>
                </c:pt>
                <c:pt idx="12">
                  <c:v>1.3409627650508747E-3</c:v>
                </c:pt>
                <c:pt idx="13">
                  <c:v>1.3440193885093047E-3</c:v>
                </c:pt>
                <c:pt idx="14">
                  <c:v>1.347076011967735E-3</c:v>
                </c:pt>
                <c:pt idx="15">
                  <c:v>1.3562458823430255E-3</c:v>
                </c:pt>
                <c:pt idx="16">
                  <c:v>1.3593025058014556E-3</c:v>
                </c:pt>
                <c:pt idx="17">
                  <c:v>1.3623591292598858E-3</c:v>
                </c:pt>
                <c:pt idx="18">
                  <c:v>1.3654157527183159E-3</c:v>
                </c:pt>
                <c:pt idx="19">
                  <c:v>1.3684723761767461E-3</c:v>
                </c:pt>
                <c:pt idx="20">
                  <c:v>1.3776422465520367E-3</c:v>
                </c:pt>
                <c:pt idx="21">
                  <c:v>1.3806988700104667E-3</c:v>
                </c:pt>
                <c:pt idx="22">
                  <c:v>1.383755493468897E-3</c:v>
                </c:pt>
                <c:pt idx="23">
                  <c:v>1.386812116927327E-3</c:v>
                </c:pt>
                <c:pt idx="24">
                  <c:v>1.3898687403857573E-3</c:v>
                </c:pt>
                <c:pt idx="25">
                  <c:v>1.3990386107610477E-3</c:v>
                </c:pt>
                <c:pt idx="26">
                  <c:v>1.4020952342194779E-3</c:v>
                </c:pt>
                <c:pt idx="27">
                  <c:v>1.4051518576779082E-3</c:v>
                </c:pt>
                <c:pt idx="28">
                  <c:v>1.4082084811363382E-3</c:v>
                </c:pt>
                <c:pt idx="29">
                  <c:v>1.4112651045947685E-3</c:v>
                </c:pt>
                <c:pt idx="30">
                  <c:v>1.4204349749700588E-3</c:v>
                </c:pt>
                <c:pt idx="31">
                  <c:v>1.4234915984284891E-3</c:v>
                </c:pt>
                <c:pt idx="32">
                  <c:v>1.4265482218869191E-3</c:v>
                </c:pt>
                <c:pt idx="33">
                  <c:v>1.4296048453453494E-3</c:v>
                </c:pt>
                <c:pt idx="34">
                  <c:v>1.4326614688037797E-3</c:v>
                </c:pt>
                <c:pt idx="35">
                  <c:v>1.44183133917907E-3</c:v>
                </c:pt>
                <c:pt idx="36">
                  <c:v>1.4448879626375003E-3</c:v>
                </c:pt>
                <c:pt idx="37">
                  <c:v>1.4479445860959303E-3</c:v>
                </c:pt>
                <c:pt idx="38">
                  <c:v>1.4510012095543606E-3</c:v>
                </c:pt>
                <c:pt idx="39">
                  <c:v>1.4540578330127906E-3</c:v>
                </c:pt>
                <c:pt idx="40">
                  <c:v>1.4632277033880812E-3</c:v>
                </c:pt>
                <c:pt idx="41">
                  <c:v>1.4662843268465114E-3</c:v>
                </c:pt>
                <c:pt idx="42">
                  <c:v>1.4693409503049415E-3</c:v>
                </c:pt>
                <c:pt idx="43">
                  <c:v>1.4723975737633717E-3</c:v>
                </c:pt>
                <c:pt idx="44">
                  <c:v>1.4754541972218018E-3</c:v>
                </c:pt>
                <c:pt idx="45">
                  <c:v>1.4846240675970923E-3</c:v>
                </c:pt>
                <c:pt idx="46">
                  <c:v>1.4876806910555226E-3</c:v>
                </c:pt>
                <c:pt idx="47">
                  <c:v>1.4907373145139527E-3</c:v>
                </c:pt>
                <c:pt idx="48">
                  <c:v>1.4937939379723829E-3</c:v>
                </c:pt>
                <c:pt idx="49">
                  <c:v>1.496850561430813E-3</c:v>
                </c:pt>
                <c:pt idx="50">
                  <c:v>1.5060204318061035E-3</c:v>
                </c:pt>
                <c:pt idx="51">
                  <c:v>1.5090770552645336E-3</c:v>
                </c:pt>
                <c:pt idx="52">
                  <c:v>1.5121336787229638E-3</c:v>
                </c:pt>
                <c:pt idx="53">
                  <c:v>1.5151903021813941E-3</c:v>
                </c:pt>
                <c:pt idx="54">
                  <c:v>1.5182469256398241E-3</c:v>
                </c:pt>
                <c:pt idx="55">
                  <c:v>1.5274167960151147E-3</c:v>
                </c:pt>
                <c:pt idx="56">
                  <c:v>1.5304734194735447E-3</c:v>
                </c:pt>
                <c:pt idx="57">
                  <c:v>1.533530042931975E-3</c:v>
                </c:pt>
                <c:pt idx="58">
                  <c:v>1.536586666390405E-3</c:v>
                </c:pt>
                <c:pt idx="59">
                  <c:v>1.5396432898488353E-3</c:v>
                </c:pt>
                <c:pt idx="60">
                  <c:v>1.5488131602241259E-3</c:v>
                </c:pt>
                <c:pt idx="61">
                  <c:v>1.5518697836825559E-3</c:v>
                </c:pt>
                <c:pt idx="62">
                  <c:v>1.5549264071409862E-3</c:v>
                </c:pt>
                <c:pt idx="63">
                  <c:v>1.5579830305994162E-3</c:v>
                </c:pt>
                <c:pt idx="64">
                  <c:v>1.5610396540578465E-3</c:v>
                </c:pt>
                <c:pt idx="65">
                  <c:v>1.570209524433137E-3</c:v>
                </c:pt>
                <c:pt idx="66">
                  <c:v>1.5732661478915671E-3</c:v>
                </c:pt>
                <c:pt idx="67">
                  <c:v>1.5763227713499973E-3</c:v>
                </c:pt>
                <c:pt idx="68">
                  <c:v>1.5793793948084274E-3</c:v>
                </c:pt>
                <c:pt idx="69">
                  <c:v>1.5824360182668576E-3</c:v>
                </c:pt>
                <c:pt idx="70">
                  <c:v>1.591605888642148E-3</c:v>
                </c:pt>
                <c:pt idx="71">
                  <c:v>1.5946625121005783E-3</c:v>
                </c:pt>
                <c:pt idx="72">
                  <c:v>1.5977191355590085E-3</c:v>
                </c:pt>
                <c:pt idx="73">
                  <c:v>1.6007757590174386E-3</c:v>
                </c:pt>
                <c:pt idx="74">
                  <c:v>1.6038323824758688E-3</c:v>
                </c:pt>
                <c:pt idx="75">
                  <c:v>1.6130022528511594E-3</c:v>
                </c:pt>
                <c:pt idx="76">
                  <c:v>1.6160588763095894E-3</c:v>
                </c:pt>
                <c:pt idx="77">
                  <c:v>1.6191154997680195E-3</c:v>
                </c:pt>
                <c:pt idx="78">
                  <c:v>1.6221721232264497E-3</c:v>
                </c:pt>
                <c:pt idx="79">
                  <c:v>1.62522874668488E-3</c:v>
                </c:pt>
                <c:pt idx="80">
                  <c:v>1.6343986170601703E-3</c:v>
                </c:pt>
                <c:pt idx="81">
                  <c:v>1.6374552405186006E-3</c:v>
                </c:pt>
                <c:pt idx="82">
                  <c:v>1.6405118639770306E-3</c:v>
                </c:pt>
                <c:pt idx="83">
                  <c:v>1.6435684874354609E-3</c:v>
                </c:pt>
                <c:pt idx="84">
                  <c:v>1.6466251108938909E-3</c:v>
                </c:pt>
                <c:pt idx="85">
                  <c:v>1.6557949812691815E-3</c:v>
                </c:pt>
                <c:pt idx="86">
                  <c:v>1.6588516047276116E-3</c:v>
                </c:pt>
                <c:pt idx="87">
                  <c:v>1.6619082281860418E-3</c:v>
                </c:pt>
                <c:pt idx="88">
                  <c:v>1.6649648516444721E-3</c:v>
                </c:pt>
                <c:pt idx="89">
                  <c:v>1.6680214751029021E-3</c:v>
                </c:pt>
                <c:pt idx="90">
                  <c:v>1.6771913454781927E-3</c:v>
                </c:pt>
                <c:pt idx="91">
                  <c:v>1.6802479689366229E-3</c:v>
                </c:pt>
                <c:pt idx="92">
                  <c:v>1.683304592395053E-3</c:v>
                </c:pt>
                <c:pt idx="93">
                  <c:v>1.6863612158534832E-3</c:v>
                </c:pt>
                <c:pt idx="94">
                  <c:v>1.6894178393119133E-3</c:v>
                </c:pt>
                <c:pt idx="95">
                  <c:v>1.6985877096872039E-3</c:v>
                </c:pt>
                <c:pt idx="96">
                  <c:v>1.7016443331456339E-3</c:v>
                </c:pt>
                <c:pt idx="97">
                  <c:v>1.7047009566040642E-3</c:v>
                </c:pt>
                <c:pt idx="98">
                  <c:v>1.7077575800624944E-3</c:v>
                </c:pt>
                <c:pt idx="99">
                  <c:v>1.7108142035209245E-3</c:v>
                </c:pt>
                <c:pt idx="100">
                  <c:v>1.719984073896215E-3</c:v>
                </c:pt>
                <c:pt idx="101">
                  <c:v>1.7230406973546451E-3</c:v>
                </c:pt>
                <c:pt idx="102">
                  <c:v>1.7260973208130753E-3</c:v>
                </c:pt>
                <c:pt idx="103">
                  <c:v>1.7291539442715054E-3</c:v>
                </c:pt>
                <c:pt idx="104">
                  <c:v>1.7322105677299356E-3</c:v>
                </c:pt>
                <c:pt idx="105">
                  <c:v>1.7413804381052262E-3</c:v>
                </c:pt>
                <c:pt idx="106">
                  <c:v>1.7444370615636562E-3</c:v>
                </c:pt>
                <c:pt idx="107">
                  <c:v>1.7474936850220865E-3</c:v>
                </c:pt>
                <c:pt idx="108">
                  <c:v>1.7505503084805168E-3</c:v>
                </c:pt>
                <c:pt idx="109">
                  <c:v>1.7536069319389468E-3</c:v>
                </c:pt>
                <c:pt idx="110">
                  <c:v>1.7627768023142374E-3</c:v>
                </c:pt>
                <c:pt idx="111">
                  <c:v>1.7658334257726674E-3</c:v>
                </c:pt>
                <c:pt idx="112">
                  <c:v>1.7688900492310977E-3</c:v>
                </c:pt>
                <c:pt idx="113">
                  <c:v>1.7719466726895277E-3</c:v>
                </c:pt>
                <c:pt idx="114">
                  <c:v>1.775003296147958E-3</c:v>
                </c:pt>
                <c:pt idx="115">
                  <c:v>1.7841731665232483E-3</c:v>
                </c:pt>
                <c:pt idx="116">
                  <c:v>1.7872297899816786E-3</c:v>
                </c:pt>
                <c:pt idx="117">
                  <c:v>1.7902864134401088E-3</c:v>
                </c:pt>
                <c:pt idx="118">
                  <c:v>1.7933430368985389E-3</c:v>
                </c:pt>
                <c:pt idx="119">
                  <c:v>1.7963996603569689E-3</c:v>
                </c:pt>
                <c:pt idx="120">
                  <c:v>1.8055695307322597E-3</c:v>
                </c:pt>
                <c:pt idx="121">
                  <c:v>1.8086261541906898E-3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952704"/>
        <c:axId val="482954240"/>
      </c:lineChart>
      <c:dateAx>
        <c:axId val="4829527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2954240"/>
        <c:crosses val="autoZero"/>
        <c:auto val="1"/>
        <c:lblOffset val="100"/>
        <c:baseTimeUnit val="days"/>
      </c:dateAx>
      <c:valAx>
        <c:axId val="4829542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2952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2.275901410486486E-4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1.6743806716133778E-4</c:v>
                </c:pt>
                <c:pt idx="1">
                  <c:v>2.3494731729897171E-4</c:v>
                </c:pt>
                <c:pt idx="2">
                  <c:v>3.4375991101358479E-4</c:v>
                </c:pt>
                <c:pt idx="3">
                  <c:v>3.4550327361203195E-4</c:v>
                </c:pt>
                <c:pt idx="4">
                  <c:v>3.1500052856903534E-4</c:v>
                </c:pt>
                <c:pt idx="5">
                  <c:v>3.4187423622057195E-4</c:v>
                </c:pt>
                <c:pt idx="6">
                  <c:v>4.1862347956680756E-4</c:v>
                </c:pt>
                <c:pt idx="7">
                  <c:v>4.4262077934464461E-4</c:v>
                </c:pt>
                <c:pt idx="8">
                  <c:v>4.8044150729204465E-4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2.275901410486486E-4</c:v>
                </c:pt>
                <c:pt idx="1">
                  <c:v>2.2652626896378381E-4</c:v>
                </c:pt>
                <c:pt idx="2">
                  <c:v>2.2546270912947135E-4</c:v>
                </c:pt>
                <c:pt idx="3">
                  <c:v>2.2439977476469906E-4</c:v>
                </c:pt>
                <c:pt idx="4">
                  <c:v>2.2819614073812833E-4</c:v>
                </c:pt>
                <c:pt idx="5">
                  <c:v>2.2016055644726842E-4</c:v>
                </c:pt>
                <c:pt idx="6">
                  <c:v>2.1910544778057907E-4</c:v>
                </c:pt>
                <c:pt idx="7">
                  <c:v>2.1805284393628432E-4</c:v>
                </c:pt>
                <c:pt idx="8">
                  <c:v>2.1700305814682024E-4</c:v>
                </c:pt>
                <c:pt idx="9">
                  <c:v>2.2065421223332266E-4</c:v>
                </c:pt>
                <c:pt idx="10">
                  <c:v>2.1283836023859495E-4</c:v>
                </c:pt>
                <c:pt idx="11">
                  <c:v>2.1180736326561472E-4</c:v>
                </c:pt>
                <c:pt idx="12">
                  <c:v>2.1078106377731245E-4</c:v>
                </c:pt>
                <c:pt idx="13">
                  <c:v>2.0975977501805411E-4</c:v>
                </c:pt>
                <c:pt idx="14">
                  <c:v>2.1328473327997732E-4</c:v>
                </c:pt>
                <c:pt idx="15">
                  <c:v>2.0573099222022579E-4</c:v>
                </c:pt>
                <c:pt idx="16">
                  <c:v>2.0473945583221671E-4</c:v>
                </c:pt>
                <c:pt idx="17">
                  <c:v>2.0375480967485684E-4</c:v>
                </c:pt>
                <c:pt idx="18">
                  <c:v>2.0277736700391943E-4</c:v>
                </c:pt>
                <c:pt idx="19">
                  <c:v>2.0619748345215367E-4</c:v>
                </c:pt>
                <c:pt idx="20">
                  <c:v>1.9894589635070242E-4</c:v>
                </c:pt>
                <c:pt idx="21">
                  <c:v>1.9800916999876102E-4</c:v>
                </c:pt>
                <c:pt idx="22">
                  <c:v>1.9708152669757484E-4</c:v>
                </c:pt>
                <c:pt idx="23">
                  <c:v>1.9616327972989299E-4</c:v>
                </c:pt>
                <c:pt idx="24">
                  <c:v>1.9313103467612206E-4</c:v>
                </c:pt>
                <c:pt idx="25" formatCode="0.00000">
                  <c:v>1.9259052246596288E-4</c:v>
                </c:pt>
                <c:pt idx="26" formatCode="0.00000">
                  <c:v>1.9172395765641197E-4</c:v>
                </c:pt>
                <c:pt idx="27" formatCode="0.00000">
                  <c:v>1.9086866938890188E-4</c:v>
                </c:pt>
                <c:pt idx="28" formatCode="0.00000">
                  <c:v>1.900249710310158E-4</c:v>
                </c:pt>
                <c:pt idx="29" formatCode="0.00000">
                  <c:v>1.9330883219711181E-4</c:v>
                </c:pt>
                <c:pt idx="30">
                  <c:v>1.8677234403290387E-4</c:v>
                </c:pt>
                <c:pt idx="31">
                  <c:v>1.8599129571833243E-4</c:v>
                </c:pt>
                <c:pt idx="32">
                  <c:v>1.8522371750614894E-4</c:v>
                </c:pt>
                <c:pt idx="33">
                  <c:v>1.8446992275888087E-4</c:v>
                </c:pt>
                <c:pt idx="34">
                  <c:v>1.877270600155824E-4</c:v>
                </c:pt>
                <c:pt idx="35">
                  <c:v>1.8159884565314789E-4</c:v>
                </c:pt>
                <c:pt idx="36">
                  <c:v>1.8091866865049063E-4</c:v>
                </c:pt>
                <c:pt idx="37">
                  <c:v>1.8025415527641952E-4</c:v>
                </c:pt>
                <c:pt idx="38">
                  <c:v>1.7960561888986595E-4</c:v>
                </c:pt>
                <c:pt idx="39">
                  <c:v>1.8286675227987994E-4</c:v>
                </c:pt>
                <c:pt idx="40">
                  <c:v>1.7717751037529247E-4</c:v>
                </c:pt>
                <c:pt idx="41">
                  <c:v>1.7661355929074346E-4</c:v>
                </c:pt>
                <c:pt idx="42">
                  <c:v>1.7606746533714696E-4</c:v>
                </c:pt>
                <c:pt idx="43">
                  <c:v>1.7553954187096111E-4</c:v>
                </c:pt>
                <c:pt idx="44">
                  <c:v>1.7883772903665236E-4</c:v>
                </c:pt>
                <c:pt idx="45">
                  <c:v>1.7172742742477769E-4</c:v>
                </c:pt>
                <c:pt idx="46">
                  <c:v>1.7129975727813942E-4</c:v>
                </c:pt>
                <c:pt idx="47">
                  <c:v>1.7089191946309832E-4</c:v>
                </c:pt>
                <c:pt idx="48">
                  <c:v>1.7050422376593987E-4</c:v>
                </c:pt>
                <c:pt idx="49">
                  <c:v>1.7013697997444525E-4</c:v>
                </c:pt>
                <c:pt idx="50">
                  <c:v>1.6916105793020114E-4</c:v>
                </c:pt>
                <c:pt idx="51">
                  <c:v>1.6887871966264953E-4</c:v>
                </c:pt>
                <c:pt idx="52">
                  <c:v>1.6861838225609539E-4</c:v>
                </c:pt>
                <c:pt idx="53">
                  <c:v>1.6838035550372028E-4</c:v>
                </c:pt>
                <c:pt idx="54">
                  <c:v>1.6816494919863112E-4</c:v>
                </c:pt>
                <c:pt idx="55">
                  <c:v>1.6765755090533067E-4</c:v>
                </c:pt>
                <c:pt idx="56">
                  <c:v>1.6753572432627584E-4</c:v>
                </c:pt>
                <c:pt idx="57">
                  <c:v>1.6743806716133778E-4</c:v>
                </c:pt>
                <c:pt idx="58">
                  <c:v>1.6736480297199099E-4</c:v>
                </c:pt>
                <c:pt idx="59">
                  <c:v>1.6731581039900259E-4</c:v>
                </c:pt>
                <c:pt idx="60">
                  <c:v>1.6731238645680839E-4</c:v>
                </c:pt>
                <c:pt idx="61">
                  <c:v>1.673584044192328E-4</c:v>
                </c:pt>
                <c:pt idx="62">
                  <c:v>1.6742765602431443E-4</c:v>
                </c:pt>
                <c:pt idx="63">
                  <c:v>1.7488868072348517E-4</c:v>
                </c:pt>
                <c:pt idx="64">
                  <c:v>1.7316534482451868E-4</c:v>
                </c:pt>
                <c:pt idx="65">
                  <c:v>1.6811515259288701E-4</c:v>
                </c:pt>
                <c:pt idx="66">
                  <c:v>1.6831944636554522E-4</c:v>
                </c:pt>
                <c:pt idx="67">
                  <c:v>1.6854552054967973E-4</c:v>
                </c:pt>
                <c:pt idx="68">
                  <c:v>1.7621789800210497E-4</c:v>
                </c:pt>
                <c:pt idx="69">
                  <c:v>1.7463955934940065E-4</c:v>
                </c:pt>
                <c:pt idx="70">
                  <c:v>1.7186469268052983E-4</c:v>
                </c:pt>
                <c:pt idx="71">
                  <c:v>1.7409422505761579E-4</c:v>
                </c:pt>
                <c:pt idx="72">
                  <c:v>1.7259779017884014E-4</c:v>
                </c:pt>
                <c:pt idx="73">
                  <c:v>1.7299495615660682E-4</c:v>
                </c:pt>
                <c:pt idx="74">
                  <c:v>1.7718470891692076E-4</c:v>
                </c:pt>
                <c:pt idx="75">
                  <c:v>1.7478283963171226E-4</c:v>
                </c:pt>
                <c:pt idx="76">
                  <c:v>1.7527856638894633E-4</c:v>
                </c:pt>
                <c:pt idx="77">
                  <c:v>1.757933758972686E-4</c:v>
                </c:pt>
                <c:pt idx="78">
                  <c:v>1.7632705835291971E-4</c:v>
                </c:pt>
                <c:pt idx="79">
                  <c:v>1.8072726807198604E-4</c:v>
                </c:pt>
                <c:pt idx="80">
                  <c:v>1.7864632154778335E-4</c:v>
                </c:pt>
                <c:pt idx="81">
                  <c:v>1.7927122165972329E-4</c:v>
                </c:pt>
                <c:pt idx="82">
                  <c:v>1.7991373588348631E-4</c:v>
                </c:pt>
                <c:pt idx="83">
                  <c:v>1.8057365441105777E-4</c:v>
                </c:pt>
                <c:pt idx="84">
                  <c:v>1.8519370887805351E-4</c:v>
                </c:pt>
                <c:pt idx="85">
                  <c:v>1.833831754045294E-4</c:v>
                </c:pt>
                <c:pt idx="86">
                  <c:v>1.8412696833304586E-4</c:v>
                </c:pt>
                <c:pt idx="87">
                  <c:v>1.848869067171455E-4</c:v>
                </c:pt>
                <c:pt idx="88">
                  <c:v>1.8566278074902238E-4</c:v>
                </c:pt>
                <c:pt idx="89">
                  <c:v>1.8442636317126421E-4</c:v>
                </c:pt>
                <c:pt idx="90">
                  <c:v>1.8892143612138319E-4</c:v>
                </c:pt>
                <c:pt idx="91">
                  <c:v>1.8977384024267396E-4</c:v>
                </c:pt>
                <c:pt idx="92">
                  <c:v>1.906409206498747E-4</c:v>
                </c:pt>
                <c:pt idx="93">
                  <c:v>1.9152246742759163E-4</c:v>
                </c:pt>
                <c:pt idx="94">
                  <c:v>1.966041083495233E-4</c:v>
                </c:pt>
                <c:pt idx="95">
                  <c:v>1.9518911988170357E-4</c:v>
                </c:pt>
                <c:pt idx="96">
                  <c:v>1.9613984972547137E-4</c:v>
                </c:pt>
                <c:pt idx="97">
                  <c:v>1.9710378641358769E-4</c:v>
                </c:pt>
                <c:pt idx="98">
                  <c:v>1.9808072001892171E-4</c:v>
                </c:pt>
                <c:pt idx="99">
                  <c:v>2.0340096489842118E-4</c:v>
                </c:pt>
                <c:pt idx="100">
                  <c:v>2.0211422501345311E-4</c:v>
                </c:pt>
                <c:pt idx="101">
                  <c:v>2.0315299424036713E-4</c:v>
                </c:pt>
                <c:pt idx="102">
                  <c:v>2.0420350078671185E-4</c:v>
                </c:pt>
                <c:pt idx="103">
                  <c:v>2.0526553471296956E-4</c:v>
                </c:pt>
                <c:pt idx="104">
                  <c:v>2.1082750058576974E-4</c:v>
                </c:pt>
                <c:pt idx="105">
                  <c:v>2.0962474537532304E-4</c:v>
                </c:pt>
                <c:pt idx="106">
                  <c:v>2.1074126705348292E-4</c:v>
                </c:pt>
                <c:pt idx="107">
                  <c:v>2.1186805643979499E-4</c:v>
                </c:pt>
                <c:pt idx="108">
                  <c:v>2.1300490358266367E-4</c:v>
                </c:pt>
                <c:pt idx="109">
                  <c:v>2.1881014028391974E-4</c:v>
                </c:pt>
                <c:pt idx="110">
                  <c:v>2.1528141784671098E-4</c:v>
                </c:pt>
                <c:pt idx="111">
                  <c:v>2.1645252885094078E-4</c:v>
                </c:pt>
                <c:pt idx="112">
                  <c:v>2.1763234240087623E-4</c:v>
                </c:pt>
                <c:pt idx="113">
                  <c:v>2.188206510188666E-4</c:v>
                </c:pt>
                <c:pt idx="114">
                  <c:v>2.2001724723046923E-4</c:v>
                </c:pt>
                <c:pt idx="115">
                  <c:v>2.236546867207941E-4</c:v>
                </c:pt>
                <c:pt idx="116">
                  <c:v>2.2488235861563481E-4</c:v>
                </c:pt>
                <c:pt idx="117">
                  <c:v>2.261172807737062E-4</c:v>
                </c:pt>
                <c:pt idx="118">
                  <c:v>2.2735924573838781E-4</c:v>
                </c:pt>
                <c:pt idx="119">
                  <c:v>2.2860804605571397E-4</c:v>
                </c:pt>
                <c:pt idx="120">
                  <c:v>2.3239338464022802E-4</c:v>
                </c:pt>
                <c:pt idx="121">
                  <c:v>2.3366745190137749E-4</c:v>
                </c:pt>
                <c:pt idx="122">
                  <c:v>2.3494731729897171E-4</c:v>
                </c:pt>
                <c:pt idx="123">
                  <c:v>2.3623715660263969E-4</c:v>
                </c:pt>
                <c:pt idx="124">
                  <c:v>2.3754090386259315E-4</c:v>
                </c:pt>
                <c:pt idx="125">
                  <c:v>2.4152989331075004E-4</c:v>
                </c:pt>
                <c:pt idx="126">
                  <c:v>2.4288357235475287E-4</c:v>
                </c:pt>
                <c:pt idx="127">
                  <c:v>2.4424830936340059E-4</c:v>
                </c:pt>
                <c:pt idx="128">
                  <c:v>2.5398026034002092E-4</c:v>
                </c:pt>
                <c:pt idx="129">
                  <c:v>2.5263703018936208E-4</c:v>
                </c:pt>
                <c:pt idx="130">
                  <c:v>2.5406321380859638E-4</c:v>
                </c:pt>
                <c:pt idx="131">
                  <c:v>2.61280200220745E-4</c:v>
                </c:pt>
                <c:pt idx="132">
                  <c:v>2.6273682015837618E-4</c:v>
                </c:pt>
                <c:pt idx="133">
                  <c:v>2.6565872157311929E-4</c:v>
                </c:pt>
                <c:pt idx="134">
                  <c:v>2.6712286278055491E-4</c:v>
                </c:pt>
                <c:pt idx="135">
                  <c:v>2.7152120682756304E-4</c:v>
                </c:pt>
                <c:pt idx="136">
                  <c:v>2.7298739455939924E-4</c:v>
                </c:pt>
                <c:pt idx="137">
                  <c:v>2.7445266860820207E-4</c:v>
                </c:pt>
                <c:pt idx="138">
                  <c:v>2.7591645885304765E-4</c:v>
                </c:pt>
                <c:pt idx="139">
                  <c:v>2.7737819517434712E-4</c:v>
                </c:pt>
                <c:pt idx="140">
                  <c:v>2.8174537943929679E-4</c:v>
                </c:pt>
                <c:pt idx="141">
                  <c:v>2.8319319891878005E-4</c:v>
                </c:pt>
                <c:pt idx="142">
                  <c:v>2.8463611391142728E-4</c:v>
                </c:pt>
                <c:pt idx="143">
                  <c:v>2.8607355431132793E-4</c:v>
                </c:pt>
                <c:pt idx="144">
                  <c:v>2.8750495001443372E-4</c:v>
                </c:pt>
                <c:pt idx="145">
                  <c:v>2.9175716793882026E-4</c:v>
                </c:pt>
                <c:pt idx="146">
                  <c:v>2.9315868386205408E-4</c:v>
                </c:pt>
                <c:pt idx="147">
                  <c:v>2.9455130460357792E-4</c:v>
                </c:pt>
                <c:pt idx="148">
                  <c:v>2.9593446007326462E-4</c:v>
                </c:pt>
                <c:pt idx="149">
                  <c:v>2.9730758018366106E-4</c:v>
                </c:pt>
                <c:pt idx="150">
                  <c:v>3.0136102751816742E-4</c:v>
                </c:pt>
                <c:pt idx="151">
                  <c:v>2.993602077865591E-4</c:v>
                </c:pt>
                <c:pt idx="152">
                  <c:v>3.0066015399273324E-4</c:v>
                </c:pt>
                <c:pt idx="153">
                  <c:v>3.0194679243422142E-4</c:v>
                </c:pt>
                <c:pt idx="154">
                  <c:v>3.0659054403795805E-4</c:v>
                </c:pt>
                <c:pt idx="155">
                  <c:v>3.103614189736328E-4</c:v>
                </c:pt>
                <c:pt idx="156">
                  <c:v>3.0816063513912882E-4</c:v>
                </c:pt>
                <c:pt idx="157">
                  <c:v>3.0935558720736263E-4</c:v>
                </c:pt>
                <c:pt idx="158">
                  <c:v>3.1053328493923311E-4</c:v>
                </c:pt>
                <c:pt idx="159">
                  <c:v>3.1169316454864618E-4</c:v>
                </c:pt>
                <c:pt idx="160">
                  <c:v>3.2206539725111743E-4</c:v>
                </c:pt>
                <c:pt idx="161">
                  <c:v>3.1965781053480127E-4</c:v>
                </c:pt>
                <c:pt idx="162">
                  <c:v>3.1720555843947878E-4</c:v>
                </c:pt>
                <c:pt idx="163">
                  <c:v>3.1824668995925249E-4</c:v>
                </c:pt>
                <c:pt idx="164">
                  <c:v>3.1926605692995019E-4</c:v>
                </c:pt>
                <c:pt idx="165">
                  <c:v>3.2576967084572045E-4</c:v>
                </c:pt>
                <c:pt idx="166">
                  <c:v>3.2311460407974147E-4</c:v>
                </c:pt>
                <c:pt idx="167">
                  <c:v>3.2401669189791905E-4</c:v>
                </c:pt>
                <c:pt idx="168">
                  <c:v>3.2489363262398779E-4</c:v>
                </c:pt>
                <c:pt idx="169">
                  <c:v>3.2574486251138858E-4</c:v>
                </c:pt>
                <c:pt idx="170">
                  <c:v>3.3178648424566422E-4</c:v>
                </c:pt>
                <c:pt idx="171">
                  <c:v>3.3619359843976035E-4</c:v>
                </c:pt>
                <c:pt idx="172">
                  <c:v>3.3692368050098096E-4</c:v>
                </c:pt>
                <c:pt idx="173">
                  <c:v>3.376240222928624E-4</c:v>
                </c:pt>
                <c:pt idx="174">
                  <c:v>3.456520104598467E-4</c:v>
                </c:pt>
                <c:pt idx="175">
                  <c:v>3.4011646176524817E-4</c:v>
                </c:pt>
                <c:pt idx="176">
                  <c:v>3.4065945849083855E-4</c:v>
                </c:pt>
                <c:pt idx="177">
                  <c:v>3.4116925748449683E-4</c:v>
                </c:pt>
                <c:pt idx="178">
                  <c:v>3.4164528251527041E-4</c:v>
                </c:pt>
                <c:pt idx="179">
                  <c:v>3.4952728523749305E-4</c:v>
                </c:pt>
                <c:pt idx="180">
                  <c:v>3.4320011851917369E-4</c:v>
                </c:pt>
                <c:pt idx="181">
                  <c:v>3.4349863040114282E-4</c:v>
                </c:pt>
                <c:pt idx="182">
                  <c:v>3.4375991101358479E-4</c:v>
                </c:pt>
                <c:pt idx="183">
                  <c:v>3.4399971302238771E-4</c:v>
                </c:pt>
                <c:pt idx="184">
                  <c:v>3.5172107584947263E-4</c:v>
                </c:pt>
                <c:pt idx="185">
                  <c:v>3.449057416394957E-4</c:v>
                </c:pt>
                <c:pt idx="186">
                  <c:v>3.4511902551846198E-4</c:v>
                </c:pt>
                <c:pt idx="187">
                  <c:v>3.4532704871976123E-4</c:v>
                </c:pt>
                <c:pt idx="188">
                  <c:v>3.5680228788637265E-4</c:v>
                </c:pt>
                <c:pt idx="189">
                  <c:v>3.4646551548270102E-4</c:v>
                </c:pt>
                <c:pt idx="190">
                  <c:v>3.466371148755178E-4</c:v>
                </c:pt>
                <c:pt idx="191">
                  <c:v>3.4303235600104722E-4</c:v>
                </c:pt>
                <c:pt idx="192">
                  <c:v>3.4319193450360369E-4</c:v>
                </c:pt>
                <c:pt idx="193">
                  <c:v>3.4364036023919143E-4</c:v>
                </c:pt>
                <c:pt idx="194">
                  <c:v>3.4377978013866287E-4</c:v>
                </c:pt>
                <c:pt idx="195">
                  <c:v>3.4391419632287708E-4</c:v>
                </c:pt>
                <c:pt idx="196">
                  <c:v>3.4404362316807014E-4</c:v>
                </c:pt>
                <c:pt idx="197">
                  <c:v>3.4416807505061785E-4</c:v>
                </c:pt>
                <c:pt idx="198">
                  <c:v>3.4451172469891111E-4</c:v>
                </c:pt>
                <c:pt idx="199">
                  <c:v>3.4461642051077194E-4</c:v>
                </c:pt>
                <c:pt idx="200">
                  <c:v>3.4471621325330934E-4</c:v>
                </c:pt>
                <c:pt idx="201">
                  <c:v>3.4481111730730373E-4</c:v>
                </c:pt>
                <c:pt idx="202">
                  <c:v>3.4490114705412408E-4</c:v>
                </c:pt>
                <c:pt idx="203">
                  <c:v>3.4514213427141186E-4</c:v>
                </c:pt>
                <c:pt idx="204">
                  <c:v>3.4521281061324749E-4</c:v>
                </c:pt>
                <c:pt idx="205">
                  <c:v>3.4527868456272001E-4</c:v>
                </c:pt>
                <c:pt idx="206">
                  <c:v>3.4533977050496664E-4</c:v>
                </c:pt>
                <c:pt idx="207">
                  <c:v>3.4539608282438649E-4</c:v>
                </c:pt>
                <c:pt idx="208">
                  <c:v>3.4553652190769167E-4</c:v>
                </c:pt>
                <c:pt idx="209">
                  <c:v>3.4557388359901222E-4</c:v>
                </c:pt>
                <c:pt idx="210">
                  <c:v>3.4560654360086851E-4</c:v>
                </c:pt>
                <c:pt idx="211">
                  <c:v>3.4563451630123478E-4</c:v>
                </c:pt>
                <c:pt idx="212">
                  <c:v>3.4565781608823949E-4</c:v>
                </c:pt>
                <c:pt idx="213">
                  <c:v>3.4950001215774897E-4</c:v>
                </c:pt>
                <c:pt idx="214">
                  <c:v>3.495048055642582E-4</c:v>
                </c:pt>
                <c:pt idx="215">
                  <c:v>3.4950494742714953E-4</c:v>
                </c:pt>
                <c:pt idx="216">
                  <c:v>3.570914887166375E-4</c:v>
                </c:pt>
                <c:pt idx="217">
                  <c:v>3.4943639281323404E-4</c:v>
                </c:pt>
                <c:pt idx="218">
                  <c:v>3.4940893095337575E-4</c:v>
                </c:pt>
                <c:pt idx="219">
                  <c:v>3.4937691939881509E-4</c:v>
                </c:pt>
                <c:pt idx="220">
                  <c:v>3.4934037269994319E-4</c:v>
                </c:pt>
                <c:pt idx="221">
                  <c:v>3.5689512806826485E-4</c:v>
                </c:pt>
                <c:pt idx="222">
                  <c:v>3.4909012133375227E-4</c:v>
                </c:pt>
                <c:pt idx="223">
                  <c:v>3.4902666934634506E-4</c:v>
                </c:pt>
                <c:pt idx="224">
                  <c:v>3.4895878407482938E-4</c:v>
                </c:pt>
                <c:pt idx="225">
                  <c:v>3.5647317022142414E-4</c:v>
                </c:pt>
                <c:pt idx="226">
                  <c:v>3.4864320118834093E-4</c:v>
                </c:pt>
                <c:pt idx="227">
                  <c:v>3.4855336777725069E-4</c:v>
                </c:pt>
                <c:pt idx="228">
                  <c:v>3.4845918839459936E-4</c:v>
                </c:pt>
                <c:pt idx="229">
                  <c:v>3.4836067759310888E-4</c:v>
                </c:pt>
                <c:pt idx="230">
                  <c:v>3.5583071520187945E-4</c:v>
                </c:pt>
                <c:pt idx="231">
                  <c:v>3.4792361124011086E-4</c:v>
                </c:pt>
                <c:pt idx="232">
                  <c:v>3.4780366162639738E-4</c:v>
                </c:pt>
                <c:pt idx="233">
                  <c:v>3.4767946790646996E-4</c:v>
                </c:pt>
                <c:pt idx="234">
                  <c:v>3.475510446327088E-4</c:v>
                </c:pt>
                <c:pt idx="235">
                  <c:v>3.5497286320290846E-4</c:v>
                </c:pt>
                <c:pt idx="236">
                  <c:v>3.4699534703444779E-4</c:v>
                </c:pt>
                <c:pt idx="237">
                  <c:v>3.4684599426718766E-4</c:v>
                </c:pt>
                <c:pt idx="238">
                  <c:v>3.4669249925587271E-4</c:v>
                </c:pt>
                <c:pt idx="239">
                  <c:v>3.4653487655168395E-4</c:v>
                </c:pt>
                <c:pt idx="240">
                  <c:v>3.5390471435691785E-4</c:v>
                </c:pt>
                <c:pt idx="241">
                  <c:v>3.4586339982013893E-4</c:v>
                </c:pt>
                <c:pt idx="242">
                  <c:v>3.4568535691118624E-4</c:v>
                </c:pt>
                <c:pt idx="243">
                  <c:v>3.4550327361203195E-4</c:v>
                </c:pt>
                <c:pt idx="244">
                  <c:v>3.453145319064735E-4</c:v>
                </c:pt>
                <c:pt idx="245">
                  <c:v>3.5262075564490043E-4</c:v>
                </c:pt>
                <c:pt idx="246">
                  <c:v>3.4447052642724445E-4</c:v>
                </c:pt>
                <c:pt idx="247">
                  <c:v>3.4423841214386425E-4</c:v>
                </c:pt>
                <c:pt idx="248">
                  <c:v>3.4399831138665467E-4</c:v>
                </c:pt>
                <c:pt idx="249">
                  <c:v>3.4375045349615722E-4</c:v>
                </c:pt>
                <c:pt idx="250">
                  <c:v>3.4268603733097954E-4</c:v>
                </c:pt>
                <c:pt idx="251">
                  <c:v>3.4240283379726897E-4</c:v>
                </c:pt>
                <c:pt idx="252">
                  <c:v>3.4211324912041821E-4</c:v>
                </c:pt>
                <c:pt idx="253">
                  <c:v>3.4181751260677204E-4</c:v>
                </c:pt>
                <c:pt idx="254">
                  <c:v>3.4894135448304407E-4</c:v>
                </c:pt>
                <c:pt idx="255">
                  <c:v>3.4057763279767852E-4</c:v>
                </c:pt>
                <c:pt idx="256">
                  <c:v>3.4025457549915637E-4</c:v>
                </c:pt>
                <c:pt idx="257">
                  <c:v>3.3992674169087798E-4</c:v>
                </c:pt>
                <c:pt idx="258">
                  <c:v>3.3959436058287733E-4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29760"/>
        <c:axId val="483031680"/>
      </c:scatterChart>
      <c:valAx>
        <c:axId val="4830297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3031680"/>
        <c:crosses val="autoZero"/>
        <c:crossBetween val="midCat"/>
      </c:valAx>
      <c:valAx>
        <c:axId val="48303168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30297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8.9000000000238324E-4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6.6195182653703243E-4</c:v>
                </c:pt>
                <c:pt idx="1">
                  <c:v>9.2887115042356938E-4</c:v>
                </c:pt>
                <c:pt idx="2">
                  <c:v>1.3444179342739246E-3</c:v>
                </c:pt>
                <c:pt idx="3">
                  <c:v>1.3515026290800926E-3</c:v>
                </c:pt>
                <c:pt idx="4">
                  <c:v>1.2460699207359639E-3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8.9000000000238324E-4</c:v>
                </c:pt>
                <c:pt idx="1">
                  <c:v>8.8583920473852195E-4</c:v>
                </c:pt>
                <c:pt idx="2">
                  <c:v>8.8167963457997202E-4</c:v>
                </c:pt>
                <c:pt idx="3">
                  <c:v>8.7752251463204482E-4</c:v>
                </c:pt>
                <c:pt idx="4">
                  <c:v>8.7336907000005158E-4</c:v>
                </c:pt>
                <c:pt idx="5">
                  <c:v>8.609430390527893E-4</c:v>
                </c:pt>
                <c:pt idx="6">
                  <c:v>8.5681654673764554E-4</c:v>
                </c:pt>
                <c:pt idx="7">
                  <c:v>8.5269985526499256E-4</c:v>
                </c:pt>
                <c:pt idx="8">
                  <c:v>8.485941897401415E-4</c:v>
                </c:pt>
                <c:pt idx="9">
                  <c:v>8.4450077526840393E-4</c:v>
                </c:pt>
                <c:pt idx="10">
                  <c:v>8.32306289224985E-4</c:v>
                </c:pt>
                <c:pt idx="11">
                  <c:v>8.2827413001881445E-4</c:v>
                </c:pt>
                <c:pt idx="12">
                  <c:v>8.2426034739231397E-4</c:v>
                </c:pt>
                <c:pt idx="13">
                  <c:v>8.2026616645079493E-4</c:v>
                </c:pt>
                <c:pt idx="14">
                  <c:v>8.1629281229956868E-4</c:v>
                </c:pt>
                <c:pt idx="15">
                  <c:v>8.0450996164075988E-4</c:v>
                </c:pt>
                <c:pt idx="16">
                  <c:v>8.0063216570381819E-4</c:v>
                </c:pt>
                <c:pt idx="17">
                  <c:v>7.9678132208372589E-4</c:v>
                </c:pt>
                <c:pt idx="18">
                  <c:v>7.9295865588579443E-4</c:v>
                </c:pt>
                <c:pt idx="19">
                  <c:v>7.8916539221533517E-4</c:v>
                </c:pt>
                <c:pt idx="20">
                  <c:v>7.7797426742190359E-4</c:v>
                </c:pt>
                <c:pt idx="21">
                  <c:v>7.7431086491444633E-4</c:v>
                </c:pt>
                <c:pt idx="22">
                  <c:v>7.7068299046101796E-4</c:v>
                </c:pt>
                <c:pt idx="23">
                  <c:v>7.6709186916692975E-4</c:v>
                </c:pt>
                <c:pt idx="24">
                  <c:v>7.6353872613749304E-4</c:v>
                </c:pt>
                <c:pt idx="25">
                  <c:v>7.5311941769020578E-4</c:v>
                </c:pt>
                <c:pt idx="26">
                  <c:v>7.497304387724886E-4</c:v>
                </c:pt>
                <c:pt idx="27">
                  <c:v>7.4638556364597973E-4</c:v>
                </c:pt>
                <c:pt idx="28">
                  <c:v>7.4308601741599042E-4</c:v>
                </c:pt>
                <c:pt idx="29">
                  <c:v>7.3983302518783203E-4</c:v>
                </c:pt>
                <c:pt idx="30">
                  <c:v>7.3036562356745588E-4</c:v>
                </c:pt>
                <c:pt idx="31">
                  <c:v>7.2731109839973456E-4</c:v>
                </c:pt>
                <c:pt idx="32">
                  <c:v>7.2430925276040085E-4</c:v>
                </c:pt>
                <c:pt idx="33">
                  <c:v>7.2136131175476611E-4</c:v>
                </c:pt>
                <c:pt idx="34">
                  <c:v>7.184685004881417E-4</c:v>
                </c:pt>
                <c:pt idx="35">
                  <c:v>7.1013309617544353E-4</c:v>
                </c:pt>
                <c:pt idx="36">
                  <c:v>7.0747305491797373E-4</c:v>
                </c:pt>
                <c:pt idx="37">
                  <c:v>7.0487426892607095E-4</c:v>
                </c:pt>
                <c:pt idx="38">
                  <c:v>7.0233796330504633E-4</c:v>
                </c:pt>
                <c:pt idx="39">
                  <c:v>6.9986536316021157E-4</c:v>
                </c:pt>
                <c:pt idx="40">
                  <c:v>6.9284204663595849E-4</c:v>
                </c:pt>
                <c:pt idx="41">
                  <c:v>6.9063651944899587E-4</c:v>
                </c:pt>
                <c:pt idx="42">
                  <c:v>6.8850082326477947E-4</c:v>
                </c:pt>
                <c:pt idx="43">
                  <c:v>6.8643618318862086E-4</c:v>
                </c:pt>
                <c:pt idx="44">
                  <c:v>6.8444382432583119E-4</c:v>
                </c:pt>
                <c:pt idx="45">
                  <c:v>6.7891268607079029E-4</c:v>
                </c:pt>
                <c:pt idx="46">
                  <c:v>6.7722170311459041E-4</c:v>
                </c:pt>
                <c:pt idx="47">
                  <c:v>6.7560912689831616E-4</c:v>
                </c:pt>
                <c:pt idx="48">
                  <c:v>6.7407618252727911E-4</c:v>
                </c:pt>
                <c:pt idx="49">
                  <c:v>6.7262409510679042E-4</c:v>
                </c:pt>
                <c:pt idx="50">
                  <c:v>6.6876522560172847E-4</c:v>
                </c:pt>
                <c:pt idx="51">
                  <c:v>6.6764881703654699E-4</c:v>
                </c:pt>
                <c:pt idx="52">
                  <c:v>6.6661939094847067E-4</c:v>
                </c:pt>
                <c:pt idx="53">
                  <c:v>6.6567817244281074E-4</c:v>
                </c:pt>
                <c:pt idx="54">
                  <c:v>6.6482638662487869E-4</c:v>
                </c:pt>
                <c:pt idx="55">
                  <c:v>6.6281987635056269E-4</c:v>
                </c:pt>
                <c:pt idx="56">
                  <c:v>6.6233807233665527E-4</c:v>
                </c:pt>
                <c:pt idx="57">
                  <c:v>6.6195182653703243E-4</c:v>
                </c:pt>
                <c:pt idx="58">
                  <c:v>6.6166202312561452E-4</c:v>
                </c:pt>
                <c:pt idx="59">
                  <c:v>6.6146818255075827E-4</c:v>
                </c:pt>
                <c:pt idx="60">
                  <c:v>6.6145423301521976E-4</c:v>
                </c:pt>
                <c:pt idx="61">
                  <c:v>6.6163603895626991E-4</c:v>
                </c:pt>
                <c:pt idx="62">
                  <c:v>6.6190970531871144E-4</c:v>
                </c:pt>
                <c:pt idx="63">
                  <c:v>6.6227441161951031E-4</c:v>
                </c:pt>
                <c:pt idx="64">
                  <c:v>6.6272933737563245E-4</c:v>
                </c:pt>
                <c:pt idx="65">
                  <c:v>6.6462722654559738E-4</c:v>
                </c:pt>
                <c:pt idx="66">
                  <c:v>6.6543482529267167E-4</c:v>
                </c:pt>
                <c:pt idx="67">
                  <c:v>6.6632854107989887E-4</c:v>
                </c:pt>
                <c:pt idx="68">
                  <c:v>6.673075534242447E-4</c:v>
                </c:pt>
                <c:pt idx="69">
                  <c:v>6.6837104184267534E-4</c:v>
                </c:pt>
                <c:pt idx="70">
                  <c:v>6.7206015871213451E-4</c:v>
                </c:pt>
                <c:pt idx="71">
                  <c:v>6.7345334659656305E-4</c:v>
                </c:pt>
                <c:pt idx="72">
                  <c:v>6.7492690813990589E-4</c:v>
                </c:pt>
                <c:pt idx="73">
                  <c:v>6.7648002285912901E-4</c:v>
                </c:pt>
                <c:pt idx="74">
                  <c:v>6.7811187027119833E-4</c:v>
                </c:pt>
                <c:pt idx="75">
                  <c:v>6.8347160383414225E-4</c:v>
                </c:pt>
                <c:pt idx="76">
                  <c:v>6.8541017718725533E-4</c:v>
                </c:pt>
                <c:pt idx="77">
                  <c:v>6.8742338081804414E-4</c:v>
                </c:pt>
                <c:pt idx="78">
                  <c:v>6.8951039424347473E-4</c:v>
                </c:pt>
                <c:pt idx="79">
                  <c:v>6.9167039698051283E-4</c:v>
                </c:pt>
                <c:pt idx="80">
                  <c:v>6.985801362309321E-4</c:v>
                </c:pt>
                <c:pt idx="81">
                  <c:v>7.0102389138405993E-4</c:v>
                </c:pt>
                <c:pt idx="82">
                  <c:v>7.035365334336249E-4</c:v>
                </c:pt>
                <c:pt idx="83">
                  <c:v>7.0611724189659306E-4</c:v>
                </c:pt>
                <c:pt idx="84">
                  <c:v>7.0876519628993025E-4</c:v>
                </c:pt>
                <c:pt idx="85">
                  <c:v>7.1710433022181559E-4</c:v>
                </c:pt>
                <c:pt idx="86">
                  <c:v>7.2001306350628826E-4</c:v>
                </c:pt>
                <c:pt idx="87">
                  <c:v>7.2298494030595959E-4</c:v>
                </c:pt>
                <c:pt idx="88">
                  <c:v>7.2601914013779563E-4</c:v>
                </c:pt>
                <c:pt idx="89">
                  <c:v>7.2911484251876211E-4</c:v>
                </c:pt>
                <c:pt idx="90">
                  <c:v>7.3876276012610389E-4</c:v>
                </c:pt>
                <c:pt idx="91">
                  <c:v>7.4209626787325172E-4</c:v>
                </c:pt>
                <c:pt idx="92">
                  <c:v>7.4548717575435961E-4</c:v>
                </c:pt>
                <c:pt idx="93">
                  <c:v>7.4893466328639362E-4</c:v>
                </c:pt>
                <c:pt idx="94">
                  <c:v>7.5243790998631959E-4</c:v>
                </c:pt>
                <c:pt idx="95">
                  <c:v>7.6327400026310853E-4</c:v>
                </c:pt>
                <c:pt idx="96">
                  <c:v>7.669920788042616E-4</c:v>
                </c:pt>
                <c:pt idx="97">
                  <c:v>7.7076181409813636E-4</c:v>
                </c:pt>
                <c:pt idx="98">
                  <c:v>7.7458238566169854E-4</c:v>
                </c:pt>
                <c:pt idx="99">
                  <c:v>7.784529730119141E-4</c:v>
                </c:pt>
                <c:pt idx="100">
                  <c:v>7.9035662495214091E-4</c:v>
                </c:pt>
                <c:pt idx="101">
                  <c:v>7.9441907061862953E-4</c:v>
                </c:pt>
                <c:pt idx="102">
                  <c:v>7.9852742965660114E-4</c:v>
                </c:pt>
                <c:pt idx="103">
                  <c:v>8.026808815830217E-4</c:v>
                </c:pt>
                <c:pt idx="104">
                  <c:v>8.0687860591485726E-4</c:v>
                </c:pt>
                <c:pt idx="105">
                  <c:v>8.1972920851251232E-4</c:v>
                </c:pt>
                <c:pt idx="106">
                  <c:v>8.2409581763566659E-4</c:v>
                </c:pt>
                <c:pt idx="107">
                  <c:v>8.2850259674906548E-4</c:v>
                </c:pt>
                <c:pt idx="108">
                  <c:v>8.3294872536967472E-4</c:v>
                </c:pt>
                <c:pt idx="109">
                  <c:v>8.3743338301446027E-4</c:v>
                </c:pt>
                <c:pt idx="110">
                  <c:v>8.511103252635344E-4</c:v>
                </c:pt>
                <c:pt idx="111">
                  <c:v>8.5574089417468451E-4</c:v>
                </c:pt>
                <c:pt idx="112">
                  <c:v>8.6040588969484065E-4</c:v>
                </c:pt>
                <c:pt idx="113">
                  <c:v>8.6510449134096878E-4</c:v>
                </c:pt>
                <c:pt idx="114">
                  <c:v>8.6983587863003462E-4</c:v>
                </c:pt>
                <c:pt idx="115">
                  <c:v>8.8421854952451821E-4</c:v>
                </c:pt>
                <c:pt idx="116">
                  <c:v>8.8907287455499448E-4</c:v>
                </c:pt>
                <c:pt idx="117">
                  <c:v>8.9395588281323819E-4</c:v>
                </c:pt>
                <c:pt idx="118">
                  <c:v>8.988667538162153E-4</c:v>
                </c:pt>
                <c:pt idx="119">
                  <c:v>9.0380466708089152E-4</c:v>
                </c:pt>
                <c:pt idx="120">
                  <c:v>9.1877245561477528E-4</c:v>
                </c:pt>
                <c:pt idx="121">
                  <c:v>9.238103330959079E-4</c:v>
                </c:pt>
                <c:pt idx="122">
                  <c:v>9.2887115042356938E-4</c:v>
                </c:pt>
                <c:pt idx="123">
                  <c:v>9.3397141829799511E-4</c:v>
                </c:pt>
                <c:pt idx="124">
                  <c:v>9.3912669175106169E-4</c:v>
                </c:pt>
                <c:pt idx="125">
                  <c:v>9.5490000572638297E-4</c:v>
                </c:pt>
                <c:pt idx="126">
                  <c:v>9.6025276163828942E-4</c:v>
                </c:pt>
                <c:pt idx="127">
                  <c:v>9.656492532009749E-4</c:v>
                </c:pt>
                <c:pt idx="128">
                  <c:v>9.9320885628105689E-4</c:v>
                </c:pt>
                <c:pt idx="129">
                  <c:v>9.9882042805139759E-4</c:v>
                </c:pt>
                <c:pt idx="130">
                  <c:v>1.0044599575735112E-3</c:v>
                </c:pt>
                <c:pt idx="131">
                  <c:v>1.0329980819656364E-3</c:v>
                </c:pt>
                <c:pt idx="132">
                  <c:v>1.0387580243013666E-3</c:v>
                </c:pt>
                <c:pt idx="133">
                  <c:v>1.0503121945455534E-3</c:v>
                </c:pt>
                <c:pt idx="134">
                  <c:v>1.0561019144828651E-3</c:v>
                </c:pt>
                <c:pt idx="135">
                  <c:v>1.0734945657288064E-3</c:v>
                </c:pt>
                <c:pt idx="136">
                  <c:v>1.0792924333368811E-3</c:v>
                </c:pt>
                <c:pt idx="137">
                  <c:v>1.0850867028987154E-3</c:v>
                </c:pt>
                <c:pt idx="138">
                  <c:v>1.0908751204287371E-3</c:v>
                </c:pt>
                <c:pt idx="139">
                  <c:v>1.0966554319413741E-3</c:v>
                </c:pt>
                <c:pt idx="140">
                  <c:v>1.1139251905192521E-3</c:v>
                </c:pt>
                <c:pt idx="141">
                  <c:v>1.1196505381066259E-3</c:v>
                </c:pt>
                <c:pt idx="142">
                  <c:v>1.1253565097487533E-3</c:v>
                </c:pt>
                <c:pt idx="143">
                  <c:v>1.1310408514600616E-3</c:v>
                </c:pt>
                <c:pt idx="144">
                  <c:v>1.1367013092549783E-3</c:v>
                </c:pt>
                <c:pt idx="145">
                  <c:v>1.1535168392856582E-3</c:v>
                </c:pt>
                <c:pt idx="146">
                  <c:v>1.1590592215592862E-3</c:v>
                </c:pt>
                <c:pt idx="147">
                  <c:v>1.1645664499886615E-3</c:v>
                </c:pt>
                <c:pt idx="148">
                  <c:v>1.1700362705882113E-3</c:v>
                </c:pt>
                <c:pt idx="149">
                  <c:v>1.1754664293723632E-3</c:v>
                </c:pt>
                <c:pt idx="150">
                  <c:v>1.1914963949767093E-3</c:v>
                </c:pt>
                <c:pt idx="151">
                  <c:v>1.196745366643547E-3</c:v>
                </c:pt>
                <c:pt idx="152">
                  <c:v>1.201943406567125E-3</c:v>
                </c:pt>
                <c:pt idx="153">
                  <c:v>1.2070882607618711E-3</c:v>
                </c:pt>
                <c:pt idx="154">
                  <c:v>1.2121776752422133E-3</c:v>
                </c:pt>
                <c:pt idx="155">
                  <c:v>1.227090740541091E-3</c:v>
                </c:pt>
                <c:pt idx="156">
                  <c:v>1.231935856308093E-3</c:v>
                </c:pt>
                <c:pt idx="157">
                  <c:v>1.2367142624328288E-3</c:v>
                </c:pt>
                <c:pt idx="158">
                  <c:v>1.2414237049297265E-3</c:v>
                </c:pt>
                <c:pt idx="159">
                  <c:v>1.2460619298132135E-3</c:v>
                </c:pt>
                <c:pt idx="160">
                  <c:v>1.2595267589274879E-3</c:v>
                </c:pt>
                <c:pt idx="161">
                  <c:v>1.263857573501609E-3</c:v>
                </c:pt>
                <c:pt idx="162">
                  <c:v>1.2681059005344578E-3</c:v>
                </c:pt>
                <c:pt idx="163">
                  <c:v>1.2722694860404621E-3</c:v>
                </c:pt>
                <c:pt idx="164">
                  <c:v>1.2763460760340491E-3</c:v>
                </c:pt>
                <c:pt idx="165">
                  <c:v>1.2880313330845849E-3</c:v>
                </c:pt>
                <c:pt idx="166">
                  <c:v>1.2917374011727802E-3</c:v>
                </c:pt>
                <c:pt idx="167">
                  <c:v>1.2953452038206971E-3</c:v>
                </c:pt>
                <c:pt idx="168">
                  <c:v>1.2988524870427625E-3</c:v>
                </c:pt>
                <c:pt idx="169">
                  <c:v>1.3022569968534048E-3</c:v>
                </c:pt>
                <c:pt idx="170">
                  <c:v>1.3118313459610669E-3</c:v>
                </c:pt>
                <c:pt idx="171">
                  <c:v>1.3148022222702917E-3</c:v>
                </c:pt>
                <c:pt idx="172">
                  <c:v>1.3176590552402313E-3</c:v>
                </c:pt>
                <c:pt idx="173">
                  <c:v>1.3203995908853132E-3</c:v>
                </c:pt>
                <c:pt idx="174">
                  <c:v>1.3230215752199654E-3</c:v>
                </c:pt>
                <c:pt idx="175">
                  <c:v>1.330153680505619E-3</c:v>
                </c:pt>
                <c:pt idx="176">
                  <c:v>1.332278919742828E-3</c:v>
                </c:pt>
                <c:pt idx="177">
                  <c:v>1.3342743377417455E-3</c:v>
                </c:pt>
                <c:pt idx="178">
                  <c:v>1.3361376805167988E-3</c:v>
                </c:pt>
                <c:pt idx="179">
                  <c:v>1.3378666940824159E-3</c:v>
                </c:pt>
                <c:pt idx="180">
                  <c:v>1.342225219666926E-3</c:v>
                </c:pt>
                <c:pt idx="181">
                  <c:v>1.3433943765390742E-3</c:v>
                </c:pt>
                <c:pt idx="182">
                  <c:v>1.3444179342739246E-3</c:v>
                </c:pt>
                <c:pt idx="183">
                  <c:v>1.345357510877519E-3</c:v>
                </c:pt>
                <c:pt idx="184">
                  <c:v>1.346276264618932E-3</c:v>
                </c:pt>
                <c:pt idx="185">
                  <c:v>1.348908152759849E-3</c:v>
                </c:pt>
                <c:pt idx="186">
                  <c:v>1.3497441791423023E-3</c:v>
                </c:pt>
                <c:pt idx="187">
                  <c:v>1.3505596647074569E-3</c:v>
                </c:pt>
                <c:pt idx="188">
                  <c:v>1.3513546658642894E-3</c:v>
                </c:pt>
                <c:pt idx="189">
                  <c:v>1.3550243798377967E-3</c:v>
                </c:pt>
                <c:pt idx="190">
                  <c:v>1.3556976591332028E-3</c:v>
                </c:pt>
                <c:pt idx="191">
                  <c:v>1.3563508488831223E-3</c:v>
                </c:pt>
                <c:pt idx="192">
                  <c:v>1.3569840054965315E-3</c:v>
                </c:pt>
                <c:pt idx="193">
                  <c:v>1.3587638406074641E-3</c:v>
                </c:pt>
                <c:pt idx="194">
                  <c:v>1.3593174287645981E-3</c:v>
                </c:pt>
                <c:pt idx="195">
                  <c:v>1.3598512658301047E-3</c:v>
                </c:pt>
                <c:pt idx="196">
                  <c:v>1.3603654082129601E-3</c:v>
                </c:pt>
                <c:pt idx="197">
                  <c:v>1.3608599123221411E-3</c:v>
                </c:pt>
                <c:pt idx="198">
                  <c:v>1.3622261590974017E-3</c:v>
                </c:pt>
                <c:pt idx="199">
                  <c:v>1.3626426742016494E-3</c:v>
                </c:pt>
                <c:pt idx="200">
                  <c:v>1.3630398330771053E-3</c:v>
                </c:pt>
                <c:pt idx="201">
                  <c:v>1.3634176921327457E-3</c:v>
                </c:pt>
                <c:pt idx="202">
                  <c:v>1.3637763077775471E-3</c:v>
                </c:pt>
                <c:pt idx="203">
                  <c:v>1.3647372583366825E-3</c:v>
                </c:pt>
                <c:pt idx="204">
                  <c:v>1.3650194644278931E-3</c:v>
                </c:pt>
                <c:pt idx="205">
                  <c:v>1.3652827091531474E-3</c:v>
                </c:pt>
                <c:pt idx="206">
                  <c:v>1.3655270489214217E-3</c:v>
                </c:pt>
                <c:pt idx="207">
                  <c:v>1.3657525401416925E-3</c:v>
                </c:pt>
                <c:pt idx="208">
                  <c:v>1.3663164866042497E-3</c:v>
                </c:pt>
                <c:pt idx="209">
                  <c:v>1.366467147722272E-3</c:v>
                </c:pt>
                <c:pt idx="210">
                  <c:v>1.3665992423371736E-3</c:v>
                </c:pt>
                <c:pt idx="211">
                  <c:v>1.3667128268579306E-3</c:v>
                </c:pt>
                <c:pt idx="212">
                  <c:v>1.3668079576935198E-3</c:v>
                </c:pt>
                <c:pt idx="213">
                  <c:v>1.3669831921790457E-3</c:v>
                </c:pt>
                <c:pt idx="214">
                  <c:v>1.3670050723637286E-3</c:v>
                </c:pt>
                <c:pt idx="215">
                  <c:v>1.3670087809081264E-3</c:v>
                </c:pt>
                <c:pt idx="216">
                  <c:v>1.3669619087119719E-3</c:v>
                </c:pt>
                <c:pt idx="217">
                  <c:v>1.3667567233400131E-3</c:v>
                </c:pt>
                <c:pt idx="218">
                  <c:v>1.3666525866312057E-3</c:v>
                </c:pt>
                <c:pt idx="219">
                  <c:v>1.3665306731449486E-3</c:v>
                </c:pt>
                <c:pt idx="220">
                  <c:v>1.3663910392902182E-3</c:v>
                </c:pt>
                <c:pt idx="221">
                  <c:v>1.366233741475991E-3</c:v>
                </c:pt>
                <c:pt idx="222">
                  <c:v>1.3654290388036457E-3</c:v>
                </c:pt>
                <c:pt idx="223">
                  <c:v>1.3651842673265827E-3</c:v>
                </c:pt>
                <c:pt idx="224">
                  <c:v>1.364922170343882E-3</c:v>
                </c:pt>
                <c:pt idx="225">
                  <c:v>1.3646428042645201E-3</c:v>
                </c:pt>
                <c:pt idx="226">
                  <c:v>1.3637016555362329E-3</c:v>
                </c:pt>
                <c:pt idx="227">
                  <c:v>1.3633537771599914E-3</c:v>
                </c:pt>
                <c:pt idx="228">
                  <c:v>1.3629889117319715E-3</c:v>
                </c:pt>
                <c:pt idx="229">
                  <c:v>1.3626071156611495E-3</c:v>
                </c:pt>
                <c:pt idx="230">
                  <c:v>1.3622084453565018E-3</c:v>
                </c:pt>
                <c:pt idx="231">
                  <c:v>1.3609117531293705E-3</c:v>
                </c:pt>
                <c:pt idx="232">
                  <c:v>1.3604461499791857E-3</c:v>
                </c:pt>
                <c:pt idx="233">
                  <c:v>1.3599639546400576E-3</c:v>
                </c:pt>
                <c:pt idx="234">
                  <c:v>1.3594652235209633E-3</c:v>
                </c:pt>
                <c:pt idx="235">
                  <c:v>1.3589500130308787E-3</c:v>
                </c:pt>
                <c:pt idx="236">
                  <c:v>1.3573060694244503E-3</c:v>
                </c:pt>
                <c:pt idx="237">
                  <c:v>1.3567255055401707E-3</c:v>
                </c:pt>
                <c:pt idx="238">
                  <c:v>1.3561287443297839E-3</c:v>
                </c:pt>
                <c:pt idx="239">
                  <c:v>1.3555158422022659E-3</c:v>
                </c:pt>
                <c:pt idx="240">
                  <c:v>1.3548868555665935E-3</c:v>
                </c:pt>
                <c:pt idx="241">
                  <c:v>1.3529039527004148E-3</c:v>
                </c:pt>
                <c:pt idx="242">
                  <c:v>1.3522111921218897E-3</c:v>
                </c:pt>
                <c:pt idx="243">
                  <c:v>1.3515026290800926E-3</c:v>
                </c:pt>
                <c:pt idx="244">
                  <c:v>1.35076802038908E-3</c:v>
                </c:pt>
                <c:pt idx="245">
                  <c:v>1.3499976830255432E-3</c:v>
                </c:pt>
                <c:pt idx="246">
                  <c:v>1.3474812654290776E-3</c:v>
                </c:pt>
                <c:pt idx="247">
                  <c:v>1.3465769799047335E-3</c:v>
                </c:pt>
                <c:pt idx="248">
                  <c:v>1.3456414489725103E-3</c:v>
                </c:pt>
                <c:pt idx="249">
                  <c:v>1.3446755692853364E-3</c:v>
                </c:pt>
                <c:pt idx="250">
                  <c:v>1.3405264960457161E-3</c:v>
                </c:pt>
                <c:pt idx="251">
                  <c:v>1.3394223223777244E-3</c:v>
                </c:pt>
                <c:pt idx="252">
                  <c:v>1.3382931798723559E-3</c:v>
                </c:pt>
                <c:pt idx="253">
                  <c:v>1.3371399651825398E-3</c:v>
                </c:pt>
                <c:pt idx="254">
                  <c:v>1.3359635749612049E-3</c:v>
                </c:pt>
                <c:pt idx="255">
                  <c:v>1.332304317637377E-3</c:v>
                </c:pt>
                <c:pt idx="256">
                  <c:v>1.3310441918192564E-3</c:v>
                </c:pt>
                <c:pt idx="257">
                  <c:v>1.329765373734262E-3</c:v>
                </c:pt>
                <c:pt idx="258">
                  <c:v>1.3284687600353224E-3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9968"/>
        <c:axId val="483141504"/>
      </c:scatterChart>
      <c:valAx>
        <c:axId val="4831399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3141504"/>
        <c:crosses val="autoZero"/>
        <c:crossBetween val="midCat"/>
      </c:valAx>
      <c:valAx>
        <c:axId val="4831415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831399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119062</xdr:rowOff>
    </xdr:from>
    <xdr:to>
      <xdr:col>16</xdr:col>
      <xdr:colOff>542925</xdr:colOff>
      <xdr:row>72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1</v>
          </cell>
        </row>
        <row r="4">
          <cell r="I4">
            <v>1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(version unknown) - Multithreaded Dynamic Runtime library - Release Configuration - Jun 25 2015 08:49:52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42184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obj_001ff#0000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42180.639849537038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0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>
        <v>42181.618460648147</v>
      </c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42180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obj_00212#0000</v>
      </c>
      <c r="E21" s="3"/>
      <c r="G21" s="34"/>
      <c r="H21" s="258" t="s">
        <v>20</v>
      </c>
      <c r="I21" s="120">
        <f>[1]!TriggerCounter</f>
        <v>1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1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6M'!M13:M21),,,,,D24,D25,,Trigger)</f>
        <v>obj_00211#0000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42184</v>
      </c>
      <c r="D30" s="174" t="e">
        <f>_xll.qlYieldTSDiscount(D27,C30,,Trigger)</f>
        <v>#NUM!</v>
      </c>
      <c r="E30" s="198"/>
    </row>
    <row r="31" spans="2:10" x14ac:dyDescent="0.2">
      <c r="B31" s="1"/>
      <c r="C31" s="50" t="e">
        <f>_xll.qlTermStructureMaxDate(D27)</f>
        <v>#NUM!</v>
      </c>
      <c r="D31" s="175" t="e">
        <f>_xll.qlYieldTSDiscount(D27,C31,,Trigger)</f>
        <v>#NUM!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42214</v>
      </c>
      <c r="F3" s="209">
        <f>_xll.qlYieldTSDiscount(Discounting,D3,,AllTriggers)</f>
        <v>1</v>
      </c>
      <c r="G3" s="209">
        <f>_xll.qlYieldTSDiscount(Discounting,E3,,AllTriggers)</f>
        <v>1.0002458937822214</v>
      </c>
      <c r="H3" s="211">
        <f>_xll.qlDayCounterYearFraction(DayCounter,D3,E3,,,Trigger)</f>
        <v>8.3333333333333329E-2</v>
      </c>
      <c r="I3" s="213">
        <f>(F3/G3-1)/H3</f>
        <v>-2.949999999999342E-3</v>
      </c>
      <c r="J3" s="203">
        <f>'Delta 1M'!M3</f>
        <v>2.6672868109985655E-5</v>
      </c>
      <c r="K3" s="187">
        <f>_xll.qlDayCounterYearFraction(DayCounter,SettlementDate,D3,,,Trigger)</f>
        <v>0</v>
      </c>
      <c r="L3" s="187">
        <f>_xll.qlDayCounterYearFraction(DayCounter,SettlementDate,E3,,,Trigger)</f>
        <v>8.3333333333333329E-2</v>
      </c>
      <c r="M3" s="187">
        <f>L3-K3</f>
        <v>8.3333333333333329E-2</v>
      </c>
      <c r="N3" s="187">
        <f>(L3^2-K3^2)/2</f>
        <v>3.472222222222222E-3</v>
      </c>
      <c r="O3" s="187">
        <f>(L3^3-K3^3)/3</f>
        <v>1.9290123456790122E-4</v>
      </c>
      <c r="P3" s="315" t="b">
        <v>1</v>
      </c>
      <c r="R3" s="426" t="s">
        <v>86</v>
      </c>
      <c r="S3" s="282">
        <f t="array" ref="S3:S5">_xll.ohFilter(O3:O7,P3:P7)</f>
        <v>1.9290123456790122E-4</v>
      </c>
      <c r="T3" s="283">
        <f t="array" ref="T3:T5">_xll.ohFilter(N3:N7,P3:P7)</f>
        <v>3.472222222222222E-3</v>
      </c>
      <c r="U3" s="284">
        <f t="array" ref="U3:U5">_xll.ohFilter(M3:M7,P3:P7)</f>
        <v>8.3333333333333329E-2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2.6672868109985655E-5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23" si="0">$W$13</f>
        <v>3.2007441731982784E-4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6"/>
      <c r="S4" s="282">
        <v>1.9290123456790122E-4</v>
      </c>
      <c r="T4" s="283">
        <v>3.472222222222222E-3</v>
      </c>
      <c r="U4" s="284">
        <v>8.3333333333333329E-2</v>
      </c>
      <c r="V4" s="289" t="s">
        <v>32</v>
      </c>
      <c r="W4" s="286" t="e">
        <v>#NUM!</v>
      </c>
      <c r="X4" s="289" t="s">
        <v>33</v>
      </c>
      <c r="Y4" s="288">
        <v>2.6672868109985655E-5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3.2007441731982784E-4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6"/>
      <c r="S5" s="282">
        <v>1.9290123456790122E-4</v>
      </c>
      <c r="T5" s="283">
        <v>3.472222222222222E-3</v>
      </c>
      <c r="U5" s="284">
        <v>8.3333333333333329E-2</v>
      </c>
      <c r="V5" s="272"/>
      <c r="W5" s="286" t="e">
        <v>#NUM!</v>
      </c>
      <c r="X5" s="289"/>
      <c r="Y5" s="288">
        <v>2.6672868109985655E-5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3.2007441731982784E-4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3.2007441731982784E-4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3.2007441731982784E-4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3.2007441731982784E-4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5" t="s">
        <v>87</v>
      </c>
      <c r="S9" s="291"/>
      <c r="T9" s="282">
        <f t="array" ref="T9:T10">_xll.ohFilter(N3:N7,P3:P7)</f>
        <v>3.472222222222222E-3</v>
      </c>
      <c r="U9" s="284">
        <f t="array" ref="U9:U10">_xll.ohFilter(M3:M7,P3:P7)</f>
        <v>8.3333333333333329E-2</v>
      </c>
      <c r="V9" s="427" t="s">
        <v>32</v>
      </c>
      <c r="W9" s="286" t="e">
        <f t="array" ref="W9:W10">MMULT(AA9:AB10,Y9:Y10)</f>
        <v>#NUM!</v>
      </c>
      <c r="X9" s="427" t="s">
        <v>33</v>
      </c>
      <c r="Y9" s="288">
        <f t="array" ref="Y9:Y10">_xll.ohFilter(J3:J7,P3:P7)</f>
        <v>2.6672868109985655E-5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3.2007441731982784E-4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5"/>
      <c r="S10" s="291"/>
      <c r="T10" s="282">
        <v>3.472222222222222E-3</v>
      </c>
      <c r="U10" s="284">
        <v>8.3333333333333329E-2</v>
      </c>
      <c r="V10" s="427"/>
      <c r="W10" s="286" t="e">
        <v>#NUM!</v>
      </c>
      <c r="X10" s="427"/>
      <c r="Y10" s="288">
        <v>2.6672868109985655E-5</v>
      </c>
      <c r="AA10" s="282" t="e">
        <v>#NUM!</v>
      </c>
      <c r="AB10" s="284" t="e">
        <v>#NUM!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3.2007441731982784E-4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3.2007441731982784E-4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3.2007441731982784E-4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8.3333333333333329E-2</v>
      </c>
      <c r="V13" s="292" t="s">
        <v>32</v>
      </c>
      <c r="W13" s="286">
        <f>MMULT(AA13,Y13)</f>
        <v>3.2007441731982784E-4</v>
      </c>
      <c r="X13" s="292" t="s">
        <v>33</v>
      </c>
      <c r="Y13" s="288">
        <f t="array" ref="Y13">_xll.ohFilter(J3:J7,P3:P7)</f>
        <v>2.6672868109985655E-5</v>
      </c>
      <c r="AA13" s="293">
        <f>MINVERSE(U13)</f>
        <v>12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3.2007441731982784E-4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3.2007441731982784E-4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1.0000081948088653</v>
      </c>
      <c r="M15" s="191">
        <f>(K15/L15-1)/J15</f>
        <v>-2.9501070159154708E-3</v>
      </c>
      <c r="N15" s="126">
        <f>((1+M15*J15)*EXP($W$13*J15)-1)/J15</f>
        <v>-2.6300350792807237E-3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3.2007441731982784E-4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1.0000573653252054</v>
      </c>
      <c r="M16" s="191">
        <f t="shared" ref="M16:M19" si="6">(K16/L16-1)/J16</f>
        <v>-2.950047494413458E-3</v>
      </c>
      <c r="N16" s="126">
        <f t="shared" ref="N16:N19" si="7">((1+M16*J16)*EXP($W$13*J16)-1)/J16</f>
        <v>-2.6299904412503089E-3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3.2007441731982784E-4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1.0001147354901463</v>
      </c>
      <c r="M17" s="191">
        <f t="shared" si="6"/>
        <v>-2.9500027051839895E-3</v>
      </c>
      <c r="N17" s="126">
        <f t="shared" si="7"/>
        <v>-2.6299630157284553E-3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3.2007441731982784E-4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1.0001721120443219</v>
      </c>
      <c r="M18" s="191">
        <f t="shared" si="6"/>
        <v>-2.9499844605191633E-3</v>
      </c>
      <c r="N18" s="126">
        <f t="shared" si="7"/>
        <v>-2.6299621348207275E-3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3.2007441731982784E-4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42184</v>
      </c>
      <c r="E19" s="304">
        <f>_xll.qlCalendarAdvance(Calendar,SettlementDate,C19,"mf",TRUE,Trigger)</f>
        <v>42214</v>
      </c>
      <c r="F19" s="305"/>
      <c r="G19" s="305"/>
      <c r="H19" s="305"/>
      <c r="I19" s="305"/>
      <c r="J19" s="306">
        <f>_xll.qlDayCounterYearFraction(DayCounter,D19,E19,,,Trigger)</f>
        <v>8.3333333333333329E-2</v>
      </c>
      <c r="K19" s="307">
        <f>_xll.qlYieldTSDiscount(Discounting,D19,,AllTriggers)</f>
        <v>1</v>
      </c>
      <c r="L19" s="308">
        <f>_xll.qlYieldTSDiscount(Discounting,E19,,AllTriggers)</f>
        <v>1.0002458937822214</v>
      </c>
      <c r="M19" s="309">
        <f t="shared" si="6"/>
        <v>-2.949999999999342E-3</v>
      </c>
      <c r="N19" s="132">
        <f t="shared" si="7"/>
        <v>-2.6299999999999102E-3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3.2007441731982784E-4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3.2007441731982784E-4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3.2007441731982784E-4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3.2007441731982784E-4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-2.6300350792807237E-3</v>
      </c>
      <c r="AF23" s="304">
        <f>_xll.qlCalendarAdvance(Calendar,AF22,"1d","mf",,Trigger)</f>
        <v>42212</v>
      </c>
      <c r="AG23" s="306">
        <f>_xll.qlDayCounterYearFraction(DayCounter,SettlementDate,AF23,,,Trigger)</f>
        <v>7.7777777777777779E-2</v>
      </c>
      <c r="AH23" s="132">
        <f t="shared" si="0"/>
        <v>3.2007441731982784E-4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-2.6299904412503089E-3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-2.6299630157284553E-3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-2.6299621348207275E-3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-2.6299999999999102E-3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42276</v>
      </c>
      <c r="F3" s="209">
        <f>_xll.qlYieldTSDiscount(Discounting,D3,,AllTriggers)</f>
        <v>1</v>
      </c>
      <c r="G3" s="209">
        <f>_xll.qlYieldTSDiscount(Discounting,E3,,AllTriggers)</f>
        <v>1.0007544576661411</v>
      </c>
      <c r="H3" s="211">
        <f>_xll.qlDayCounterYearFraction(DayCounter,D3,E3,,,Trigger)</f>
        <v>0.25555555555555554</v>
      </c>
      <c r="I3" s="213">
        <f>(F3/G3-1)/H3</f>
        <v>-2.9500000000023834E-3</v>
      </c>
      <c r="J3" s="203">
        <f>'Delta 3M'!P4</f>
        <v>2.275901410486486E-4</v>
      </c>
      <c r="K3" s="187">
        <f>_xll.qlDayCounterYearFraction(DayCounter,SettlementDate,D3,,,Trigger)</f>
        <v>0</v>
      </c>
      <c r="L3" s="187">
        <f>_xll.qlDayCounterYearFraction(DayCounter,SettlementDate,E3,,,Trigger)</f>
        <v>0.25555555555555554</v>
      </c>
      <c r="M3" s="187">
        <f>L3-K3</f>
        <v>0.25555555555555554</v>
      </c>
      <c r="N3" s="187">
        <f>(L3^2-K3^2)/2</f>
        <v>3.2654320987654313E-2</v>
      </c>
      <c r="O3" s="187">
        <f>(L3^3-K3^3)/3</f>
        <v>5.5633287608596238E-3</v>
      </c>
      <c r="P3" s="315" t="b">
        <f>IF(D12="fixing",TRUE,FALSE)</f>
        <v>0</v>
      </c>
      <c r="R3" s="426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2.4108855582735539E-3</v>
      </c>
      <c r="X3" s="287"/>
      <c r="Y3" s="288">
        <f t="array" ref="Y3:Y5">_xll.ohFilter(J3:J7,P3:P7)</f>
        <v>2.275901410486486E-4</v>
      </c>
      <c r="AA3" s="282">
        <f t="array" ref="AA3:AC5">MINVERSE(S3:U5)</f>
        <v>272.5155279503112</v>
      </c>
      <c r="AB3" s="283">
        <v>-524.06832298136737</v>
      </c>
      <c r="AC3" s="284">
        <v>254.317111459969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65" si="0">$W$13</f>
        <v>8.9057011714688598E-4</v>
      </c>
      <c r="AI3" s="125">
        <f t="shared" ref="AI3:AI65" si="1">$W$10+$W$9*AG3</f>
        <v>1.0736218032533289E-3</v>
      </c>
      <c r="AJ3" s="125">
        <f t="shared" ref="AJ3:AJ34" si="2">($W$5+$W$4*AG3+$W$3*AG3^2)</f>
        <v>1.1255352134741784E-3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42184</v>
      </c>
      <c r="E4" s="122">
        <f>_xll.qlInterestRateIndexMaturity($D$10,D4)</f>
        <v>42276</v>
      </c>
      <c r="F4" s="210">
        <f>_xll.qlYieldTSDiscount(Discounting,D4,,AllTriggers)</f>
        <v>1</v>
      </c>
      <c r="G4" s="210">
        <f>_xll.qlYieldTSDiscount(Discounting,E4,,AllTriggers)</f>
        <v>1.0007544576661411</v>
      </c>
      <c r="H4" s="212">
        <f>_xll.qlDayCounterYearFraction(DayCounter,D4,E4,,,Trigger)</f>
        <v>0.25555555555555554</v>
      </c>
      <c r="I4" s="123">
        <f t="shared" ref="I4:I7" si="3">(F4/G4-1)/H4</f>
        <v>-2.9500000000023834E-3</v>
      </c>
      <c r="J4" s="204">
        <f>LN((1+(_xll.qlInterpolationInterpolate(B3Minterpolation,D4,TRUE,AllTriggers)+I4)*H4)/(1+I4*H4))</f>
        <v>2.275901410486486E-4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6"/>
      <c r="S4" s="282">
        <v>1.2780406950160037E-2</v>
      </c>
      <c r="T4" s="283">
        <v>5.3950617283950619E-2</v>
      </c>
      <c r="U4" s="284">
        <v>0.25555555555555559</v>
      </c>
      <c r="V4" s="289" t="s">
        <v>32</v>
      </c>
      <c r="W4" s="286">
        <v>-2.2496007410885439E-3</v>
      </c>
      <c r="X4" s="289" t="s">
        <v>33</v>
      </c>
      <c r="Y4" s="288">
        <v>1.9708152669757484E-4</v>
      </c>
      <c r="AA4" s="282">
        <v>-139.30900621118033</v>
      </c>
      <c r="AB4" s="283">
        <v>224.55745341614934</v>
      </c>
      <c r="AC4" s="284">
        <v>-86.185243328100597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8.9057011714688598E-4</v>
      </c>
      <c r="AI4" s="126">
        <f t="shared" si="1"/>
        <v>1.0696424187727541E-3</v>
      </c>
      <c r="AJ4" s="126">
        <f t="shared" si="2"/>
        <v>1.119304925038734E-3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42214</v>
      </c>
      <c r="E5" s="122">
        <f>_xll.qlInterestRateIndexMaturity($D$10,D5)</f>
        <v>42306</v>
      </c>
      <c r="F5" s="210">
        <f>_xll.qlYieldTSDiscount(Discounting,D5,,AllTriggers)</f>
        <v>1.0002458937822214</v>
      </c>
      <c r="G5" s="210">
        <f>_xll.qlYieldTSDiscount(Discounting,E5,,AllTriggers)</f>
        <v>1.001000722666912</v>
      </c>
      <c r="H5" s="212">
        <f>_xll.qlDayCounterYearFraction(DayCounter,D5,E5,,,Trigger)</f>
        <v>0.25555555555555554</v>
      </c>
      <c r="I5" s="123">
        <f t="shared" si="3"/>
        <v>-2.9507253866631216E-3</v>
      </c>
      <c r="J5" s="204">
        <f>LN((1+(_xll.qlInterpolationInterpolate(B3Minterpolation,D5,TRUE,AllTriggers)+I5)*H5)/(1+I5*H5))</f>
        <v>1.9708152669757484E-4</v>
      </c>
      <c r="K5" s="130">
        <f>_xll.qlDayCounterYearFraction(DayCounter,SettlementDate,D5,,,Trigger)</f>
        <v>8.3333333333333329E-2</v>
      </c>
      <c r="L5" s="130">
        <f>_xll.qlDayCounterYearFraction(DayCounter,SettlementDate,E5,,,Trigger)</f>
        <v>0.33888888888888891</v>
      </c>
      <c r="M5" s="130">
        <f>L5-K5</f>
        <v>0.25555555555555559</v>
      </c>
      <c r="N5" s="130">
        <f>(L5^2-K5^2)/2</f>
        <v>5.3950617283950619E-2</v>
      </c>
      <c r="O5" s="130">
        <f>(L5^3-K5^3)/3</f>
        <v>1.2780406950160037E-2</v>
      </c>
      <c r="P5" s="317" t="b">
        <v>1</v>
      </c>
      <c r="R5" s="426"/>
      <c r="S5" s="282">
        <v>2.4307105909922262E-2</v>
      </c>
      <c r="T5" s="283">
        <v>7.6184413580246912E-2</v>
      </c>
      <c r="U5" s="284">
        <v>0.25277777777777777</v>
      </c>
      <c r="V5" s="272"/>
      <c r="W5" s="286">
        <v>1.1255352134741784E-3</v>
      </c>
      <c r="X5" s="289"/>
      <c r="Y5" s="288">
        <v>1.7172742742477769E-4</v>
      </c>
      <c r="AA5" s="282">
        <v>15.781099033816437</v>
      </c>
      <c r="AB5" s="283">
        <v>-17.284722222222236</v>
      </c>
      <c r="AC5" s="284">
        <v>5.4761904761904825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8.9057011714688598E-4</v>
      </c>
      <c r="AI5" s="126">
        <f t="shared" si="1"/>
        <v>1.0656630342921792E-3</v>
      </c>
      <c r="AJ5" s="126">
        <f t="shared" si="2"/>
        <v>1.113111841627337E-3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42247</v>
      </c>
      <c r="E6" s="122">
        <f>_xll.qlInterestRateIndexMaturity($D$10,D6)</f>
        <v>42338</v>
      </c>
      <c r="F6" s="210">
        <f>_xll.qlYieldTSDiscount(Discounting,D6,,AllTriggers)</f>
        <v>1.000516516651722</v>
      </c>
      <c r="G6" s="210">
        <f>_xll.qlYieldTSDiscount(Discounting,E6,,AllTriggers)</f>
        <v>1.0012635389604183</v>
      </c>
      <c r="H6" s="212">
        <f>_xll.qlDayCounterYearFraction(DayCounter,D6,E6,,,Trigger)</f>
        <v>0.25277777777777777</v>
      </c>
      <c r="I6" s="123">
        <f t="shared" si="3"/>
        <v>-2.9515237241299484E-3</v>
      </c>
      <c r="J6" s="204">
        <f>LN((1+(_xll.qlInterpolationInterpolate(B3Minterpolation,D6,TRUE,AllTriggers)+I6)*H6)/(1+I6*H6))</f>
        <v>1.7172742742477769E-4</v>
      </c>
      <c r="K6" s="130">
        <f>_xll.qlDayCounterYearFraction(DayCounter,SettlementDate,D6,,,Trigger)</f>
        <v>0.17499999999999999</v>
      </c>
      <c r="L6" s="130">
        <f>_xll.qlDayCounterYearFraction(DayCounter,SettlementDate,E6,,,Trigger)</f>
        <v>0.42777777777777776</v>
      </c>
      <c r="M6" s="130">
        <f>L6-K6</f>
        <v>0.25277777777777777</v>
      </c>
      <c r="N6" s="130">
        <f>(L6^2-K6^2)/2</f>
        <v>7.6184413580246912E-2</v>
      </c>
      <c r="O6" s="130">
        <f>(L6^3-K6^3)/3</f>
        <v>2.4307105909922262E-2</v>
      </c>
      <c r="P6" s="317" t="b">
        <v>1</v>
      </c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8.9057011714688598E-4</v>
      </c>
      <c r="AI6" s="126">
        <f t="shared" si="1"/>
        <v>1.0616836498116044E-3</v>
      </c>
      <c r="AJ6" s="126">
        <f t="shared" si="2"/>
        <v>1.1069559632399875E-3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42276</v>
      </c>
      <c r="E7" s="303">
        <f>_xll.qlInterestRateIndexMaturity($D$10,D7)</f>
        <v>42367</v>
      </c>
      <c r="F7" s="319">
        <f>_xll.qlYieldTSDiscount(Discounting,D7,,AllTriggers)</f>
        <v>1.0007544576661411</v>
      </c>
      <c r="G7" s="319">
        <f>_xll.qlYieldTSDiscount(Discounting,E7,,AllTriggers)</f>
        <v>1.0015069341001761</v>
      </c>
      <c r="H7" s="320">
        <f>_xll.qlDayCounterYearFraction(DayCounter,D7,E7,,,Trigger)</f>
        <v>0.25277777777777777</v>
      </c>
      <c r="I7" s="321">
        <f t="shared" si="3"/>
        <v>-2.9723507122833772E-3</v>
      </c>
      <c r="J7" s="322">
        <f>LN((1+(_xll.qlInterpolationInterpolate(B3Minterpolation,D7,TRUE,AllTriggers)+I7)*H7)/(1+I7*H7))</f>
        <v>1.6831944636554522E-4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0.5083333333333333</v>
      </c>
      <c r="M7" s="306">
        <f>L7-K7</f>
        <v>0.25277777777777777</v>
      </c>
      <c r="N7" s="306">
        <f>(L7^2-K7^2)/2</f>
        <v>9.6547067901234573E-2</v>
      </c>
      <c r="O7" s="306">
        <f>(L7^3-K7^3)/3</f>
        <v>3.8221586362597156E-2</v>
      </c>
      <c r="P7" s="323" t="b">
        <v>0</v>
      </c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8.9057011714688598E-4</v>
      </c>
      <c r="AI7" s="126">
        <f t="shared" si="1"/>
        <v>1.0577042653310295E-3</v>
      </c>
      <c r="AJ7" s="126">
        <f t="shared" si="2"/>
        <v>1.1008372898766851E-3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8.9057011714688598E-4</v>
      </c>
      <c r="AI8" s="126">
        <f t="shared" si="1"/>
        <v>1.045766111889305E-3</v>
      </c>
      <c r="AJ8" s="126">
        <f t="shared" si="2"/>
        <v>1.0827044999310632E-3</v>
      </c>
    </row>
    <row r="9" spans="1:36" ht="12" customHeight="1" x14ac:dyDescent="0.2">
      <c r="C9" s="298" t="s">
        <v>131</v>
      </c>
      <c r="D9" s="312" t="s">
        <v>36</v>
      </c>
      <c r="R9" s="425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7" t="s">
        <v>32</v>
      </c>
      <c r="W9" s="286">
        <f t="array" ref="W9:W10">MMULT(AA9:AB10,Y9:Y10)</f>
        <v>-1.4325784130069432E-3</v>
      </c>
      <c r="X9" s="427" t="s">
        <v>33</v>
      </c>
      <c r="Y9" s="288">
        <f t="array" ref="Y9:Y10">_xll.ohFilter(J3:J7,P3:P7)</f>
        <v>2.275901410486486E-4</v>
      </c>
      <c r="AA9" s="282">
        <f t="array" ref="AA9:AB10">MINVERSE(T9:U10)</f>
        <v>-46.956521739130444</v>
      </c>
      <c r="AB9" s="284">
        <v>46.956521739130437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8.9057011714688598E-4</v>
      </c>
      <c r="AI9" s="126">
        <f t="shared" si="1"/>
        <v>1.0417867274087303E-3</v>
      </c>
      <c r="AJ9" s="126">
        <f t="shared" si="2"/>
        <v>1.0767346466639507E-3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5"/>
      <c r="S10" s="291"/>
      <c r="T10" s="282">
        <v>5.3950617283950619E-2</v>
      </c>
      <c r="U10" s="284">
        <v>0.25555555555555559</v>
      </c>
      <c r="V10" s="427"/>
      <c r="W10" s="286">
        <v>1.0736218032533289E-3</v>
      </c>
      <c r="X10" s="427"/>
      <c r="Y10" s="288">
        <v>1.9708152669757484E-4</v>
      </c>
      <c r="AA10" s="282">
        <v>9.913043478260871</v>
      </c>
      <c r="AB10" s="284">
        <v>-6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8.9057011714688598E-4</v>
      </c>
      <c r="AI10" s="126">
        <f t="shared" si="1"/>
        <v>1.0378073429281555E-3</v>
      </c>
      <c r="AJ10" s="126">
        <f t="shared" si="2"/>
        <v>1.0708019984208858E-3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8.9057011714688598E-4</v>
      </c>
      <c r="AI11" s="126">
        <f t="shared" si="1"/>
        <v>1.0338279584475806E-3</v>
      </c>
      <c r="AJ11" s="126">
        <f t="shared" si="2"/>
        <v>1.0649065552018682E-3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8.9057011714688598E-4</v>
      </c>
      <c r="AI12" s="126">
        <f t="shared" si="1"/>
        <v>1.0298485739670057E-3</v>
      </c>
      <c r="AJ12" s="126">
        <f t="shared" si="2"/>
        <v>1.0590483170068981E-3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8.9057011714688598E-4</v>
      </c>
      <c r="X13" s="292" t="s">
        <v>33</v>
      </c>
      <c r="Y13" s="288">
        <f t="array" ref="Y13">_xll.ohFilter(J3:J7,P3:P7)</f>
        <v>2.275901410486486E-4</v>
      </c>
      <c r="AA13" s="293">
        <f>MINVERSE(U13)</f>
        <v>3.9130434782608701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8.9057011714688598E-4</v>
      </c>
      <c r="AI13" s="126">
        <f t="shared" si="1"/>
        <v>1.0179104205252812E-3</v>
      </c>
      <c r="AJ13" s="126">
        <f t="shared" si="2"/>
        <v>1.0416968325662722E-3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8.9057011714688598E-4</v>
      </c>
      <c r="AI14" s="126">
        <f t="shared" si="1"/>
        <v>1.0139310360447063E-3</v>
      </c>
      <c r="AJ14" s="126">
        <f t="shared" si="2"/>
        <v>1.0359874144674917E-3</v>
      </c>
    </row>
    <row r="15" spans="1:36" ht="12" customHeight="1" x14ac:dyDescent="0.2">
      <c r="C15" s="301" t="s">
        <v>38</v>
      </c>
      <c r="D15" s="127">
        <f t="shared" ref="D15:D21" si="5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1.0000081948088653</v>
      </c>
      <c r="M15" s="126">
        <f>(K15/L15-1)/J15</f>
        <v>-2.9501070159154708E-3</v>
      </c>
      <c r="N15" s="125">
        <f>((1+M15*J15)*EXP($W$13*J15)-1)/J15</f>
        <v>-2.0595430952274896E-3</v>
      </c>
      <c r="O15" s="125">
        <f>((1+J15*M15)*EXP($W$10*J15+0.5*$W$9*J15^2)-1)/J15</f>
        <v>-1.8784820916772915E-3</v>
      </c>
      <c r="P15" s="125">
        <f t="shared" ref="P15:P21" si="6">((1+J15*M15)*EXP($W$5*J15+0.5*$W$4*J15^2+1/3*$W$3*J15^3)-1)/J15</f>
        <v>-1.8276974952291525E-3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8.9057011714688598E-4</v>
      </c>
      <c r="AI15" s="126">
        <f t="shared" si="1"/>
        <v>1.0099516515641315E-3</v>
      </c>
      <c r="AJ15" s="126">
        <f t="shared" si="2"/>
        <v>1.0303152013927588E-3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1.0000573653252054</v>
      </c>
      <c r="M16" s="191">
        <f t="shared" ref="M16:M21" si="7">(K16/L16-1)/J16</f>
        <v>-2.950047494413458E-3</v>
      </c>
      <c r="N16" s="126">
        <f t="shared" ref="N16:N20" si="8">((1+M16*J16)*EXP($W$13*J16)-1)/J16</f>
        <v>-2.059520751740429E-3</v>
      </c>
      <c r="O16" s="126">
        <f t="shared" ref="O16:O20" si="9">((1+J16*M16)*EXP($W$10*J16+0.5*$W$9*J16^2)-1)/J16</f>
        <v>-1.8904034060072761E-3</v>
      </c>
      <c r="P16" s="126">
        <f t="shared" si="6"/>
        <v>-1.8461310357517238E-3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8.9057011714688598E-4</v>
      </c>
      <c r="AI16" s="126">
        <f t="shared" si="1"/>
        <v>1.0059722670835566E-3</v>
      </c>
      <c r="AJ16" s="126">
        <f t="shared" si="2"/>
        <v>1.0246801933420733E-3</v>
      </c>
    </row>
    <row r="17" spans="3:36" ht="12" customHeight="1" x14ac:dyDescent="0.2">
      <c r="C17" s="252" t="s">
        <v>40</v>
      </c>
      <c r="D17" s="122">
        <f t="shared" si="5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1.0001147354901463</v>
      </c>
      <c r="M17" s="191">
        <f t="shared" si="7"/>
        <v>-2.9500027051839895E-3</v>
      </c>
      <c r="N17" s="126">
        <f t="shared" si="8"/>
        <v>-2.0595193362241532E-3</v>
      </c>
      <c r="O17" s="126">
        <f t="shared" si="9"/>
        <v>-1.9043353032031718E-3</v>
      </c>
      <c r="P17" s="126">
        <f t="shared" si="6"/>
        <v>-1.8670958052293049E-3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8.9057011714688598E-4</v>
      </c>
      <c r="AI17" s="126">
        <f t="shared" si="1"/>
        <v>1.0019928826029817E-3</v>
      </c>
      <c r="AJ17" s="126">
        <f t="shared" si="2"/>
        <v>1.0190823903154353E-3</v>
      </c>
    </row>
    <row r="18" spans="3:36" ht="12" customHeight="1" x14ac:dyDescent="0.2">
      <c r="C18" s="252" t="s">
        <v>41</v>
      </c>
      <c r="D18" s="122">
        <f t="shared" si="5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1.0001721120443219</v>
      </c>
      <c r="M18" s="191">
        <f t="shared" si="7"/>
        <v>-2.9499844605191633E-3</v>
      </c>
      <c r="N18" s="126">
        <f t="shared" si="8"/>
        <v>-2.0595444658948786E-3</v>
      </c>
      <c r="O18" s="126">
        <f t="shared" si="9"/>
        <v>-1.9182927068017719E-3</v>
      </c>
      <c r="P18" s="126">
        <f t="shared" si="6"/>
        <v>-1.8874779660826846E-3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8.9057011714688598E-4</v>
      </c>
      <c r="AI18" s="126">
        <f t="shared" si="1"/>
        <v>9.9005472916125718E-4</v>
      </c>
      <c r="AJ18" s="126">
        <f t="shared" si="2"/>
        <v>1.0025122113798053E-3</v>
      </c>
    </row>
    <row r="19" spans="3:36" ht="12" customHeight="1" x14ac:dyDescent="0.2">
      <c r="C19" s="252" t="s">
        <v>35</v>
      </c>
      <c r="D19" s="122">
        <f t="shared" si="5"/>
        <v>42184</v>
      </c>
      <c r="E19" s="129">
        <f>_xll.qlCalendarAdvance(Calendar,SettlementDate,C19,"mf",TRUE,Trigger)</f>
        <v>42214</v>
      </c>
      <c r="F19" s="124"/>
      <c r="G19" s="124"/>
      <c r="H19" s="124"/>
      <c r="I19" s="124"/>
      <c r="J19" s="130">
        <f>_xll.qlDayCounterYearFraction(DayCounter,D19,E19,,,Trigger)</f>
        <v>8.3333333333333329E-2</v>
      </c>
      <c r="K19" s="186">
        <f>_xll.qlYieldTSDiscount(Discounting,D19,,AllTriggers)</f>
        <v>1</v>
      </c>
      <c r="L19" s="202">
        <f>_xll.qlYieldTSDiscount(Discounting,E19,,AllTriggers)</f>
        <v>1.0002458937822214</v>
      </c>
      <c r="M19" s="191">
        <f t="shared" si="7"/>
        <v>-2.949999999999342E-3</v>
      </c>
      <c r="N19" s="126">
        <f t="shared" si="8"/>
        <v>-2.0596157755146116E-3</v>
      </c>
      <c r="O19" s="126">
        <f t="shared" si="9"/>
        <v>-1.9362753956517764E-3</v>
      </c>
      <c r="P19" s="126">
        <f t="shared" si="6"/>
        <v>-1.9128275899733538E-3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8.9057011714688598E-4</v>
      </c>
      <c r="AI19" s="126">
        <f t="shared" si="1"/>
        <v>9.8607534468068232E-4</v>
      </c>
      <c r="AJ19" s="126">
        <f t="shared" si="2"/>
        <v>9.9706322844935694E-4</v>
      </c>
    </row>
    <row r="20" spans="3:36" ht="12" customHeight="1" x14ac:dyDescent="0.2">
      <c r="C20" s="252" t="s">
        <v>42</v>
      </c>
      <c r="D20" s="122">
        <f t="shared" si="5"/>
        <v>42184</v>
      </c>
      <c r="E20" s="129">
        <f>_xll.qlCalendarAdvance(Calendar,SettlementDate,C20,"mf",TRUE,Trigger)</f>
        <v>42247</v>
      </c>
      <c r="F20" s="124"/>
      <c r="G20" s="124"/>
      <c r="H20" s="124"/>
      <c r="I20" s="124"/>
      <c r="J20" s="130">
        <f>_xll.qlDayCounterYearFraction(DayCounter,D20,E20,,,Trigger)</f>
        <v>0.17499999999999999</v>
      </c>
      <c r="K20" s="186">
        <f>_xll.qlYieldTSDiscount(Discounting,D20,,AllTriggers)</f>
        <v>1</v>
      </c>
      <c r="L20" s="202">
        <f>_xll.qlYieldTSDiscount(Discounting,E20,,AllTriggers)</f>
        <v>1.000516516651722</v>
      </c>
      <c r="M20" s="191">
        <f t="shared" si="7"/>
        <v>-2.9500000000031489E-3</v>
      </c>
      <c r="N20" s="126">
        <f t="shared" si="8"/>
        <v>-2.059820274328114E-3</v>
      </c>
      <c r="O20" s="126">
        <f t="shared" si="9"/>
        <v>-2.0021397075632918E-3</v>
      </c>
      <c r="P20" s="126">
        <f t="shared" si="6"/>
        <v>-1.9971063895875473E-3</v>
      </c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8.9057011714688598E-4</v>
      </c>
      <c r="AI20" s="126">
        <f t="shared" si="1"/>
        <v>9.8209596020010768E-4</v>
      </c>
      <c r="AJ20" s="126">
        <f t="shared" si="2"/>
        <v>9.9165145054295589E-4</v>
      </c>
    </row>
    <row r="21" spans="3:36" ht="12" customHeight="1" x14ac:dyDescent="0.2">
      <c r="C21" s="302" t="s">
        <v>36</v>
      </c>
      <c r="D21" s="303">
        <f t="shared" si="5"/>
        <v>42184</v>
      </c>
      <c r="E21" s="304">
        <f>_xll.qlCalendarAdvance(Calendar,SettlementDate,C21,"mf",TRUE,Trigger)</f>
        <v>42276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1.0007544576661411</v>
      </c>
      <c r="M21" s="132">
        <f t="shared" si="7"/>
        <v>-2.9500000000023834E-3</v>
      </c>
      <c r="N21" s="132">
        <f>((1+M21*J21)*EXP($W$13*J21)-1)/J21</f>
        <v>-2.0600000000006364E-3</v>
      </c>
      <c r="O21" s="132">
        <f>((1+J21*M21)*EXP($W$10*J21+0.5*$W$9*J21^2)-1)/J21</f>
        <v>-2.0600000000006364E-3</v>
      </c>
      <c r="P21" s="132">
        <f t="shared" si="6"/>
        <v>-2.0600000000006364E-3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8.9057011714688598E-4</v>
      </c>
      <c r="AI21" s="126">
        <f t="shared" si="1"/>
        <v>9.7811657571953282E-4</v>
      </c>
      <c r="AJ21" s="126">
        <f t="shared" si="2"/>
        <v>9.8627687766060252E-4</v>
      </c>
    </row>
    <row r="22" spans="3:36" ht="12" customHeight="1" x14ac:dyDescent="0.2"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8.9057011714688598E-4</v>
      </c>
      <c r="AI22" s="126">
        <f t="shared" si="1"/>
        <v>9.7413719123895786E-4</v>
      </c>
      <c r="AJ22" s="126">
        <f t="shared" si="2"/>
        <v>9.809395098022962E-4</v>
      </c>
    </row>
    <row r="23" spans="3:36" ht="12" customHeight="1" x14ac:dyDescent="0.2">
      <c r="C23" s="298" t="s">
        <v>101</v>
      </c>
      <c r="AF23" s="129">
        <f>_xll.qlCalendarAdvance(Calendar,AF22,"1d","mf",,Trigger)</f>
        <v>42212</v>
      </c>
      <c r="AG23" s="130">
        <f>_xll.qlDayCounterYearFraction(DayCounter,SettlementDate,AF23,,,Trigger)</f>
        <v>7.7777777777777779E-2</v>
      </c>
      <c r="AH23" s="126">
        <f t="shared" si="0"/>
        <v>8.9057011714688598E-4</v>
      </c>
      <c r="AI23" s="126">
        <f t="shared" si="1"/>
        <v>9.621990377972334E-4</v>
      </c>
      <c r="AJ23" s="126">
        <f t="shared" si="2"/>
        <v>9.6515063637166263E-4</v>
      </c>
    </row>
    <row r="24" spans="3:36" ht="12" customHeight="1" x14ac:dyDescent="0.2">
      <c r="C24" s="325" t="s">
        <v>86</v>
      </c>
      <c r="AF24" s="129">
        <f>_xll.qlCalendarAdvance(Calendar,AF23,"1d","mf",,Trigger)</f>
        <v>42213</v>
      </c>
      <c r="AG24" s="130">
        <f>_xll.qlDayCounterYearFraction(DayCounter,SettlementDate,AF24,,,Trigger)</f>
        <v>8.0555555555555561E-2</v>
      </c>
      <c r="AH24" s="126">
        <f t="shared" si="0"/>
        <v>8.9057011714688598E-4</v>
      </c>
      <c r="AI24" s="126">
        <f t="shared" si="1"/>
        <v>9.5821965331665854E-4</v>
      </c>
      <c r="AJ24" s="126">
        <f t="shared" si="2"/>
        <v>9.5996208860954621E-4</v>
      </c>
    </row>
    <row r="25" spans="3:36" ht="12" customHeight="1" x14ac:dyDescent="0.2">
      <c r="C25" s="326">
        <f t="shared" ref="C25:C31" si="10">IF($C$24="FLAT",N15,IF($C$24="linear",O15,P15))</f>
        <v>-1.8276974952291525E-3</v>
      </c>
      <c r="AF25" s="129">
        <f>_xll.qlCalendarAdvance(Calendar,AF24,"1d","mf",,Trigger)</f>
        <v>42214</v>
      </c>
      <c r="AG25" s="130">
        <f>_xll.qlDayCounterYearFraction(DayCounter,SettlementDate,AF25,,,Trigger)</f>
        <v>8.3333333333333329E-2</v>
      </c>
      <c r="AH25" s="126">
        <f t="shared" si="0"/>
        <v>8.9057011714688598E-4</v>
      </c>
      <c r="AI25" s="126">
        <f t="shared" si="1"/>
        <v>9.5424026883608368E-4</v>
      </c>
      <c r="AJ25" s="126">
        <f t="shared" si="2"/>
        <v>9.5481074587147727E-4</v>
      </c>
    </row>
    <row r="26" spans="3:36" ht="12" customHeight="1" x14ac:dyDescent="0.2">
      <c r="C26" s="326">
        <f t="shared" si="10"/>
        <v>-1.8461310357517238E-3</v>
      </c>
      <c r="AF26" s="129">
        <f>_xll.qlCalendarAdvance(Calendar,AF25,"1d","mf",,Trigger)</f>
        <v>42215</v>
      </c>
      <c r="AG26" s="130">
        <f>_xll.qlDayCounterYearFraction(DayCounter,SettlementDate,AF26,,,Trigger)</f>
        <v>8.611111111111111E-2</v>
      </c>
      <c r="AH26" s="126">
        <f t="shared" si="0"/>
        <v>8.9057011714688598E-4</v>
      </c>
      <c r="AI26" s="126">
        <f t="shared" si="1"/>
        <v>9.5026088435550883E-4</v>
      </c>
      <c r="AJ26" s="126">
        <f t="shared" si="2"/>
        <v>9.4969660815745569E-4</v>
      </c>
    </row>
    <row r="27" spans="3:36" ht="12" customHeight="1" x14ac:dyDescent="0.2">
      <c r="C27" s="326">
        <f t="shared" si="10"/>
        <v>-1.8670958052293049E-3</v>
      </c>
      <c r="AF27" s="129">
        <f>_xll.qlCalendarAdvance(Calendar,AF26,"1d","mf",,Trigger)</f>
        <v>42216</v>
      </c>
      <c r="AG27" s="130">
        <f>_xll.qlDayCounterYearFraction(DayCounter,SettlementDate,AF27,,,Trigger)</f>
        <v>8.8888888888888892E-2</v>
      </c>
      <c r="AH27" s="126">
        <f t="shared" si="0"/>
        <v>8.9057011714688598E-4</v>
      </c>
      <c r="AI27" s="126">
        <f t="shared" si="1"/>
        <v>9.4628149987493397E-4</v>
      </c>
      <c r="AJ27" s="126">
        <f t="shared" si="2"/>
        <v>9.4461967546748159E-4</v>
      </c>
    </row>
    <row r="28" spans="3:36" ht="12" customHeight="1" x14ac:dyDescent="0.2">
      <c r="C28" s="326">
        <f t="shared" si="10"/>
        <v>-1.8874779660826846E-3</v>
      </c>
      <c r="AF28" s="129">
        <f>_xll.qlCalendarAdvance(Calendar,AF27,"1d","mf",,Trigger)</f>
        <v>42219</v>
      </c>
      <c r="AG28" s="130">
        <f>_xll.qlDayCounterYearFraction(DayCounter,SettlementDate,AF28,,,Trigger)</f>
        <v>9.7222222222222224E-2</v>
      </c>
      <c r="AH28" s="126">
        <f t="shared" si="0"/>
        <v>8.9057011714688598E-4</v>
      </c>
      <c r="AI28" s="126">
        <f t="shared" si="1"/>
        <v>9.3434334643320951E-4</v>
      </c>
      <c r="AJ28" s="126">
        <f t="shared" si="2"/>
        <v>9.2961210754184394E-4</v>
      </c>
    </row>
    <row r="29" spans="3:36" ht="12" customHeight="1" x14ac:dyDescent="0.2">
      <c r="C29" s="326">
        <f t="shared" si="10"/>
        <v>-1.9128275899733538E-3</v>
      </c>
      <c r="AF29" s="129">
        <f>_xll.qlCalendarAdvance(Calendar,AF28,"1d","mf",,Trigger)</f>
        <v>42220</v>
      </c>
      <c r="AG29" s="130">
        <f>_xll.qlDayCounterYearFraction(DayCounter,SettlementDate,AF29,,,Trigger)</f>
        <v>0.1</v>
      </c>
      <c r="AH29" s="126">
        <f t="shared" si="0"/>
        <v>8.9057011714688598E-4</v>
      </c>
      <c r="AI29" s="126">
        <f t="shared" si="1"/>
        <v>9.3036396195263465E-4</v>
      </c>
      <c r="AJ29" s="126">
        <f t="shared" si="2"/>
        <v>9.2468399494805952E-4</v>
      </c>
    </row>
    <row r="30" spans="3:36" ht="12" customHeight="1" x14ac:dyDescent="0.2">
      <c r="C30" s="326">
        <f t="shared" si="10"/>
        <v>-1.9971063895875473E-3</v>
      </c>
      <c r="AF30" s="129">
        <f>_xll.qlCalendarAdvance(Calendar,AF29,"1d","mf",,Trigger)</f>
        <v>42221</v>
      </c>
      <c r="AG30" s="130">
        <f>_xll.qlDayCounterYearFraction(DayCounter,SettlementDate,AF30,,,Trigger)</f>
        <v>0.10277777777777777</v>
      </c>
      <c r="AH30" s="126">
        <f t="shared" si="0"/>
        <v>8.9057011714688598E-4</v>
      </c>
      <c r="AI30" s="126">
        <f t="shared" si="1"/>
        <v>9.2638457747205979E-4</v>
      </c>
      <c r="AJ30" s="126">
        <f t="shared" si="2"/>
        <v>9.197930873783227E-4</v>
      </c>
    </row>
    <row r="31" spans="3:36" ht="12" customHeight="1" x14ac:dyDescent="0.2">
      <c r="C31" s="327">
        <f t="shared" si="10"/>
        <v>-2.0600000000006364E-3</v>
      </c>
      <c r="AF31" s="129">
        <f>_xll.qlCalendarAdvance(Calendar,AF30,"1d","mf",,Trigger)</f>
        <v>42222</v>
      </c>
      <c r="AG31" s="130">
        <f>_xll.qlDayCounterYearFraction(DayCounter,SettlementDate,AF31,,,Trigger)</f>
        <v>0.10555555555555556</v>
      </c>
      <c r="AH31" s="126">
        <f t="shared" si="0"/>
        <v>8.9057011714688598E-4</v>
      </c>
      <c r="AI31" s="126">
        <f t="shared" si="1"/>
        <v>9.2240519299148494E-4</v>
      </c>
      <c r="AJ31" s="126">
        <f t="shared" si="2"/>
        <v>9.1493938483263313E-4</v>
      </c>
    </row>
    <row r="32" spans="3:36" ht="12" customHeight="1" x14ac:dyDescent="0.2">
      <c r="AF32" s="129">
        <f>_xll.qlCalendarAdvance(Calendar,AF31,"1d","mf",,Trigger)</f>
        <v>42223</v>
      </c>
      <c r="AG32" s="130">
        <f>_xll.qlDayCounterYearFraction(DayCounter,SettlementDate,AF32,,,Trigger)</f>
        <v>0.10833333333333334</v>
      </c>
      <c r="AH32" s="126">
        <f t="shared" si="0"/>
        <v>8.9057011714688598E-4</v>
      </c>
      <c r="AI32" s="126">
        <f t="shared" si="1"/>
        <v>9.1842580851091008E-4</v>
      </c>
      <c r="AJ32" s="126">
        <f t="shared" si="2"/>
        <v>9.1012288731099115E-4</v>
      </c>
    </row>
    <row r="33" spans="13:36" x14ac:dyDescent="0.2">
      <c r="AF33" s="129">
        <f>_xll.qlCalendarAdvance(Calendar,AF32,"1d","mf",,Trigger)</f>
        <v>42226</v>
      </c>
      <c r="AG33" s="130">
        <f>_xll.qlDayCounterYearFraction(DayCounter,SettlementDate,AF33,,,Trigger)</f>
        <v>0.11666666666666667</v>
      </c>
      <c r="AH33" s="126">
        <f t="shared" si="0"/>
        <v>8.9057011714688598E-4</v>
      </c>
      <c r="AI33" s="126">
        <f t="shared" si="1"/>
        <v>9.0648765506918562E-4</v>
      </c>
      <c r="AJ33" s="126">
        <f t="shared" si="2"/>
        <v>8.9589662489034951E-4</v>
      </c>
    </row>
    <row r="34" spans="13:36" x14ac:dyDescent="0.2">
      <c r="AF34" s="129">
        <f>_xll.qlCalendarAdvance(Calendar,AF33,"1d","mf",,Trigger)</f>
        <v>42227</v>
      </c>
      <c r="AG34" s="130">
        <f>_xll.qlDayCounterYearFraction(DayCounter,SettlementDate,AF34,,,Trigger)</f>
        <v>0.11944444444444445</v>
      </c>
      <c r="AH34" s="126">
        <f t="shared" si="0"/>
        <v>8.9057011714688598E-4</v>
      </c>
      <c r="AI34" s="126">
        <f t="shared" si="1"/>
        <v>9.0250827058861076E-4</v>
      </c>
      <c r="AJ34" s="126">
        <f t="shared" si="2"/>
        <v>8.9122894746489711E-4</v>
      </c>
    </row>
    <row r="35" spans="13:36" x14ac:dyDescent="0.2">
      <c r="AF35" s="129">
        <f>_xll.qlCalendarAdvance(Calendar,AF34,"1d","mf",,Trigger)</f>
        <v>42228</v>
      </c>
      <c r="AG35" s="130">
        <f>_xll.qlDayCounterYearFraction(DayCounter,SettlementDate,AF35,,,Trigger)</f>
        <v>0.12222222222222222</v>
      </c>
      <c r="AH35" s="126">
        <f t="shared" si="0"/>
        <v>8.9057011714688598E-4</v>
      </c>
      <c r="AI35" s="126">
        <f t="shared" si="1"/>
        <v>8.9852888610803591E-4</v>
      </c>
      <c r="AJ35" s="126">
        <f t="shared" ref="AJ35:AJ65" si="11">($W$5+$W$4*AG35+$W$3*AG35^2)</f>
        <v>8.8659847506349218E-4</v>
      </c>
    </row>
    <row r="36" spans="13:36" x14ac:dyDescent="0.2">
      <c r="AF36" s="129">
        <f>_xll.qlCalendarAdvance(Calendar,AF35,"1d","mf",,Trigger)</f>
        <v>42229</v>
      </c>
      <c r="AG36" s="130">
        <f>_xll.qlDayCounterYearFraction(DayCounter,SettlementDate,AF36,,,Trigger)</f>
        <v>0.125</v>
      </c>
      <c r="AH36" s="126">
        <f t="shared" si="0"/>
        <v>8.9057011714688598E-4</v>
      </c>
      <c r="AI36" s="126">
        <f t="shared" si="1"/>
        <v>8.9454950162746105E-4</v>
      </c>
      <c r="AJ36" s="126">
        <f t="shared" si="11"/>
        <v>8.8200520768613472E-4</v>
      </c>
    </row>
    <row r="37" spans="13:36" x14ac:dyDescent="0.2">
      <c r="AF37" s="129">
        <f>_xll.qlCalendarAdvance(Calendar,AF36,"1d","mf",,Trigger)</f>
        <v>42230</v>
      </c>
      <c r="AG37" s="130">
        <f>_xll.qlDayCounterYearFraction(DayCounter,SettlementDate,AF37,,,Trigger)</f>
        <v>0.12777777777777777</v>
      </c>
      <c r="AH37" s="126">
        <f t="shared" si="0"/>
        <v>8.9057011714688598E-4</v>
      </c>
      <c r="AI37" s="126">
        <f t="shared" si="1"/>
        <v>8.9057011714688619E-4</v>
      </c>
      <c r="AJ37" s="126">
        <f t="shared" si="11"/>
        <v>8.7744914533282475E-4</v>
      </c>
    </row>
    <row r="38" spans="13:36" x14ac:dyDescent="0.2">
      <c r="AF38" s="129">
        <f>_xll.qlCalendarAdvance(Calendar,AF37,"1d","mf",,Trigger)</f>
        <v>42233</v>
      </c>
      <c r="AG38" s="130">
        <f>_xll.qlDayCounterYearFraction(DayCounter,SettlementDate,AF38,,,Trigger)</f>
        <v>0.1361111111111111</v>
      </c>
      <c r="AH38" s="126">
        <f t="shared" si="0"/>
        <v>8.9057011714688598E-4</v>
      </c>
      <c r="AI38" s="126">
        <f t="shared" si="1"/>
        <v>8.7863196370516173E-4</v>
      </c>
      <c r="AJ38" s="126">
        <f t="shared" si="11"/>
        <v>8.6400418841717903E-4</v>
      </c>
    </row>
    <row r="39" spans="13:36" x14ac:dyDescent="0.2">
      <c r="AF39" s="129">
        <f>_xll.qlCalendarAdvance(Calendar,AF38,"1d","mf",,Trigger)</f>
        <v>42234</v>
      </c>
      <c r="AG39" s="130">
        <f>_xll.qlDayCounterYearFraction(DayCounter,SettlementDate,AF39,,,Trigger)</f>
        <v>0.1388888888888889</v>
      </c>
      <c r="AH39" s="126">
        <f t="shared" si="0"/>
        <v>8.9057011714688598E-4</v>
      </c>
      <c r="AI39" s="126">
        <f t="shared" si="1"/>
        <v>8.7465257922458677E-4</v>
      </c>
      <c r="AJ39" s="126">
        <f t="shared" si="11"/>
        <v>8.5959694616005874E-4</v>
      </c>
    </row>
    <row r="40" spans="13:36" x14ac:dyDescent="0.2">
      <c r="AF40" s="129">
        <f>_xll.qlCalendarAdvance(Calendar,AF39,"1d","mf",,Trigger)</f>
        <v>42235</v>
      </c>
      <c r="AG40" s="130">
        <f>_xll.qlDayCounterYearFraction(DayCounter,SettlementDate,AF40,,,Trigger)</f>
        <v>0.14166666666666666</v>
      </c>
      <c r="AH40" s="126">
        <f t="shared" si="0"/>
        <v>8.9057011714688598E-4</v>
      </c>
      <c r="AI40" s="126">
        <f t="shared" si="1"/>
        <v>8.7067319474401202E-4</v>
      </c>
      <c r="AJ40" s="126">
        <f t="shared" si="11"/>
        <v>8.5522690892698581E-4</v>
      </c>
    </row>
    <row r="41" spans="13:36" x14ac:dyDescent="0.2">
      <c r="M41" s="295"/>
      <c r="N41" s="295"/>
      <c r="AF41" s="129">
        <f>_xll.qlCalendarAdvance(Calendar,AF40,"1d","mf",,Trigger)</f>
        <v>42236</v>
      </c>
      <c r="AG41" s="130">
        <f>_xll.qlDayCounterYearFraction(DayCounter,SettlementDate,AF41,,,Trigger)</f>
        <v>0.14444444444444443</v>
      </c>
      <c r="AH41" s="126">
        <f t="shared" si="0"/>
        <v>8.9057011714688598E-4</v>
      </c>
      <c r="AI41" s="126">
        <f t="shared" si="1"/>
        <v>8.6669381026343716E-4</v>
      </c>
      <c r="AJ41" s="126">
        <f t="shared" si="11"/>
        <v>8.5089407671796048E-4</v>
      </c>
    </row>
    <row r="42" spans="13:36" x14ac:dyDescent="0.2">
      <c r="AF42" s="129">
        <f>_xll.qlCalendarAdvance(Calendar,AF41,"1d","mf",,Trigger)</f>
        <v>42237</v>
      </c>
      <c r="AG42" s="130">
        <f>_xll.qlDayCounterYearFraction(DayCounter,SettlementDate,AF42,,,Trigger)</f>
        <v>0.14722222222222223</v>
      </c>
      <c r="AH42" s="126">
        <f t="shared" si="0"/>
        <v>8.9057011714688598E-4</v>
      </c>
      <c r="AI42" s="126">
        <f t="shared" si="1"/>
        <v>8.627144257828623E-4</v>
      </c>
      <c r="AJ42" s="126">
        <f t="shared" si="11"/>
        <v>8.465984495329824E-4</v>
      </c>
    </row>
    <row r="43" spans="13:36" ht="11.25" customHeight="1" x14ac:dyDescent="0.2">
      <c r="AF43" s="129">
        <f>_xll.qlCalendarAdvance(Calendar,AF42,"1d","mf",,Trigger)</f>
        <v>42240</v>
      </c>
      <c r="AG43" s="130">
        <f>_xll.qlDayCounterYearFraction(DayCounter,SettlementDate,AF43,,,Trigger)</f>
        <v>0.15555555555555556</v>
      </c>
      <c r="AH43" s="126">
        <f t="shared" si="0"/>
        <v>8.9057011714688598E-4</v>
      </c>
      <c r="AI43" s="126">
        <f t="shared" si="1"/>
        <v>8.5077627234113784E-4</v>
      </c>
      <c r="AJ43" s="126">
        <f t="shared" si="11"/>
        <v>8.3393479812233291E-4</v>
      </c>
    </row>
    <row r="44" spans="13:36" x14ac:dyDescent="0.2">
      <c r="Q44" s="294"/>
      <c r="AF44" s="129">
        <f>_xll.qlCalendarAdvance(Calendar,AF43,"1d","mf",,Trigger)</f>
        <v>42241</v>
      </c>
      <c r="AG44" s="130">
        <f>_xll.qlDayCounterYearFraction(DayCounter,SettlementDate,AF44,,,Trigger)</f>
        <v>0.15833333333333333</v>
      </c>
      <c r="AH44" s="126">
        <f t="shared" si="0"/>
        <v>8.9057011714688598E-4</v>
      </c>
      <c r="AI44" s="126">
        <f t="shared" si="1"/>
        <v>8.4679688786056299E-4</v>
      </c>
      <c r="AJ44" s="126">
        <f t="shared" si="11"/>
        <v>8.2978799103354463E-4</v>
      </c>
    </row>
    <row r="45" spans="13:36" x14ac:dyDescent="0.2">
      <c r="Q45" s="294"/>
      <c r="AF45" s="129">
        <f>_xll.qlCalendarAdvance(Calendar,AF44,"1d","mf",,Trigger)</f>
        <v>42242</v>
      </c>
      <c r="AG45" s="130">
        <f>_xll.qlDayCounterYearFraction(DayCounter,SettlementDate,AF45,,,Trigger)</f>
        <v>0.16111111111111112</v>
      </c>
      <c r="AH45" s="126">
        <f t="shared" si="0"/>
        <v>8.9057011714688598E-4</v>
      </c>
      <c r="AI45" s="126">
        <f t="shared" si="1"/>
        <v>8.4281750337998813E-4</v>
      </c>
      <c r="AJ45" s="126">
        <f t="shared" si="11"/>
        <v>8.2567838896880372E-4</v>
      </c>
    </row>
    <row r="46" spans="13:36" x14ac:dyDescent="0.2">
      <c r="Q46" s="294"/>
      <c r="AF46" s="129">
        <f>_xll.qlCalendarAdvance(Calendar,AF45,"1d","mf",,Trigger)</f>
        <v>42243</v>
      </c>
      <c r="AG46" s="130">
        <f>_xll.qlDayCounterYearFraction(DayCounter,SettlementDate,AF46,,,Trigger)</f>
        <v>0.16388888888888889</v>
      </c>
      <c r="AH46" s="126">
        <f t="shared" si="0"/>
        <v>8.9057011714688598E-4</v>
      </c>
      <c r="AI46" s="126">
        <f t="shared" si="1"/>
        <v>8.3883811889941327E-4</v>
      </c>
      <c r="AJ46" s="126">
        <f t="shared" si="11"/>
        <v>8.2160599192811028E-4</v>
      </c>
    </row>
    <row r="47" spans="13:36" x14ac:dyDescent="0.2">
      <c r="Q47" s="294"/>
      <c r="AF47" s="129">
        <f>_xll.qlCalendarAdvance(Calendar,AF46,"1d","mf",,Trigger)</f>
        <v>42244</v>
      </c>
      <c r="AG47" s="130">
        <f>_xll.qlDayCounterYearFraction(DayCounter,SettlementDate,AF47,,,Trigger)</f>
        <v>0.16666666666666666</v>
      </c>
      <c r="AH47" s="126">
        <f t="shared" si="0"/>
        <v>8.9057011714688598E-4</v>
      </c>
      <c r="AI47" s="126">
        <f t="shared" si="1"/>
        <v>8.3485873441883842E-4</v>
      </c>
      <c r="AJ47" s="126">
        <f t="shared" si="11"/>
        <v>8.1757079991146432E-4</v>
      </c>
    </row>
    <row r="48" spans="13:36" x14ac:dyDescent="0.2">
      <c r="Q48" s="294"/>
      <c r="AF48" s="129">
        <f>_xll.qlCalendarAdvance(Calendar,AF47,"1d","mf",,Trigger)</f>
        <v>42247</v>
      </c>
      <c r="AG48" s="130">
        <f>_xll.qlDayCounterYearFraction(DayCounter,SettlementDate,AF48,,,Trigger)</f>
        <v>0.17499999999999999</v>
      </c>
      <c r="AH48" s="126">
        <f t="shared" si="0"/>
        <v>8.9057011714688598E-4</v>
      </c>
      <c r="AI48" s="126">
        <f t="shared" si="1"/>
        <v>8.2292058097711385E-4</v>
      </c>
      <c r="AJ48" s="126">
        <f t="shared" si="11"/>
        <v>8.0568845400581096E-4</v>
      </c>
    </row>
    <row r="49" spans="13:36" x14ac:dyDescent="0.2">
      <c r="AF49" s="129">
        <f>_xll.qlCalendarAdvance(Calendar,AF48,"1d","mf",,Trigger)</f>
        <v>42248</v>
      </c>
      <c r="AG49" s="130">
        <f>_xll.qlDayCounterYearFraction(DayCounter,SettlementDate,AF49,,,Trigger)</f>
        <v>0.17777777777777778</v>
      </c>
      <c r="AH49" s="126">
        <f t="shared" si="0"/>
        <v>8.9057011714688598E-4</v>
      </c>
      <c r="AI49" s="126">
        <f t="shared" si="1"/>
        <v>8.1894119649653899E-4</v>
      </c>
      <c r="AJ49" s="126">
        <f t="shared" si="11"/>
        <v>8.0180208208535447E-4</v>
      </c>
    </row>
    <row r="50" spans="13:36" x14ac:dyDescent="0.2">
      <c r="AF50" s="129">
        <f>_xll.qlCalendarAdvance(Calendar,AF49,"1d","mf",,Trigger)</f>
        <v>42249</v>
      </c>
      <c r="AG50" s="130">
        <f>_xll.qlDayCounterYearFraction(DayCounter,SettlementDate,AF50,,,Trigger)</f>
        <v>0.18055555555555555</v>
      </c>
      <c r="AH50" s="126">
        <f t="shared" si="0"/>
        <v>8.9057011714688598E-4</v>
      </c>
      <c r="AI50" s="126">
        <f t="shared" si="1"/>
        <v>8.1496181201596413E-4</v>
      </c>
      <c r="AJ50" s="126">
        <f t="shared" si="11"/>
        <v>7.9795291518894578E-4</v>
      </c>
    </row>
    <row r="51" spans="13:36" x14ac:dyDescent="0.2">
      <c r="AF51" s="129">
        <f>_xll.qlCalendarAdvance(Calendar,AF50,"1d","mf",,Trigger)</f>
        <v>42250</v>
      </c>
      <c r="AG51" s="130">
        <f>_xll.qlDayCounterYearFraction(DayCounter,SettlementDate,AF51,,,Trigger)</f>
        <v>0.18333333333333332</v>
      </c>
      <c r="AH51" s="126">
        <f t="shared" si="0"/>
        <v>8.9057011714688598E-4</v>
      </c>
      <c r="AI51" s="126">
        <f t="shared" si="1"/>
        <v>8.1098242753538938E-4</v>
      </c>
      <c r="AJ51" s="126">
        <f t="shared" si="11"/>
        <v>7.9414095331658424E-4</v>
      </c>
    </row>
    <row r="52" spans="13:36" x14ac:dyDescent="0.2">
      <c r="AF52" s="129">
        <f>_xll.qlCalendarAdvance(Calendar,AF51,"1d","mf",,Trigger)</f>
        <v>42251</v>
      </c>
      <c r="AG52" s="130">
        <f>_xll.qlDayCounterYearFraction(DayCounter,SettlementDate,AF52,,,Trigger)</f>
        <v>0.18611111111111112</v>
      </c>
      <c r="AH52" s="126">
        <f t="shared" si="0"/>
        <v>8.9057011714688598E-4</v>
      </c>
      <c r="AI52" s="126">
        <f t="shared" si="1"/>
        <v>8.0700304305481453E-4</v>
      </c>
      <c r="AJ52" s="126">
        <f t="shared" si="11"/>
        <v>7.9036619646827039E-4</v>
      </c>
    </row>
    <row r="53" spans="13:36" x14ac:dyDescent="0.2">
      <c r="AF53" s="129">
        <f>_xll.qlCalendarAdvance(Calendar,AF52,"1d","mf",,Trigger)</f>
        <v>42254</v>
      </c>
      <c r="AG53" s="130">
        <f>_xll.qlDayCounterYearFraction(DayCounter,SettlementDate,AF53,,,Trigger)</f>
        <v>0.19444444444444445</v>
      </c>
      <c r="AH53" s="126">
        <f t="shared" si="0"/>
        <v>8.9057011714688598E-4</v>
      </c>
      <c r="AI53" s="126">
        <f t="shared" si="1"/>
        <v>7.9506488961309007E-4</v>
      </c>
      <c r="AJ53" s="126">
        <f t="shared" si="11"/>
        <v>7.7926515606761284E-4</v>
      </c>
    </row>
    <row r="54" spans="13:36" x14ac:dyDescent="0.2">
      <c r="AF54" s="129">
        <f>_xll.qlCalendarAdvance(Calendar,AF53,"1d","mf",,Trigger)</f>
        <v>42255</v>
      </c>
      <c r="AG54" s="130">
        <f>_xll.qlDayCounterYearFraction(DayCounter,SettlementDate,AF54,,,Trigger)</f>
        <v>0.19722222222222222</v>
      </c>
      <c r="AH54" s="126">
        <f t="shared" si="0"/>
        <v>8.9057011714688598E-4</v>
      </c>
      <c r="AI54" s="126">
        <f t="shared" si="1"/>
        <v>7.9108550513251521E-4</v>
      </c>
      <c r="AJ54" s="126">
        <f t="shared" si="11"/>
        <v>7.7563921931548868E-4</v>
      </c>
    </row>
    <row r="55" spans="13:36" x14ac:dyDescent="0.2">
      <c r="AF55" s="129">
        <f>_xll.qlCalendarAdvance(Calendar,AF54,"1d","mf",,Trigger)</f>
        <v>42256</v>
      </c>
      <c r="AG55" s="130">
        <f>_xll.qlDayCounterYearFraction(DayCounter,SettlementDate,AF55,,,Trigger)</f>
        <v>0.2</v>
      </c>
      <c r="AH55" s="126">
        <f t="shared" si="0"/>
        <v>8.9057011714688598E-4</v>
      </c>
      <c r="AI55" s="126">
        <f t="shared" si="1"/>
        <v>7.8710612065194035E-4</v>
      </c>
      <c r="AJ55" s="126">
        <f t="shared" si="11"/>
        <v>7.7205048758741178E-4</v>
      </c>
    </row>
    <row r="56" spans="13:36" x14ac:dyDescent="0.2">
      <c r="AF56" s="129">
        <f>_xll.qlCalendarAdvance(Calendar,AF55,"1d","mf",,Trigger)</f>
        <v>42257</v>
      </c>
      <c r="AG56" s="130">
        <f>_xll.qlDayCounterYearFraction(DayCounter,SettlementDate,AF56,,,Trigger)</f>
        <v>0.20277777777777778</v>
      </c>
      <c r="AH56" s="126">
        <f t="shared" si="0"/>
        <v>8.9057011714688598E-4</v>
      </c>
      <c r="AI56" s="126">
        <f t="shared" si="1"/>
        <v>7.831267361713655E-4</v>
      </c>
      <c r="AJ56" s="126">
        <f t="shared" si="11"/>
        <v>7.6849896088338246E-4</v>
      </c>
    </row>
    <row r="57" spans="13:36" x14ac:dyDescent="0.2">
      <c r="AF57" s="129">
        <f>_xll.qlCalendarAdvance(Calendar,AF56,"1d","mf",,Trigger)</f>
        <v>42258</v>
      </c>
      <c r="AG57" s="130">
        <f>_xll.qlDayCounterYearFraction(DayCounter,SettlementDate,AF57,,,Trigger)</f>
        <v>0.20555555555555555</v>
      </c>
      <c r="AH57" s="126">
        <f t="shared" si="0"/>
        <v>8.9057011714688598E-4</v>
      </c>
      <c r="AI57" s="126">
        <f t="shared" si="1"/>
        <v>7.7914735169079064E-4</v>
      </c>
      <c r="AJ57" s="126">
        <f t="shared" si="11"/>
        <v>7.6498463920340041E-4</v>
      </c>
    </row>
    <row r="58" spans="13:36" x14ac:dyDescent="0.2">
      <c r="AF58" s="129">
        <f>_xll.qlCalendarAdvance(Calendar,AF57,"1d","mf",,Trigger)</f>
        <v>42261</v>
      </c>
      <c r="AG58" s="130">
        <f>_xll.qlDayCounterYearFraction(DayCounter,SettlementDate,AF58,,,Trigger)</f>
        <v>0.21388888888888888</v>
      </c>
      <c r="AH58" s="126">
        <f t="shared" si="0"/>
        <v>8.9057011714688598E-4</v>
      </c>
      <c r="AI58" s="126">
        <f t="shared" si="1"/>
        <v>7.6720919824906607E-4</v>
      </c>
      <c r="AJ58" s="126">
        <f t="shared" si="11"/>
        <v>7.5466490430773909E-4</v>
      </c>
    </row>
    <row r="59" spans="13:36" x14ac:dyDescent="0.2">
      <c r="AF59" s="129">
        <f>_xll.qlCalendarAdvance(Calendar,AF58,"1d","mf",,Trigger)</f>
        <v>42262</v>
      </c>
      <c r="AG59" s="130">
        <f>_xll.qlDayCounterYearFraction(DayCounter,SettlementDate,AF59,,,Trigger)</f>
        <v>0.21666666666666667</v>
      </c>
      <c r="AH59" s="126">
        <f t="shared" si="0"/>
        <v>8.9057011714688598E-4</v>
      </c>
      <c r="AI59" s="126">
        <f t="shared" si="1"/>
        <v>7.6322981376849121E-4</v>
      </c>
      <c r="AJ59" s="126">
        <f t="shared" si="11"/>
        <v>7.5129940272394683E-4</v>
      </c>
    </row>
    <row r="60" spans="13:36" x14ac:dyDescent="0.2">
      <c r="M60" s="295"/>
      <c r="AF60" s="129">
        <f>_xll.qlCalendarAdvance(Calendar,AF59,"1d","mf",,Trigger)</f>
        <v>42263</v>
      </c>
      <c r="AG60" s="130">
        <f>_xll.qlDayCounterYearFraction(DayCounter,SettlementDate,AF60,,,Trigger)</f>
        <v>0.21944444444444444</v>
      </c>
      <c r="AH60" s="126">
        <f t="shared" si="0"/>
        <v>8.9057011714688598E-4</v>
      </c>
      <c r="AI60" s="126">
        <f t="shared" si="1"/>
        <v>7.5925042928791635E-4</v>
      </c>
      <c r="AJ60" s="126">
        <f t="shared" si="11"/>
        <v>7.4797110616420205E-4</v>
      </c>
    </row>
    <row r="61" spans="13:36" x14ac:dyDescent="0.2">
      <c r="M61" s="295"/>
      <c r="AF61" s="129">
        <f>_xll.qlCalendarAdvance(Calendar,AF60,"1d","mf",,Trigger)</f>
        <v>42264</v>
      </c>
      <c r="AG61" s="130">
        <f>_xll.qlDayCounterYearFraction(DayCounter,SettlementDate,AF61,,,Trigger)</f>
        <v>0.22222222222222221</v>
      </c>
      <c r="AH61" s="126">
        <f t="shared" si="0"/>
        <v>8.9057011714688598E-4</v>
      </c>
      <c r="AI61" s="126">
        <f t="shared" si="1"/>
        <v>7.5527104480734161E-4</v>
      </c>
      <c r="AJ61" s="126">
        <f t="shared" si="11"/>
        <v>7.4468001462850474E-4</v>
      </c>
    </row>
    <row r="62" spans="13:36" x14ac:dyDescent="0.2">
      <c r="M62" s="295"/>
      <c r="AF62" s="129">
        <f>_xll.qlCalendarAdvance(Calendar,AF61,"1d","mf",,Trigger)</f>
        <v>42265</v>
      </c>
      <c r="AG62" s="130">
        <f>_xll.qlDayCounterYearFraction(DayCounter,SettlementDate,AF62,,,Trigger)</f>
        <v>0.22500000000000001</v>
      </c>
      <c r="AH62" s="126">
        <f t="shared" si="0"/>
        <v>8.9057011714688598E-4</v>
      </c>
      <c r="AI62" s="126">
        <f t="shared" si="1"/>
        <v>7.5129166032676664E-4</v>
      </c>
      <c r="AJ62" s="126">
        <f t="shared" si="11"/>
        <v>7.4142612811685469E-4</v>
      </c>
    </row>
    <row r="63" spans="13:36" x14ac:dyDescent="0.2">
      <c r="M63" s="295"/>
      <c r="AF63" s="129">
        <f>_xll.qlCalendarAdvance(Calendar,AF62,"1d","mf",,Trigger)</f>
        <v>42268</v>
      </c>
      <c r="AG63" s="130">
        <f>_xll.qlDayCounterYearFraction(DayCounter,SettlementDate,AF63,,,Trigger)</f>
        <v>0.23333333333333334</v>
      </c>
      <c r="AH63" s="126">
        <f t="shared" si="0"/>
        <v>8.9057011714688598E-4</v>
      </c>
      <c r="AI63" s="126">
        <f t="shared" si="1"/>
        <v>7.3935350688504218E-4</v>
      </c>
      <c r="AJ63" s="126">
        <f t="shared" si="11"/>
        <v>7.318876987261895E-4</v>
      </c>
    </row>
    <row r="64" spans="13:36" x14ac:dyDescent="0.2">
      <c r="M64" s="295"/>
      <c r="AF64" s="129">
        <f>_xll.qlCalendarAdvance(Calendar,AF63,"1d","mf",,Trigger)</f>
        <v>42269</v>
      </c>
      <c r="AG64" s="130">
        <f>_xll.qlDayCounterYearFraction(DayCounter,SettlementDate,AF64,,,Trigger)</f>
        <v>0.2361111111111111</v>
      </c>
      <c r="AH64" s="126">
        <f t="shared" si="0"/>
        <v>8.9057011714688598E-4</v>
      </c>
      <c r="AI64" s="126">
        <f t="shared" si="1"/>
        <v>7.3537412240446743E-4</v>
      </c>
      <c r="AJ64" s="126">
        <f t="shared" si="11"/>
        <v>7.2878263231072925E-4</v>
      </c>
    </row>
    <row r="65" spans="13:36" x14ac:dyDescent="0.2">
      <c r="M65" s="295"/>
      <c r="AF65" s="304">
        <f>_xll.qlCalendarAdvance(Calendar,AF64,"1d","mf",,Trigger)</f>
        <v>42270</v>
      </c>
      <c r="AG65" s="306">
        <f>_xll.qlDayCounterYearFraction(DayCounter,SettlementDate,AF65,,,Trigger)</f>
        <v>0.2388888888888889</v>
      </c>
      <c r="AH65" s="132">
        <f t="shared" si="0"/>
        <v>8.9057011714688598E-4</v>
      </c>
      <c r="AI65" s="132">
        <f t="shared" si="1"/>
        <v>7.3139473792389257E-4</v>
      </c>
      <c r="AJ65" s="132">
        <f t="shared" si="11"/>
        <v>7.2571477091931636E-4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5" t="s">
        <v>89</v>
      </c>
      <c r="X2" s="425"/>
      <c r="Y2" s="425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42367</v>
      </c>
      <c r="F3" s="203">
        <f>'Delta 6M'!W30</f>
        <v>7.9896673338252877E-4</v>
      </c>
      <c r="G3" s="187">
        <f>_xll.qlDayCounterYearFraction(DayCounter,SettlementDate,D3,,,Trigger)</f>
        <v>0</v>
      </c>
      <c r="H3" s="187">
        <f>_xll.qlDayCounterYearFraction(DayCounter,SettlementDate,E3,,,Trigger)</f>
        <v>0.5083333333333333</v>
      </c>
      <c r="I3" s="187">
        <f>H3-G3</f>
        <v>0.5083333333333333</v>
      </c>
      <c r="J3" s="187">
        <f>(H3^2-G3^2)/2</f>
        <v>0.12920138888888888</v>
      </c>
      <c r="K3" s="187">
        <f>(H3^3-G3^3)/3</f>
        <v>4.378491512345678E-2</v>
      </c>
      <c r="L3" s="315" t="b">
        <f>IF(D12="fixing",TRUE,FALSE)</f>
        <v>0</v>
      </c>
      <c r="N3" s="426" t="s">
        <v>86</v>
      </c>
      <c r="O3" s="282">
        <f t="array" ref="O3:O5">_xll.ohFilter(K3:K7,L3:L7)</f>
        <v>4.378491512345678E-2</v>
      </c>
      <c r="P3" s="283">
        <f t="array" ref="P3:P5">_xll.ohFilter(J3:J7,L3:L7)</f>
        <v>0.12920138888888888</v>
      </c>
      <c r="Q3" s="284">
        <f t="array" ref="Q3:Q5">_xll.ohFilter(I3:I7,L3:L7)</f>
        <v>0.5083333333333333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7.9896673338252877E-4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42184</v>
      </c>
      <c r="AC3" s="190">
        <f>_xll.qlDayCounterYearFraction(DayCounter,SettlementDate,AB3,,,Trigger)</f>
        <v>0</v>
      </c>
      <c r="AD3" s="125">
        <f t="shared" ref="AD3:AD66" si="0">$S$13</f>
        <v>1.5717378361623517E-3</v>
      </c>
      <c r="AE3" s="125">
        <f t="shared" ref="AE3:AE22" si="1">$S$10+$S$9*AC3</f>
        <v>1.292056789715992E-3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42184</v>
      </c>
      <c r="E4" s="122">
        <f>_xll.qlInterestRateIndexMaturity($D$10,D4)</f>
        <v>42367</v>
      </c>
      <c r="F4" s="204">
        <f t="array" ref="F4:F7">Delta6M</f>
        <v>7.9896673338252877E-4</v>
      </c>
      <c r="G4" s="130">
        <f>_xll.qlDayCounterYearFraction(DayCounter,SettlementDate,D4,,,Trigger)</f>
        <v>0</v>
      </c>
      <c r="H4" s="130">
        <f>_xll.qlDayCounterYearFraction(DayCounter,SettlementDate,E4,,,Trigger)</f>
        <v>0.5083333333333333</v>
      </c>
      <c r="I4" s="130">
        <f>H4-G4</f>
        <v>0.5083333333333333</v>
      </c>
      <c r="J4" s="130">
        <f>(H4^2-G4^2)/2</f>
        <v>0.12920138888888888</v>
      </c>
      <c r="K4" s="130">
        <f>(H4^3-G4^3)/3</f>
        <v>4.378491512345678E-2</v>
      </c>
      <c r="L4" s="317" t="b">
        <f>IF(D12="fixing",FALSE,TRUE)</f>
        <v>1</v>
      </c>
      <c r="N4" s="426"/>
      <c r="O4" s="282">
        <v>0.30649440586419746</v>
      </c>
      <c r="P4" s="283">
        <v>0.38760416666666664</v>
      </c>
      <c r="Q4" s="284">
        <v>0.5083333333333333</v>
      </c>
      <c r="R4" s="289" t="s">
        <v>32</v>
      </c>
      <c r="S4" s="286" t="e">
        <v>#N/A</v>
      </c>
      <c r="T4" s="289" t="s">
        <v>33</v>
      </c>
      <c r="U4" s="288">
        <v>1.0833091306029945E-3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42185</v>
      </c>
      <c r="AC4" s="130">
        <f>_xll.qlDayCounterYearFraction(DayCounter,SettlementDate,AB4,,,Trigger)</f>
        <v>2.7777777777777779E-3</v>
      </c>
      <c r="AD4" s="126">
        <f t="shared" si="0"/>
        <v>1.5717378361623517E-3</v>
      </c>
      <c r="AE4" s="126">
        <f t="shared" si="1"/>
        <v>1.2951134131744223E-3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42367</v>
      </c>
      <c r="E5" s="122">
        <f>_xll.qlInterestRateIndexMaturity($D$10,D5)</f>
        <v>42550</v>
      </c>
      <c r="F5" s="204">
        <v>1.0833091306029945E-3</v>
      </c>
      <c r="G5" s="130">
        <f>_xll.qlDayCounterYearFraction(DayCounter,SettlementDate,D5,,,Trigger)</f>
        <v>0.5083333333333333</v>
      </c>
      <c r="H5" s="130">
        <f>_xll.qlDayCounterYearFraction(DayCounter,SettlementDate,E5,,,Trigger)</f>
        <v>1.0166666666666666</v>
      </c>
      <c r="I5" s="130">
        <f>H5-G5</f>
        <v>0.5083333333333333</v>
      </c>
      <c r="J5" s="130">
        <f>(H5^2-G5^2)/2</f>
        <v>0.38760416666666664</v>
      </c>
      <c r="K5" s="130">
        <f>(H5^3-G5^3)/3</f>
        <v>0.30649440586419746</v>
      </c>
      <c r="L5" s="317" t="b">
        <v>1</v>
      </c>
      <c r="N5" s="426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42186</v>
      </c>
      <c r="AC5" s="130">
        <f>_xll.qlDayCounterYearFraction(DayCounter,SettlementDate,AB5,,,Trigger)</f>
        <v>5.5555555555555558E-3</v>
      </c>
      <c r="AD5" s="126">
        <f t="shared" si="0"/>
        <v>1.5717378361623517E-3</v>
      </c>
      <c r="AE5" s="126">
        <f t="shared" si="1"/>
        <v>1.2981700366328523E-3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42550</v>
      </c>
      <c r="E6" s="122">
        <f>_xll.qlInterestRateIndexMaturity($D$10,D6)</f>
        <v>42733</v>
      </c>
      <c r="F6" s="204">
        <v>1.8084374824461683E-3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1.5249999999999999</v>
      </c>
      <c r="I6" s="130">
        <f>H6-G6</f>
        <v>0.5083333333333333</v>
      </c>
      <c r="J6" s="130">
        <f>(H6^2-G6^2)/2</f>
        <v>0.64600694444444429</v>
      </c>
      <c r="K6" s="130">
        <f>(H6^3-G6^3)/3</f>
        <v>0.83191338734567877</v>
      </c>
      <c r="L6" s="317" t="b">
        <v>0</v>
      </c>
      <c r="S6" s="290"/>
      <c r="T6" s="279"/>
      <c r="U6" s="280"/>
      <c r="AB6" s="129">
        <f>_xll.qlCalendarAdvance(Calendar,AB5,"1d","mf",,Trigger)</f>
        <v>42187</v>
      </c>
      <c r="AC6" s="130">
        <f>_xll.qlDayCounterYearFraction(DayCounter,SettlementDate,AB6,,,Trigger)</f>
        <v>8.3333333333333332E-3</v>
      </c>
      <c r="AD6" s="126">
        <f t="shared" si="0"/>
        <v>1.5717378361623517E-3</v>
      </c>
      <c r="AE6" s="126">
        <f t="shared" si="1"/>
        <v>1.3012266600912826E-3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42733</v>
      </c>
      <c r="E7" s="303">
        <f>_xll.qlInterestRateIndexMaturity($D$10,D7)</f>
        <v>42915</v>
      </c>
      <c r="F7" s="322">
        <v>6.4142092649966754E-4</v>
      </c>
      <c r="G7" s="306">
        <f>_xll.qlDayCounterYearFraction(DayCounter,SettlementDate,D7,,,Trigger)</f>
        <v>1.5249999999999999</v>
      </c>
      <c r="H7" s="306">
        <f>_xll.qlDayCounterYearFraction(DayCounter,SettlementDate,E7,,,Trigger)</f>
        <v>2.0305555555555554</v>
      </c>
      <c r="I7" s="306">
        <f>H7-G7</f>
        <v>0.50555555555555554</v>
      </c>
      <c r="J7" s="306">
        <f>(H7^2-G7^2)/2</f>
        <v>0.89876543209876525</v>
      </c>
      <c r="K7" s="306">
        <f>(H7^3-G7^3)/3</f>
        <v>1.6085729738225878</v>
      </c>
      <c r="L7" s="323" t="b">
        <v>0</v>
      </c>
      <c r="S7" s="290"/>
      <c r="T7" s="279"/>
      <c r="U7" s="280"/>
      <c r="AB7" s="129">
        <f>_xll.qlCalendarAdvance(Calendar,AB6,"1d","mf",,Trigger)</f>
        <v>42188</v>
      </c>
      <c r="AC7" s="130">
        <f>_xll.qlDayCounterYearFraction(DayCounter,SettlementDate,AB7,,,Trigger)</f>
        <v>1.1111111111111112E-2</v>
      </c>
      <c r="AD7" s="126">
        <f t="shared" si="0"/>
        <v>1.5717378361623517E-3</v>
      </c>
      <c r="AE7" s="126">
        <f t="shared" si="1"/>
        <v>1.3042832835497126E-3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42191</v>
      </c>
      <c r="AC8" s="130">
        <f>_xll.qlDayCounterYearFraction(DayCounter,SettlementDate,AB8,,,Trigger)</f>
        <v>1.9444444444444445E-2</v>
      </c>
      <c r="AD8" s="126">
        <f t="shared" si="0"/>
        <v>1.5717378361623517E-3</v>
      </c>
      <c r="AE8" s="126">
        <f t="shared" si="1"/>
        <v>1.3134531539250032E-3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5" t="s">
        <v>87</v>
      </c>
      <c r="O9" s="291"/>
      <c r="P9" s="282">
        <f t="array" ref="P9:P10">_xll.ohFilter(J3:J7,L3:L7)</f>
        <v>0.12920138888888888</v>
      </c>
      <c r="Q9" s="284">
        <f t="array" ref="Q9:Q10">_xll.ohFilter(I3:I7,L3:L7)</f>
        <v>0.5083333333333333</v>
      </c>
      <c r="R9" s="427" t="s">
        <v>32</v>
      </c>
      <c r="S9" s="286">
        <f t="array" ref="S9:S10">MMULT(W9:X10,U9:U10)</f>
        <v>1.100384445034859E-3</v>
      </c>
      <c r="T9" s="427" t="s">
        <v>33</v>
      </c>
      <c r="U9" s="288">
        <f t="array" ref="U9:U10">_xll.ohFilter(F3:F7,L3:L7)</f>
        <v>7.9896673338252877E-4</v>
      </c>
      <c r="W9" s="282">
        <f t="array" ref="W9:X10">MINVERSE(P9:Q10)</f>
        <v>-3.8699274388605209</v>
      </c>
      <c r="X9" s="284">
        <v>3.8699274388605218</v>
      </c>
      <c r="AB9" s="129">
        <f>_xll.qlCalendarAdvance(Calendar,AB8,"1d","mf",,Trigger)</f>
        <v>42192</v>
      </c>
      <c r="AC9" s="130">
        <f>_xll.qlDayCounterYearFraction(DayCounter,SettlementDate,AB9,,,Trigger)</f>
        <v>2.2222222222222223E-2</v>
      </c>
      <c r="AD9" s="126">
        <f t="shared" si="0"/>
        <v>1.5717378361623517E-3</v>
      </c>
      <c r="AE9" s="126">
        <f t="shared" si="1"/>
        <v>1.3165097773834332E-3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5"/>
      <c r="O10" s="291"/>
      <c r="P10" s="282">
        <v>0.38760416666666664</v>
      </c>
      <c r="Q10" s="284">
        <v>0.5083333333333333</v>
      </c>
      <c r="R10" s="427"/>
      <c r="S10" s="286">
        <v>1.292056789715992E-3</v>
      </c>
      <c r="T10" s="427"/>
      <c r="U10" s="288">
        <v>1.0833091306029945E-3</v>
      </c>
      <c r="W10" s="282">
        <v>2.9508196721311473</v>
      </c>
      <c r="X10" s="284">
        <v>-0.98360655737704905</v>
      </c>
      <c r="AB10" s="129">
        <f>_xll.qlCalendarAdvance(Calendar,AB9,"1d","mf",,Trigger)</f>
        <v>42193</v>
      </c>
      <c r="AC10" s="130">
        <f>_xll.qlDayCounterYearFraction(DayCounter,SettlementDate,AB10,,,Trigger)</f>
        <v>2.5000000000000001E-2</v>
      </c>
      <c r="AD10" s="126">
        <f t="shared" si="0"/>
        <v>1.5717378361623517E-3</v>
      </c>
      <c r="AE10" s="126">
        <f t="shared" si="1"/>
        <v>1.3195664008418635E-3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42194</v>
      </c>
      <c r="AC11" s="130">
        <f>_xll.qlDayCounterYearFraction(DayCounter,SettlementDate,AB11,,,Trigger)</f>
        <v>2.7777777777777776E-2</v>
      </c>
      <c r="AD11" s="126">
        <f t="shared" si="0"/>
        <v>1.5717378361623517E-3</v>
      </c>
      <c r="AE11" s="126">
        <f t="shared" si="1"/>
        <v>1.3226230243002937E-3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42195</v>
      </c>
      <c r="AC12" s="130">
        <f>_xll.qlDayCounterYearFraction(DayCounter,SettlementDate,AB12,,,Trigger)</f>
        <v>3.0555555555555555E-2</v>
      </c>
      <c r="AD12" s="126">
        <f t="shared" si="0"/>
        <v>1.5717378361623517E-3</v>
      </c>
      <c r="AE12" s="126">
        <f t="shared" si="1"/>
        <v>1.3256796477587238E-3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0.5083333333333333</v>
      </c>
      <c r="R13" s="292" t="s">
        <v>32</v>
      </c>
      <c r="S13" s="286">
        <f>MMULT(W13,U13)</f>
        <v>1.5717378361623517E-3</v>
      </c>
      <c r="T13" s="292" t="s">
        <v>33</v>
      </c>
      <c r="U13" s="288">
        <f t="array" ref="U13">_xll.ohFilter(F3:F7,L3:L7)</f>
        <v>7.9896673338252877E-4</v>
      </c>
      <c r="W13" s="293">
        <f>MINVERSE(Q13)</f>
        <v>1.9672131147540985</v>
      </c>
      <c r="AB13" s="129">
        <f>_xll.qlCalendarAdvance(Calendar,AB12,"1d","mf",,Trigger)</f>
        <v>42198</v>
      </c>
      <c r="AC13" s="130">
        <f>_xll.qlDayCounterYearFraction(DayCounter,SettlementDate,AB13,,,Trigger)</f>
        <v>3.888888888888889E-2</v>
      </c>
      <c r="AD13" s="126">
        <f t="shared" si="0"/>
        <v>1.5717378361623517E-3</v>
      </c>
      <c r="AE13" s="126">
        <f t="shared" si="1"/>
        <v>1.3348495181340144E-3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42199</v>
      </c>
      <c r="AC14" s="130">
        <f>_xll.qlDayCounterYearFraction(DayCounter,SettlementDate,AB14,,,Trigger)</f>
        <v>4.1666666666666664E-2</v>
      </c>
      <c r="AD14" s="126">
        <f t="shared" si="0"/>
        <v>1.5717378361623517E-3</v>
      </c>
      <c r="AE14" s="126">
        <f t="shared" si="1"/>
        <v>1.3379061415924444E-3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42184</v>
      </c>
      <c r="E15" s="128">
        <f>_xll.qlCalendarAdvance(Calendar,SettlementDate,C15,"Following",,Trigger)</f>
        <v>42185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1.0000081948088653</v>
      </c>
      <c r="I15" s="191">
        <f>(G15/H15-1)/F15</f>
        <v>-2.9501070159154708E-3</v>
      </c>
      <c r="J15" s="125">
        <f>((1+I15*F15)*EXP($S$13*F15)-1)/F15</f>
        <v>-1.3783786287158151E-3</v>
      </c>
      <c r="K15" s="125">
        <f>((1+F15*I15)*EXP($S$10*F15+0.5*$S$9*F15^2)-1)/F15</f>
        <v>-1.6565301909388097E-3</v>
      </c>
      <c r="L15" s="125" t="e">
        <f>((1+F15*I15)*EXP($S$5*F15+0.5*$S$4*F15^2+1/3*$S$3*F15^3)-1)/F15</f>
        <v>#N/A</v>
      </c>
      <c r="AB15" s="129">
        <f>_xll.qlCalendarAdvance(Calendar,AB14,"1d","mf",,Trigger)</f>
        <v>42200</v>
      </c>
      <c r="AC15" s="130">
        <f>_xll.qlDayCounterYearFraction(DayCounter,SettlementDate,AB15,,,Trigger)</f>
        <v>4.4444444444444446E-2</v>
      </c>
      <c r="AD15" s="126">
        <f t="shared" si="0"/>
        <v>1.5717378361623517E-3</v>
      </c>
      <c r="AE15" s="126">
        <f t="shared" si="1"/>
        <v>1.3409627650508747E-3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30">
        <f>_xll.qlDayCounterYearFraction(DayCounter,D16,E16,,,Trigger)</f>
        <v>1.9444444444444445E-2</v>
      </c>
      <c r="G16" s="186">
        <f>_xll.qlYieldTSDiscount(Discounting,D16,,AllTriggers)</f>
        <v>1</v>
      </c>
      <c r="H16" s="189">
        <f>_xll.qlYieldTSDiscount(Discounting,E16,,AllTriggers)</f>
        <v>1.0000573653252054</v>
      </c>
      <c r="I16" s="191">
        <f t="shared" ref="I16:I18" si="5">(G16/H16-1)/F16</f>
        <v>-2.950047494413458E-3</v>
      </c>
      <c r="J16" s="126">
        <f t="shared" ref="J16:J18" si="6">((1+I16*F16)*EXP($S$13*F16)-1)/F16</f>
        <v>-1.3783758000813456E-3</v>
      </c>
      <c r="K16" s="126">
        <f t="shared" ref="K16:K18" si="7">((1+F16*I16)*EXP($S$10*F16+0.5*$S$9*F16^2)-1)/F16</f>
        <v>-1.6473507518042852E-3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42201</v>
      </c>
      <c r="AC16" s="130">
        <f>_xll.qlDayCounterYearFraction(DayCounter,SettlementDate,AB16,,,Trigger)</f>
        <v>4.7222222222222221E-2</v>
      </c>
      <c r="AD16" s="126">
        <f t="shared" si="0"/>
        <v>1.5717378361623517E-3</v>
      </c>
      <c r="AE16" s="126">
        <f t="shared" si="1"/>
        <v>1.3440193885093047E-3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1.0001147354901463</v>
      </c>
      <c r="I17" s="191">
        <f t="shared" si="5"/>
        <v>-2.9500027051839895E-3</v>
      </c>
      <c r="J17" s="126">
        <f t="shared" si="6"/>
        <v>-1.3783971522042724E-3</v>
      </c>
      <c r="K17" s="126">
        <f t="shared" si="7"/>
        <v>-1.6366666921787041E-3</v>
      </c>
      <c r="L17" s="126" t="e">
        <f t="shared" si="8"/>
        <v>#N/A</v>
      </c>
      <c r="AB17" s="129">
        <f>_xll.qlCalendarAdvance(Calendar,AB16,"1d","mf",,Trigger)</f>
        <v>42202</v>
      </c>
      <c r="AC17" s="130">
        <f>_xll.qlDayCounterYearFraction(DayCounter,SettlementDate,AB17,,,Trigger)</f>
        <v>0.05</v>
      </c>
      <c r="AD17" s="126">
        <f t="shared" si="0"/>
        <v>1.5717378361623517E-3</v>
      </c>
      <c r="AE17" s="126">
        <f t="shared" si="1"/>
        <v>1.347076011967735E-3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1.0001721120443219</v>
      </c>
      <c r="I18" s="191">
        <f t="shared" si="5"/>
        <v>-2.9499844605191633E-3</v>
      </c>
      <c r="J18" s="126">
        <f t="shared" si="6"/>
        <v>-1.3784450508540808E-3</v>
      </c>
      <c r="K18" s="126">
        <f t="shared" si="7"/>
        <v>-1.6260098549926636E-3</v>
      </c>
      <c r="L18" s="126" t="e">
        <f t="shared" si="8"/>
        <v>#N/A</v>
      </c>
      <c r="AB18" s="129">
        <f>_xll.qlCalendarAdvance(Calendar,AB17,"1d","mf",,Trigger)</f>
        <v>42205</v>
      </c>
      <c r="AC18" s="130">
        <f>_xll.qlDayCounterYearFraction(DayCounter,SettlementDate,AB18,,,Trigger)</f>
        <v>5.8333333333333334E-2</v>
      </c>
      <c r="AD18" s="126">
        <f t="shared" si="0"/>
        <v>1.5717378361623517E-3</v>
      </c>
      <c r="AE18" s="126">
        <f t="shared" si="1"/>
        <v>1.3562458823430255E-3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42184</v>
      </c>
      <c r="E19" s="129">
        <f>_xll.qlCalendarAdvance(Calendar,SettlementDate,C19,"Following",,Trigger)</f>
        <v>42214</v>
      </c>
      <c r="F19" s="130">
        <f>_xll.qlDayCounterYearFraction(DayCounter,D19,E19,,,Trigger)</f>
        <v>8.3333333333333329E-2</v>
      </c>
      <c r="G19" s="186">
        <f>_xll.qlYieldTSDiscount(Discounting,D19,,AllTriggers)</f>
        <v>1</v>
      </c>
      <c r="H19" s="189">
        <f>_xll.qlYieldTSDiscount(Discounting,E19,,AllTriggers)</f>
        <v>1.0002458937822214</v>
      </c>
      <c r="I19" s="191">
        <f t="shared" ref="I19:I24" si="9">(G19/H19-1)/F19</f>
        <v>-2.949999999999342E-3</v>
      </c>
      <c r="J19" s="126">
        <f t="shared" ref="J19:J24" si="10">((1+I19*F19)*EXP($S$13*F19)-1)/F19</f>
        <v>-1.3785456385391193E-3</v>
      </c>
      <c r="K19" s="126">
        <f t="shared" ref="K19:K24" si="11">((1+F19*I19)*EXP($S$10*F19+0.5*$S$9*F19^2)-1)/F19</f>
        <v>-1.6123481928627115E-3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42206</v>
      </c>
      <c r="AC19" s="130">
        <f>_xll.qlDayCounterYearFraction(DayCounter,SettlementDate,AB19,,,Trigger)</f>
        <v>6.1111111111111109E-2</v>
      </c>
      <c r="AD19" s="126">
        <f t="shared" si="0"/>
        <v>1.5717378361623517E-3</v>
      </c>
      <c r="AE19" s="126">
        <f t="shared" si="1"/>
        <v>1.3593025058014556E-3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42184</v>
      </c>
      <c r="E20" s="129">
        <f>_xll.qlCalendarAdvance(Calendar,SettlementDate,C20,"Following",,Trigger)</f>
        <v>42247</v>
      </c>
      <c r="F20" s="130">
        <f>_xll.qlDayCounterYearFraction(DayCounter,D20,E20,,,Trigger)</f>
        <v>0.17499999999999999</v>
      </c>
      <c r="G20" s="186">
        <f>_xll.qlYieldTSDiscount(Discounting,D20,,AllTriggers)</f>
        <v>1</v>
      </c>
      <c r="H20" s="189">
        <f>_xll.qlYieldTSDiscount(Discounting,E20,,AllTriggers)</f>
        <v>1.000516516651722</v>
      </c>
      <c r="I20" s="191">
        <f t="shared" si="9"/>
        <v>-2.9500000000031489E-3</v>
      </c>
      <c r="J20" s="126">
        <f t="shared" si="10"/>
        <v>-1.3788575087955329E-3</v>
      </c>
      <c r="K20" s="126">
        <f t="shared" si="11"/>
        <v>-1.5622077202077328E-3</v>
      </c>
      <c r="L20" s="126" t="e">
        <f t="shared" si="12"/>
        <v>#N/A</v>
      </c>
      <c r="AB20" s="129">
        <f>_xll.qlCalendarAdvance(Calendar,AB19,"1d","mf",,Trigger)</f>
        <v>42207</v>
      </c>
      <c r="AC20" s="130">
        <f>_xll.qlDayCounterYearFraction(DayCounter,SettlementDate,AB20,,,Trigger)</f>
        <v>6.3888888888888884E-2</v>
      </c>
      <c r="AD20" s="126">
        <f t="shared" si="0"/>
        <v>1.5717378361623517E-3</v>
      </c>
      <c r="AE20" s="126">
        <f t="shared" si="1"/>
        <v>1.3623591292598858E-3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42184</v>
      </c>
      <c r="E21" s="129">
        <f>_xll.qlCalendarAdvance(Calendar,SettlementDate,C21,"Following",,Trigger)</f>
        <v>42276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1.0007544576661411</v>
      </c>
      <c r="I21" s="191">
        <f t="shared" si="9"/>
        <v>-2.9500000000023834E-3</v>
      </c>
      <c r="J21" s="126">
        <f t="shared" si="10"/>
        <v>-1.3791316181770335E-3</v>
      </c>
      <c r="K21" s="126">
        <f t="shared" si="11"/>
        <v>-1.5181564981934527E-3</v>
      </c>
      <c r="L21" s="126" t="e">
        <f t="shared" si="12"/>
        <v>#N/A</v>
      </c>
      <c r="AB21" s="129">
        <f>_xll.qlCalendarAdvance(Calendar,AB20,"1d","mf",,Trigger)</f>
        <v>42208</v>
      </c>
      <c r="AC21" s="130">
        <f>_xll.qlDayCounterYearFraction(DayCounter,SettlementDate,AB21,,,Trigger)</f>
        <v>6.6666666666666666E-2</v>
      </c>
      <c r="AD21" s="126">
        <f t="shared" si="0"/>
        <v>1.5717378361623517E-3</v>
      </c>
      <c r="AE21" s="126">
        <f t="shared" si="1"/>
        <v>1.3654157527183159E-3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42184</v>
      </c>
      <c r="E22" s="129">
        <f>_xll.qlCalendarAdvance(Calendar,SettlementDate,C22,"Following",,Trigger)</f>
        <v>42306</v>
      </c>
      <c r="F22" s="130">
        <f>_xll.qlDayCounterYearFraction(DayCounter,D22,E22,,,Trigger)</f>
        <v>0.33888888888888891</v>
      </c>
      <c r="G22" s="186">
        <f>_xll.qlYieldTSDiscount(Discounting,D22,,AllTriggers)</f>
        <v>1</v>
      </c>
      <c r="H22" s="189">
        <f>_xll.qlYieldTSDiscount(Discounting,E22,,AllTriggers)</f>
        <v>1.001000722666912</v>
      </c>
      <c r="I22" s="191">
        <f t="shared" si="9"/>
        <v>-2.9500000000039282E-3</v>
      </c>
      <c r="J22" s="126">
        <f t="shared" si="10"/>
        <v>-1.3794152205530998E-3</v>
      </c>
      <c r="K22" s="126">
        <f t="shared" si="11"/>
        <v>-1.4725971833582773E-3</v>
      </c>
      <c r="L22" s="126" t="e">
        <f t="shared" si="12"/>
        <v>#N/A</v>
      </c>
      <c r="AB22" s="129">
        <f>_xll.qlCalendarAdvance(Calendar,AB21,"1d","mf",,Trigger)</f>
        <v>42209</v>
      </c>
      <c r="AC22" s="130">
        <f>_xll.qlDayCounterYearFraction(DayCounter,SettlementDate,AB22,,,Trigger)</f>
        <v>6.9444444444444448E-2</v>
      </c>
      <c r="AD22" s="126">
        <f t="shared" si="0"/>
        <v>1.5717378361623517E-3</v>
      </c>
      <c r="AE22" s="126">
        <f t="shared" si="1"/>
        <v>1.3684723761767461E-3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42184</v>
      </c>
      <c r="E23" s="129">
        <f>_xll.qlCalendarAdvance(Calendar,SettlementDate,C23,"Following",,Trigger)</f>
        <v>42338</v>
      </c>
      <c r="F23" s="130">
        <f>_xll.qlDayCounterYearFraction(DayCounter,D23,E23,,,Trigger)</f>
        <v>0.42777777777777776</v>
      </c>
      <c r="G23" s="186">
        <f>_xll.qlYieldTSDiscount(Discounting,D23,,AllTriggers)</f>
        <v>1</v>
      </c>
      <c r="H23" s="189">
        <f>_xll.qlYieldTSDiscount(Discounting,E23,,AllTriggers)</f>
        <v>1.0012635389604183</v>
      </c>
      <c r="I23" s="191">
        <f t="shared" si="9"/>
        <v>-2.950000000005571E-3</v>
      </c>
      <c r="J23" s="126">
        <f t="shared" si="10"/>
        <v>-1.3797177756543493E-3</v>
      </c>
      <c r="K23" s="126">
        <f t="shared" si="11"/>
        <v>-1.4240122370619262E-3</v>
      </c>
      <c r="L23" s="126" t="e">
        <f t="shared" si="12"/>
        <v>#N/A</v>
      </c>
      <c r="AB23" s="129">
        <f>_xll.qlCalendarAdvance(Calendar,AB22,"1d","mf",,Trigger)</f>
        <v>42212</v>
      </c>
      <c r="AC23" s="130">
        <f>_xll.qlDayCounterYearFraction(DayCounter,SettlementDate,AB23,,,Trigger)</f>
        <v>7.7777777777777779E-2</v>
      </c>
      <c r="AD23" s="126">
        <f t="shared" si="0"/>
        <v>1.5717378361623517E-3</v>
      </c>
      <c r="AE23" s="126">
        <f t="shared" ref="AE23:AE86" si="13">$S$10+$S$9*AC23</f>
        <v>1.3776422465520367E-3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42184</v>
      </c>
      <c r="E24" s="304">
        <f>_xll.qlCalendarAdvance(Calendar,SettlementDate,C24,"Following",,Trigger)</f>
        <v>42367</v>
      </c>
      <c r="F24" s="306">
        <f>_xll.qlDayCounterYearFraction(DayCounter,D24,E24,,,Trigger)</f>
        <v>0.5083333333333333</v>
      </c>
      <c r="G24" s="307">
        <f>_xll.qlYieldTSDiscount(Discounting,D24,,AllTriggers)</f>
        <v>1</v>
      </c>
      <c r="H24" s="328">
        <f>_xll.qlYieldTSDiscount(Discounting,E24,,AllTriggers)</f>
        <v>1.0015069341001761</v>
      </c>
      <c r="I24" s="309">
        <f t="shared" si="9"/>
        <v>-2.960000000000085E-3</v>
      </c>
      <c r="J24" s="132">
        <f t="shared" si="10"/>
        <v>-1.3899999999999115E-3</v>
      </c>
      <c r="K24" s="132">
        <f t="shared" si="11"/>
        <v>-1.3899999999999115E-3</v>
      </c>
      <c r="L24" s="132" t="e">
        <f t="shared" si="12"/>
        <v>#N/A</v>
      </c>
      <c r="AB24" s="129">
        <f>_xll.qlCalendarAdvance(Calendar,AB23,"1d","mf",,Trigger)</f>
        <v>42213</v>
      </c>
      <c r="AC24" s="130">
        <f>_xll.qlDayCounterYearFraction(DayCounter,SettlementDate,AB24,,,Trigger)</f>
        <v>8.0555555555555561E-2</v>
      </c>
      <c r="AD24" s="126">
        <f t="shared" si="0"/>
        <v>1.5717378361623517E-3</v>
      </c>
      <c r="AE24" s="126">
        <f t="shared" si="13"/>
        <v>1.3806988700104667E-3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42214</v>
      </c>
      <c r="AC25" s="130">
        <f>_xll.qlDayCounterYearFraction(DayCounter,SettlementDate,AB25,,,Trigger)</f>
        <v>8.3333333333333329E-2</v>
      </c>
      <c r="AD25" s="126">
        <f t="shared" si="0"/>
        <v>1.5717378361623517E-3</v>
      </c>
      <c r="AE25" s="126">
        <f t="shared" si="13"/>
        <v>1.383755493468897E-3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42215</v>
      </c>
      <c r="AC26" s="130">
        <f>_xll.qlDayCounterYearFraction(DayCounter,SettlementDate,AB26,,,Trigger)</f>
        <v>8.611111111111111E-2</v>
      </c>
      <c r="AD26" s="126">
        <f t="shared" si="0"/>
        <v>1.5717378361623517E-3</v>
      </c>
      <c r="AE26" s="126">
        <f t="shared" si="13"/>
        <v>1.386812116927327E-3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42216</v>
      </c>
      <c r="AC27" s="130">
        <f>_xll.qlDayCounterYearFraction(DayCounter,SettlementDate,AB27,,,Trigger)</f>
        <v>8.8888888888888892E-2</v>
      </c>
      <c r="AD27" s="126">
        <f t="shared" si="0"/>
        <v>1.5717378361623517E-3</v>
      </c>
      <c r="AE27" s="126">
        <f t="shared" si="13"/>
        <v>1.3898687403857573E-3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-1.6565301909388097E-3</v>
      </c>
      <c r="AB28" s="129">
        <f>_xll.qlCalendarAdvance(Calendar,AB27,"1d","mf",,Trigger)</f>
        <v>42219</v>
      </c>
      <c r="AC28" s="130">
        <f>_xll.qlDayCounterYearFraction(DayCounter,SettlementDate,AB28,,,Trigger)</f>
        <v>9.7222222222222224E-2</v>
      </c>
      <c r="AD28" s="126">
        <f t="shared" si="0"/>
        <v>1.5717378361623517E-3</v>
      </c>
      <c r="AE28" s="126">
        <f t="shared" si="13"/>
        <v>1.3990386107610477E-3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-1.6473507518042852E-3</v>
      </c>
      <c r="AB29" s="129">
        <f>_xll.qlCalendarAdvance(Calendar,AB28,"1d","mf",,Trigger)</f>
        <v>42220</v>
      </c>
      <c r="AC29" s="130">
        <f>_xll.qlDayCounterYearFraction(DayCounter,SettlementDate,AB29,,,Trigger)</f>
        <v>0.1</v>
      </c>
      <c r="AD29" s="126">
        <f t="shared" si="0"/>
        <v>1.5717378361623517E-3</v>
      </c>
      <c r="AE29" s="126">
        <f t="shared" si="13"/>
        <v>1.4020952342194779E-3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-1.6366666921787041E-3</v>
      </c>
      <c r="AB30" s="129">
        <f>_xll.qlCalendarAdvance(Calendar,AB29,"1d","mf",,Trigger)</f>
        <v>42221</v>
      </c>
      <c r="AC30" s="130">
        <f>_xll.qlDayCounterYearFraction(DayCounter,SettlementDate,AB30,,,Trigger)</f>
        <v>0.10277777777777777</v>
      </c>
      <c r="AD30" s="126">
        <f t="shared" si="0"/>
        <v>1.5717378361623517E-3</v>
      </c>
      <c r="AE30" s="126">
        <f t="shared" si="13"/>
        <v>1.4051518576779082E-3</v>
      </c>
      <c r="AF30" s="126" t="e">
        <f t="shared" si="14"/>
        <v>#N/A</v>
      </c>
    </row>
    <row r="31" spans="3:32" ht="12" customHeight="1" x14ac:dyDescent="0.2">
      <c r="C31" s="126">
        <f t="shared" si="15"/>
        <v>-1.6260098549926636E-3</v>
      </c>
      <c r="AB31" s="129">
        <f>_xll.qlCalendarAdvance(Calendar,AB30,"1d","mf",,Trigger)</f>
        <v>42222</v>
      </c>
      <c r="AC31" s="130">
        <f>_xll.qlDayCounterYearFraction(DayCounter,SettlementDate,AB31,,,Trigger)</f>
        <v>0.10555555555555556</v>
      </c>
      <c r="AD31" s="126">
        <f t="shared" si="0"/>
        <v>1.5717378361623517E-3</v>
      </c>
      <c r="AE31" s="126">
        <f t="shared" si="13"/>
        <v>1.4082084811363382E-3</v>
      </c>
      <c r="AF31" s="126" t="e">
        <f t="shared" si="14"/>
        <v>#N/A</v>
      </c>
    </row>
    <row r="32" spans="3:32" ht="12" customHeight="1" x14ac:dyDescent="0.2">
      <c r="C32" s="126">
        <f t="shared" si="15"/>
        <v>-1.6123481928627115E-3</v>
      </c>
      <c r="AB32" s="129">
        <f>_xll.qlCalendarAdvance(Calendar,AB31,"1d","mf",,Trigger)</f>
        <v>42223</v>
      </c>
      <c r="AC32" s="130">
        <f>_xll.qlDayCounterYearFraction(DayCounter,SettlementDate,AB32,,,Trigger)</f>
        <v>0.10833333333333334</v>
      </c>
      <c r="AD32" s="126">
        <f t="shared" si="0"/>
        <v>1.5717378361623517E-3</v>
      </c>
      <c r="AE32" s="126">
        <f t="shared" si="13"/>
        <v>1.4112651045947685E-3</v>
      </c>
      <c r="AF32" s="126" t="e">
        <f t="shared" si="14"/>
        <v>#N/A</v>
      </c>
    </row>
    <row r="33" spans="3:32" x14ac:dyDescent="0.2">
      <c r="C33" s="126">
        <f t="shared" si="15"/>
        <v>-1.5622077202077328E-3</v>
      </c>
      <c r="AB33" s="129">
        <f>_xll.qlCalendarAdvance(Calendar,AB32,"1d","mf",,Trigger)</f>
        <v>42226</v>
      </c>
      <c r="AC33" s="130">
        <f>_xll.qlDayCounterYearFraction(DayCounter,SettlementDate,AB33,,,Trigger)</f>
        <v>0.11666666666666667</v>
      </c>
      <c r="AD33" s="126">
        <f t="shared" si="0"/>
        <v>1.5717378361623517E-3</v>
      </c>
      <c r="AE33" s="126">
        <f t="shared" si="13"/>
        <v>1.4204349749700588E-3</v>
      </c>
      <c r="AF33" s="126" t="e">
        <f t="shared" si="14"/>
        <v>#N/A</v>
      </c>
    </row>
    <row r="34" spans="3:32" x14ac:dyDescent="0.2">
      <c r="C34" s="126">
        <f t="shared" si="15"/>
        <v>-1.5181564981934527E-3</v>
      </c>
      <c r="AB34" s="129">
        <f>_xll.qlCalendarAdvance(Calendar,AB33,"1d","mf",,Trigger)</f>
        <v>42227</v>
      </c>
      <c r="AC34" s="130">
        <f>_xll.qlDayCounterYearFraction(DayCounter,SettlementDate,AB34,,,Trigger)</f>
        <v>0.11944444444444445</v>
      </c>
      <c r="AD34" s="126">
        <f t="shared" si="0"/>
        <v>1.5717378361623517E-3</v>
      </c>
      <c r="AE34" s="126">
        <f t="shared" si="13"/>
        <v>1.4234915984284891E-3</v>
      </c>
      <c r="AF34" s="126" t="e">
        <f t="shared" si="14"/>
        <v>#N/A</v>
      </c>
    </row>
    <row r="35" spans="3:32" x14ac:dyDescent="0.2">
      <c r="C35" s="126">
        <f t="shared" si="15"/>
        <v>-1.4725971833582773E-3</v>
      </c>
      <c r="AB35" s="129">
        <f>_xll.qlCalendarAdvance(Calendar,AB34,"1d","mf",,Trigger)</f>
        <v>42228</v>
      </c>
      <c r="AC35" s="130">
        <f>_xll.qlDayCounterYearFraction(DayCounter,SettlementDate,AB35,,,Trigger)</f>
        <v>0.12222222222222222</v>
      </c>
      <c r="AD35" s="126">
        <f t="shared" si="0"/>
        <v>1.5717378361623517E-3</v>
      </c>
      <c r="AE35" s="126">
        <f t="shared" si="13"/>
        <v>1.4265482218869191E-3</v>
      </c>
      <c r="AF35" s="126" t="e">
        <f t="shared" si="14"/>
        <v>#N/A</v>
      </c>
    </row>
    <row r="36" spans="3:32" x14ac:dyDescent="0.2">
      <c r="C36" s="126">
        <f t="shared" si="15"/>
        <v>-1.4240122370619262E-3</v>
      </c>
      <c r="AB36" s="129">
        <f>_xll.qlCalendarAdvance(Calendar,AB35,"1d","mf",,Trigger)</f>
        <v>42229</v>
      </c>
      <c r="AC36" s="130">
        <f>_xll.qlDayCounterYearFraction(DayCounter,SettlementDate,AB36,,,Trigger)</f>
        <v>0.125</v>
      </c>
      <c r="AD36" s="126">
        <f t="shared" si="0"/>
        <v>1.5717378361623517E-3</v>
      </c>
      <c r="AE36" s="126">
        <f t="shared" si="13"/>
        <v>1.4296048453453494E-3</v>
      </c>
      <c r="AF36" s="126" t="e">
        <f t="shared" si="14"/>
        <v>#N/A</v>
      </c>
    </row>
    <row r="37" spans="3:32" x14ac:dyDescent="0.2">
      <c r="C37" s="132">
        <f t="shared" si="15"/>
        <v>-1.3899999999999115E-3</v>
      </c>
      <c r="AB37" s="129">
        <f>_xll.qlCalendarAdvance(Calendar,AB36,"1d","mf",,Trigger)</f>
        <v>42230</v>
      </c>
      <c r="AC37" s="130">
        <f>_xll.qlDayCounterYearFraction(DayCounter,SettlementDate,AB37,,,Trigger)</f>
        <v>0.12777777777777777</v>
      </c>
      <c r="AD37" s="126">
        <f t="shared" si="0"/>
        <v>1.5717378361623517E-3</v>
      </c>
      <c r="AE37" s="126">
        <f t="shared" si="13"/>
        <v>1.4326614688037797E-3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42233</v>
      </c>
      <c r="AC38" s="130">
        <f>_xll.qlDayCounterYearFraction(DayCounter,SettlementDate,AB38,,,Trigger)</f>
        <v>0.1361111111111111</v>
      </c>
      <c r="AD38" s="126">
        <f t="shared" si="0"/>
        <v>1.5717378361623517E-3</v>
      </c>
      <c r="AE38" s="126">
        <f t="shared" si="13"/>
        <v>1.44183133917907E-3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42234</v>
      </c>
      <c r="AC39" s="130">
        <f>_xll.qlDayCounterYearFraction(DayCounter,SettlementDate,AB39,,,Trigger)</f>
        <v>0.1388888888888889</v>
      </c>
      <c r="AD39" s="126">
        <f t="shared" si="0"/>
        <v>1.5717378361623517E-3</v>
      </c>
      <c r="AE39" s="126">
        <f t="shared" si="13"/>
        <v>1.4448879626375003E-3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42235</v>
      </c>
      <c r="AC40" s="130">
        <f>_xll.qlDayCounterYearFraction(DayCounter,SettlementDate,AB40,,,Trigger)</f>
        <v>0.14166666666666666</v>
      </c>
      <c r="AD40" s="126">
        <f t="shared" si="0"/>
        <v>1.5717378361623517E-3</v>
      </c>
      <c r="AE40" s="126">
        <f t="shared" si="13"/>
        <v>1.4479445860959303E-3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42236</v>
      </c>
      <c r="AC41" s="130">
        <f>_xll.qlDayCounterYearFraction(DayCounter,SettlementDate,AB41,,,Trigger)</f>
        <v>0.14444444444444443</v>
      </c>
      <c r="AD41" s="126">
        <f t="shared" si="0"/>
        <v>1.5717378361623517E-3</v>
      </c>
      <c r="AE41" s="126">
        <f t="shared" si="13"/>
        <v>1.4510012095543606E-3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42237</v>
      </c>
      <c r="AC42" s="130">
        <f>_xll.qlDayCounterYearFraction(DayCounter,SettlementDate,AB42,,,Trigger)</f>
        <v>0.14722222222222223</v>
      </c>
      <c r="AD42" s="126">
        <f t="shared" si="0"/>
        <v>1.5717378361623517E-3</v>
      </c>
      <c r="AE42" s="126">
        <f t="shared" si="13"/>
        <v>1.4540578330127906E-3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42240</v>
      </c>
      <c r="AC43" s="130">
        <f>_xll.qlDayCounterYearFraction(DayCounter,SettlementDate,AB43,,,Trigger)</f>
        <v>0.15555555555555556</v>
      </c>
      <c r="AD43" s="126">
        <f t="shared" si="0"/>
        <v>1.5717378361623517E-3</v>
      </c>
      <c r="AE43" s="126">
        <f t="shared" si="13"/>
        <v>1.4632277033880812E-3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42241</v>
      </c>
      <c r="AC44" s="130">
        <f>_xll.qlDayCounterYearFraction(DayCounter,SettlementDate,AB44,,,Trigger)</f>
        <v>0.15833333333333333</v>
      </c>
      <c r="AD44" s="126">
        <f t="shared" si="0"/>
        <v>1.5717378361623517E-3</v>
      </c>
      <c r="AE44" s="126">
        <f t="shared" si="13"/>
        <v>1.4662843268465114E-3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42242</v>
      </c>
      <c r="AC45" s="130">
        <f>_xll.qlDayCounterYearFraction(DayCounter,SettlementDate,AB45,,,Trigger)</f>
        <v>0.16111111111111112</v>
      </c>
      <c r="AD45" s="126">
        <f t="shared" si="0"/>
        <v>1.5717378361623517E-3</v>
      </c>
      <c r="AE45" s="126">
        <f t="shared" si="13"/>
        <v>1.4693409503049415E-3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42243</v>
      </c>
      <c r="AC46" s="130">
        <f>_xll.qlDayCounterYearFraction(DayCounter,SettlementDate,AB46,,,Trigger)</f>
        <v>0.16388888888888889</v>
      </c>
      <c r="AD46" s="126">
        <f t="shared" si="0"/>
        <v>1.5717378361623517E-3</v>
      </c>
      <c r="AE46" s="126">
        <f t="shared" si="13"/>
        <v>1.4723975737633717E-3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42244</v>
      </c>
      <c r="AC47" s="130">
        <f>_xll.qlDayCounterYearFraction(DayCounter,SettlementDate,AB47,,,Trigger)</f>
        <v>0.16666666666666666</v>
      </c>
      <c r="AD47" s="126">
        <f t="shared" si="0"/>
        <v>1.5717378361623517E-3</v>
      </c>
      <c r="AE47" s="126">
        <f t="shared" si="13"/>
        <v>1.4754541972218018E-3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42247</v>
      </c>
      <c r="AC48" s="130">
        <f>_xll.qlDayCounterYearFraction(DayCounter,SettlementDate,AB48,,,Trigger)</f>
        <v>0.17499999999999999</v>
      </c>
      <c r="AD48" s="126">
        <f t="shared" si="0"/>
        <v>1.5717378361623517E-3</v>
      </c>
      <c r="AE48" s="126">
        <f t="shared" si="13"/>
        <v>1.4846240675970923E-3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42248</v>
      </c>
      <c r="AC49" s="130">
        <f>_xll.qlDayCounterYearFraction(DayCounter,SettlementDate,AB49,,,Trigger)</f>
        <v>0.17777777777777778</v>
      </c>
      <c r="AD49" s="126">
        <f t="shared" si="0"/>
        <v>1.5717378361623517E-3</v>
      </c>
      <c r="AE49" s="126">
        <f t="shared" si="13"/>
        <v>1.4876806910555226E-3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42249</v>
      </c>
      <c r="AC50" s="130">
        <f>_xll.qlDayCounterYearFraction(DayCounter,SettlementDate,AB50,,,Trigger)</f>
        <v>0.18055555555555555</v>
      </c>
      <c r="AD50" s="126">
        <f t="shared" si="0"/>
        <v>1.5717378361623517E-3</v>
      </c>
      <c r="AE50" s="126">
        <f t="shared" si="13"/>
        <v>1.4907373145139527E-3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42250</v>
      </c>
      <c r="AC51" s="130">
        <f>_xll.qlDayCounterYearFraction(DayCounter,SettlementDate,AB51,,,Trigger)</f>
        <v>0.18333333333333332</v>
      </c>
      <c r="AD51" s="126">
        <f t="shared" si="0"/>
        <v>1.5717378361623517E-3</v>
      </c>
      <c r="AE51" s="126">
        <f t="shared" si="13"/>
        <v>1.4937939379723829E-3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42251</v>
      </c>
      <c r="AC52" s="130">
        <f>_xll.qlDayCounterYearFraction(DayCounter,SettlementDate,AB52,,,Trigger)</f>
        <v>0.18611111111111112</v>
      </c>
      <c r="AD52" s="126">
        <f t="shared" si="0"/>
        <v>1.5717378361623517E-3</v>
      </c>
      <c r="AE52" s="126">
        <f t="shared" si="13"/>
        <v>1.496850561430813E-3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42254</v>
      </c>
      <c r="AC53" s="130">
        <f>_xll.qlDayCounterYearFraction(DayCounter,SettlementDate,AB53,,,Trigger)</f>
        <v>0.19444444444444445</v>
      </c>
      <c r="AD53" s="126">
        <f t="shared" si="0"/>
        <v>1.5717378361623517E-3</v>
      </c>
      <c r="AE53" s="126">
        <f t="shared" si="13"/>
        <v>1.5060204318061035E-3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42255</v>
      </c>
      <c r="AC54" s="130">
        <f>_xll.qlDayCounterYearFraction(DayCounter,SettlementDate,AB54,,,Trigger)</f>
        <v>0.19722222222222222</v>
      </c>
      <c r="AD54" s="126">
        <f t="shared" si="0"/>
        <v>1.5717378361623517E-3</v>
      </c>
      <c r="AE54" s="126">
        <f t="shared" si="13"/>
        <v>1.5090770552645336E-3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42256</v>
      </c>
      <c r="AC55" s="130">
        <f>_xll.qlDayCounterYearFraction(DayCounter,SettlementDate,AB55,,,Trigger)</f>
        <v>0.2</v>
      </c>
      <c r="AD55" s="126">
        <f t="shared" si="0"/>
        <v>1.5717378361623517E-3</v>
      </c>
      <c r="AE55" s="126">
        <f t="shared" si="13"/>
        <v>1.5121336787229638E-3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42257</v>
      </c>
      <c r="AC56" s="130">
        <f>_xll.qlDayCounterYearFraction(DayCounter,SettlementDate,AB56,,,Trigger)</f>
        <v>0.20277777777777778</v>
      </c>
      <c r="AD56" s="126">
        <f t="shared" si="0"/>
        <v>1.5717378361623517E-3</v>
      </c>
      <c r="AE56" s="126">
        <f t="shared" si="13"/>
        <v>1.5151903021813941E-3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42258</v>
      </c>
      <c r="AC57" s="130">
        <f>_xll.qlDayCounterYearFraction(DayCounter,SettlementDate,AB57,,,Trigger)</f>
        <v>0.20555555555555555</v>
      </c>
      <c r="AD57" s="126">
        <f t="shared" si="0"/>
        <v>1.5717378361623517E-3</v>
      </c>
      <c r="AE57" s="126">
        <f t="shared" si="13"/>
        <v>1.5182469256398241E-3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42261</v>
      </c>
      <c r="AC58" s="130">
        <f>_xll.qlDayCounterYearFraction(DayCounter,SettlementDate,AB58,,,Trigger)</f>
        <v>0.21388888888888888</v>
      </c>
      <c r="AD58" s="126">
        <f t="shared" si="0"/>
        <v>1.5717378361623517E-3</v>
      </c>
      <c r="AE58" s="126">
        <f t="shared" si="13"/>
        <v>1.5274167960151147E-3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42262</v>
      </c>
      <c r="AC59" s="130">
        <f>_xll.qlDayCounterYearFraction(DayCounter,SettlementDate,AB59,,,Trigger)</f>
        <v>0.21666666666666667</v>
      </c>
      <c r="AD59" s="126">
        <f t="shared" si="0"/>
        <v>1.5717378361623517E-3</v>
      </c>
      <c r="AE59" s="126">
        <f t="shared" si="13"/>
        <v>1.5304734194735447E-3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42263</v>
      </c>
      <c r="AC60" s="130">
        <f>_xll.qlDayCounterYearFraction(DayCounter,SettlementDate,AB60,,,Trigger)</f>
        <v>0.21944444444444444</v>
      </c>
      <c r="AD60" s="126">
        <f t="shared" si="0"/>
        <v>1.5717378361623517E-3</v>
      </c>
      <c r="AE60" s="126">
        <f t="shared" si="13"/>
        <v>1.533530042931975E-3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42264</v>
      </c>
      <c r="AC61" s="130">
        <f>_xll.qlDayCounterYearFraction(DayCounter,SettlementDate,AB61,,,Trigger)</f>
        <v>0.22222222222222221</v>
      </c>
      <c r="AD61" s="126">
        <f t="shared" si="0"/>
        <v>1.5717378361623517E-3</v>
      </c>
      <c r="AE61" s="126">
        <f t="shared" si="13"/>
        <v>1.536586666390405E-3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42265</v>
      </c>
      <c r="AC62" s="130">
        <f>_xll.qlDayCounterYearFraction(DayCounter,SettlementDate,AB62,,,Trigger)</f>
        <v>0.22500000000000001</v>
      </c>
      <c r="AD62" s="126">
        <f t="shared" si="0"/>
        <v>1.5717378361623517E-3</v>
      </c>
      <c r="AE62" s="126">
        <f t="shared" si="13"/>
        <v>1.5396432898488353E-3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42268</v>
      </c>
      <c r="AC63" s="130">
        <f>_xll.qlDayCounterYearFraction(DayCounter,SettlementDate,AB63,,,Trigger)</f>
        <v>0.23333333333333334</v>
      </c>
      <c r="AD63" s="126">
        <f t="shared" si="0"/>
        <v>1.5717378361623517E-3</v>
      </c>
      <c r="AE63" s="126">
        <f t="shared" si="13"/>
        <v>1.5488131602241259E-3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42269</v>
      </c>
      <c r="AC64" s="130">
        <f>_xll.qlDayCounterYearFraction(DayCounter,SettlementDate,AB64,,,Trigger)</f>
        <v>0.2361111111111111</v>
      </c>
      <c r="AD64" s="126">
        <f t="shared" si="0"/>
        <v>1.5717378361623517E-3</v>
      </c>
      <c r="AE64" s="126">
        <f t="shared" si="13"/>
        <v>1.5518697836825559E-3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42270</v>
      </c>
      <c r="AC65" s="130">
        <f>_xll.qlDayCounterYearFraction(DayCounter,SettlementDate,AB65,,,Trigger)</f>
        <v>0.2388888888888889</v>
      </c>
      <c r="AD65" s="126">
        <f t="shared" si="0"/>
        <v>1.5717378361623517E-3</v>
      </c>
      <c r="AE65" s="126">
        <f t="shared" si="13"/>
        <v>1.5549264071409862E-3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42271</v>
      </c>
      <c r="AC66" s="130">
        <f>_xll.qlDayCounterYearFraction(DayCounter,SettlementDate,AB66,,,Trigger)</f>
        <v>0.24166666666666667</v>
      </c>
      <c r="AD66" s="126">
        <f t="shared" si="0"/>
        <v>1.5717378361623517E-3</v>
      </c>
      <c r="AE66" s="126">
        <f t="shared" si="13"/>
        <v>1.5579830305994162E-3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42272</v>
      </c>
      <c r="AC67" s="130">
        <f>_xll.qlDayCounterYearFraction(DayCounter,SettlementDate,AB67,,,Trigger)</f>
        <v>0.24444444444444444</v>
      </c>
      <c r="AD67" s="126">
        <f t="shared" ref="AD67:AD124" si="16">$S$13</f>
        <v>1.5717378361623517E-3</v>
      </c>
      <c r="AE67" s="126">
        <f t="shared" si="13"/>
        <v>1.5610396540578465E-3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42275</v>
      </c>
      <c r="AC68" s="130">
        <f>_xll.qlDayCounterYearFraction(DayCounter,SettlementDate,AB68,,,Trigger)</f>
        <v>0.25277777777777777</v>
      </c>
      <c r="AD68" s="126">
        <f t="shared" si="16"/>
        <v>1.5717378361623517E-3</v>
      </c>
      <c r="AE68" s="126">
        <f t="shared" si="13"/>
        <v>1.570209524433137E-3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42276</v>
      </c>
      <c r="AC69" s="130">
        <f>_xll.qlDayCounterYearFraction(DayCounter,SettlementDate,AB69,,,Trigger)</f>
        <v>0.25555555555555554</v>
      </c>
      <c r="AD69" s="126">
        <f t="shared" si="16"/>
        <v>1.5717378361623517E-3</v>
      </c>
      <c r="AE69" s="126">
        <f t="shared" si="13"/>
        <v>1.5732661478915671E-3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42277</v>
      </c>
      <c r="AC70" s="130">
        <f>_xll.qlDayCounterYearFraction(DayCounter,SettlementDate,AB70,,,Trigger)</f>
        <v>0.25833333333333336</v>
      </c>
      <c r="AD70" s="126">
        <f t="shared" si="16"/>
        <v>1.5717378361623517E-3</v>
      </c>
      <c r="AE70" s="126">
        <f t="shared" si="13"/>
        <v>1.5763227713499973E-3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42278</v>
      </c>
      <c r="AC71" s="130">
        <f>_xll.qlDayCounterYearFraction(DayCounter,SettlementDate,AB71,,,Trigger)</f>
        <v>0.26111111111111113</v>
      </c>
      <c r="AD71" s="126">
        <f t="shared" si="16"/>
        <v>1.5717378361623517E-3</v>
      </c>
      <c r="AE71" s="126">
        <f t="shared" si="13"/>
        <v>1.5793793948084274E-3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42279</v>
      </c>
      <c r="AC72" s="130">
        <f>_xll.qlDayCounterYearFraction(DayCounter,SettlementDate,AB72,,,Trigger)</f>
        <v>0.2638888888888889</v>
      </c>
      <c r="AD72" s="126">
        <f t="shared" si="16"/>
        <v>1.5717378361623517E-3</v>
      </c>
      <c r="AE72" s="126">
        <f t="shared" si="13"/>
        <v>1.5824360182668576E-3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42282</v>
      </c>
      <c r="AC73" s="130">
        <f>_xll.qlDayCounterYearFraction(DayCounter,SettlementDate,AB73,,,Trigger)</f>
        <v>0.2722222222222222</v>
      </c>
      <c r="AD73" s="126">
        <f t="shared" si="16"/>
        <v>1.5717378361623517E-3</v>
      </c>
      <c r="AE73" s="126">
        <f t="shared" si="13"/>
        <v>1.591605888642148E-3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42283</v>
      </c>
      <c r="AC74" s="130">
        <f>_xll.qlDayCounterYearFraction(DayCounter,SettlementDate,AB74,,,Trigger)</f>
        <v>0.27500000000000002</v>
      </c>
      <c r="AD74" s="126">
        <f t="shared" si="16"/>
        <v>1.5717378361623517E-3</v>
      </c>
      <c r="AE74" s="126">
        <f t="shared" si="13"/>
        <v>1.5946625121005783E-3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42284</v>
      </c>
      <c r="AC75" s="130">
        <f>_xll.qlDayCounterYearFraction(DayCounter,SettlementDate,AB75,,,Trigger)</f>
        <v>0.27777777777777779</v>
      </c>
      <c r="AD75" s="126">
        <f t="shared" si="16"/>
        <v>1.5717378361623517E-3</v>
      </c>
      <c r="AE75" s="126">
        <f t="shared" si="13"/>
        <v>1.5977191355590085E-3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42285</v>
      </c>
      <c r="AC76" s="130">
        <f>_xll.qlDayCounterYearFraction(DayCounter,SettlementDate,AB76,,,Trigger)</f>
        <v>0.28055555555555556</v>
      </c>
      <c r="AD76" s="126">
        <f t="shared" si="16"/>
        <v>1.5717378361623517E-3</v>
      </c>
      <c r="AE76" s="126">
        <f t="shared" si="13"/>
        <v>1.6007757590174386E-3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42286</v>
      </c>
      <c r="AC77" s="130">
        <f>_xll.qlDayCounterYearFraction(DayCounter,SettlementDate,AB77,,,Trigger)</f>
        <v>0.28333333333333333</v>
      </c>
      <c r="AD77" s="126">
        <f t="shared" si="16"/>
        <v>1.5717378361623517E-3</v>
      </c>
      <c r="AE77" s="126">
        <f t="shared" si="13"/>
        <v>1.6038323824758688E-3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42289</v>
      </c>
      <c r="AC78" s="130">
        <f>_xll.qlDayCounterYearFraction(DayCounter,SettlementDate,AB78,,,Trigger)</f>
        <v>0.29166666666666669</v>
      </c>
      <c r="AD78" s="126">
        <f t="shared" si="16"/>
        <v>1.5717378361623517E-3</v>
      </c>
      <c r="AE78" s="126">
        <f t="shared" si="13"/>
        <v>1.6130022528511594E-3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42290</v>
      </c>
      <c r="AC79" s="130">
        <f>_xll.qlDayCounterYearFraction(DayCounter,SettlementDate,AB79,,,Trigger)</f>
        <v>0.29444444444444445</v>
      </c>
      <c r="AD79" s="126">
        <f t="shared" si="16"/>
        <v>1.5717378361623517E-3</v>
      </c>
      <c r="AE79" s="126">
        <f t="shared" si="13"/>
        <v>1.6160588763095894E-3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42291</v>
      </c>
      <c r="AC80" s="130">
        <f>_xll.qlDayCounterYearFraction(DayCounter,SettlementDate,AB80,,,Trigger)</f>
        <v>0.29722222222222222</v>
      </c>
      <c r="AD80" s="126">
        <f t="shared" si="16"/>
        <v>1.5717378361623517E-3</v>
      </c>
      <c r="AE80" s="126">
        <f t="shared" si="13"/>
        <v>1.6191154997680195E-3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42292</v>
      </c>
      <c r="AC81" s="130">
        <f>_xll.qlDayCounterYearFraction(DayCounter,SettlementDate,AB81,,,Trigger)</f>
        <v>0.3</v>
      </c>
      <c r="AD81" s="126">
        <f t="shared" si="16"/>
        <v>1.5717378361623517E-3</v>
      </c>
      <c r="AE81" s="126">
        <f t="shared" si="13"/>
        <v>1.6221721232264497E-3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42293</v>
      </c>
      <c r="AC82" s="130">
        <f>_xll.qlDayCounterYearFraction(DayCounter,SettlementDate,AB82,,,Trigger)</f>
        <v>0.30277777777777776</v>
      </c>
      <c r="AD82" s="126">
        <f t="shared" si="16"/>
        <v>1.5717378361623517E-3</v>
      </c>
      <c r="AE82" s="126">
        <f t="shared" si="13"/>
        <v>1.62522874668488E-3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42296</v>
      </c>
      <c r="AC83" s="130">
        <f>_xll.qlDayCounterYearFraction(DayCounter,SettlementDate,AB83,,,Trigger)</f>
        <v>0.31111111111111112</v>
      </c>
      <c r="AD83" s="126">
        <f t="shared" si="16"/>
        <v>1.5717378361623517E-3</v>
      </c>
      <c r="AE83" s="126">
        <f t="shared" si="13"/>
        <v>1.6343986170601703E-3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42297</v>
      </c>
      <c r="AC84" s="130">
        <f>_xll.qlDayCounterYearFraction(DayCounter,SettlementDate,AB84,,,Trigger)</f>
        <v>0.31388888888888888</v>
      </c>
      <c r="AD84" s="126">
        <f t="shared" si="16"/>
        <v>1.5717378361623517E-3</v>
      </c>
      <c r="AE84" s="126">
        <f t="shared" si="13"/>
        <v>1.6374552405186006E-3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42298</v>
      </c>
      <c r="AC85" s="130">
        <f>_xll.qlDayCounterYearFraction(DayCounter,SettlementDate,AB85,,,Trigger)</f>
        <v>0.31666666666666665</v>
      </c>
      <c r="AD85" s="126">
        <f t="shared" si="16"/>
        <v>1.5717378361623517E-3</v>
      </c>
      <c r="AE85" s="126">
        <f t="shared" si="13"/>
        <v>1.6405118639770306E-3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42299</v>
      </c>
      <c r="AC86" s="130">
        <f>_xll.qlDayCounterYearFraction(DayCounter,SettlementDate,AB86,,,Trigger)</f>
        <v>0.31944444444444442</v>
      </c>
      <c r="AD86" s="126">
        <f t="shared" si="16"/>
        <v>1.5717378361623517E-3</v>
      </c>
      <c r="AE86" s="126">
        <f t="shared" si="13"/>
        <v>1.6435684874354609E-3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42300</v>
      </c>
      <c r="AC87" s="130">
        <f>_xll.qlDayCounterYearFraction(DayCounter,SettlementDate,AB87,,,Trigger)</f>
        <v>0.32222222222222224</v>
      </c>
      <c r="AD87" s="126">
        <f t="shared" si="16"/>
        <v>1.5717378361623517E-3</v>
      </c>
      <c r="AE87" s="126">
        <f t="shared" ref="AE87:AE124" si="17">$S$10+$S$9*AC87</f>
        <v>1.6466251108938909E-3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42303</v>
      </c>
      <c r="AC88" s="130">
        <f>_xll.qlDayCounterYearFraction(DayCounter,SettlementDate,AB88,,,Trigger)</f>
        <v>0.33055555555555555</v>
      </c>
      <c r="AD88" s="126">
        <f t="shared" si="16"/>
        <v>1.5717378361623517E-3</v>
      </c>
      <c r="AE88" s="126">
        <f t="shared" si="17"/>
        <v>1.6557949812691815E-3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42304</v>
      </c>
      <c r="AC89" s="130">
        <f>_xll.qlDayCounterYearFraction(DayCounter,SettlementDate,AB89,,,Trigger)</f>
        <v>0.33333333333333331</v>
      </c>
      <c r="AD89" s="126">
        <f t="shared" si="16"/>
        <v>1.5717378361623517E-3</v>
      </c>
      <c r="AE89" s="126">
        <f t="shared" si="17"/>
        <v>1.6588516047276116E-3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42305</v>
      </c>
      <c r="AC90" s="130">
        <f>_xll.qlDayCounterYearFraction(DayCounter,SettlementDate,AB90,,,Trigger)</f>
        <v>0.33611111111111114</v>
      </c>
      <c r="AD90" s="126">
        <f t="shared" si="16"/>
        <v>1.5717378361623517E-3</v>
      </c>
      <c r="AE90" s="126">
        <f t="shared" si="17"/>
        <v>1.6619082281860418E-3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42306</v>
      </c>
      <c r="AC91" s="130">
        <f>_xll.qlDayCounterYearFraction(DayCounter,SettlementDate,AB91,,,Trigger)</f>
        <v>0.33888888888888891</v>
      </c>
      <c r="AD91" s="126">
        <f t="shared" si="16"/>
        <v>1.5717378361623517E-3</v>
      </c>
      <c r="AE91" s="126">
        <f t="shared" si="17"/>
        <v>1.6649648516444721E-3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42307</v>
      </c>
      <c r="AC92" s="130">
        <f>_xll.qlDayCounterYearFraction(DayCounter,SettlementDate,AB92,,,Trigger)</f>
        <v>0.34166666666666667</v>
      </c>
      <c r="AD92" s="126">
        <f t="shared" si="16"/>
        <v>1.5717378361623517E-3</v>
      </c>
      <c r="AE92" s="126">
        <f t="shared" si="17"/>
        <v>1.6680214751029021E-3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42310</v>
      </c>
      <c r="AC93" s="130">
        <f>_xll.qlDayCounterYearFraction(DayCounter,SettlementDate,AB93,,,Trigger)</f>
        <v>0.35</v>
      </c>
      <c r="AD93" s="126">
        <f t="shared" si="16"/>
        <v>1.5717378361623517E-3</v>
      </c>
      <c r="AE93" s="126">
        <f t="shared" si="17"/>
        <v>1.6771913454781927E-3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42311</v>
      </c>
      <c r="AC94" s="130">
        <f>_xll.qlDayCounterYearFraction(DayCounter,SettlementDate,AB94,,,Trigger)</f>
        <v>0.3527777777777778</v>
      </c>
      <c r="AD94" s="126">
        <f t="shared" si="16"/>
        <v>1.5717378361623517E-3</v>
      </c>
      <c r="AE94" s="126">
        <f t="shared" si="17"/>
        <v>1.6802479689366229E-3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42312</v>
      </c>
      <c r="AC95" s="130">
        <f>_xll.qlDayCounterYearFraction(DayCounter,SettlementDate,AB95,,,Trigger)</f>
        <v>0.35555555555555557</v>
      </c>
      <c r="AD95" s="126">
        <f t="shared" si="16"/>
        <v>1.5717378361623517E-3</v>
      </c>
      <c r="AE95" s="126">
        <f t="shared" si="17"/>
        <v>1.683304592395053E-3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42313</v>
      </c>
      <c r="AC96" s="130">
        <f>_xll.qlDayCounterYearFraction(DayCounter,SettlementDate,AB96,,,Trigger)</f>
        <v>0.35833333333333334</v>
      </c>
      <c r="AD96" s="126">
        <f t="shared" si="16"/>
        <v>1.5717378361623517E-3</v>
      </c>
      <c r="AE96" s="126">
        <f t="shared" si="17"/>
        <v>1.6863612158534832E-3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42314</v>
      </c>
      <c r="AC97" s="130">
        <f>_xll.qlDayCounterYearFraction(DayCounter,SettlementDate,AB97,,,Trigger)</f>
        <v>0.3611111111111111</v>
      </c>
      <c r="AD97" s="126">
        <f t="shared" si="16"/>
        <v>1.5717378361623517E-3</v>
      </c>
      <c r="AE97" s="126">
        <f t="shared" si="17"/>
        <v>1.6894178393119133E-3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42317</v>
      </c>
      <c r="AC98" s="130">
        <f>_xll.qlDayCounterYearFraction(DayCounter,SettlementDate,AB98,,,Trigger)</f>
        <v>0.36944444444444446</v>
      </c>
      <c r="AD98" s="126">
        <f t="shared" si="16"/>
        <v>1.5717378361623517E-3</v>
      </c>
      <c r="AE98" s="126">
        <f t="shared" si="17"/>
        <v>1.6985877096872039E-3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42318</v>
      </c>
      <c r="AC99" s="130">
        <f>_xll.qlDayCounterYearFraction(DayCounter,SettlementDate,AB99,,,Trigger)</f>
        <v>0.37222222222222223</v>
      </c>
      <c r="AD99" s="126">
        <f t="shared" si="16"/>
        <v>1.5717378361623517E-3</v>
      </c>
      <c r="AE99" s="126">
        <f t="shared" si="17"/>
        <v>1.7016443331456339E-3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42319</v>
      </c>
      <c r="AC100" s="130">
        <f>_xll.qlDayCounterYearFraction(DayCounter,SettlementDate,AB100,,,Trigger)</f>
        <v>0.375</v>
      </c>
      <c r="AD100" s="126">
        <f t="shared" si="16"/>
        <v>1.5717378361623517E-3</v>
      </c>
      <c r="AE100" s="126">
        <f t="shared" si="17"/>
        <v>1.7047009566040642E-3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42320</v>
      </c>
      <c r="AC101" s="130">
        <f>_xll.qlDayCounterYearFraction(DayCounter,SettlementDate,AB101,,,Trigger)</f>
        <v>0.37777777777777777</v>
      </c>
      <c r="AD101" s="126">
        <f t="shared" si="16"/>
        <v>1.5717378361623517E-3</v>
      </c>
      <c r="AE101" s="126">
        <f t="shared" si="17"/>
        <v>1.7077575800624944E-3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42321</v>
      </c>
      <c r="AC102" s="130">
        <f>_xll.qlDayCounterYearFraction(DayCounter,SettlementDate,AB102,,,Trigger)</f>
        <v>0.38055555555555554</v>
      </c>
      <c r="AD102" s="126">
        <f t="shared" si="16"/>
        <v>1.5717378361623517E-3</v>
      </c>
      <c r="AE102" s="126">
        <f t="shared" si="17"/>
        <v>1.7108142035209245E-3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42324</v>
      </c>
      <c r="AC103" s="130">
        <f>_xll.qlDayCounterYearFraction(DayCounter,SettlementDate,AB103,,,Trigger)</f>
        <v>0.3888888888888889</v>
      </c>
      <c r="AD103" s="126">
        <f t="shared" si="16"/>
        <v>1.5717378361623517E-3</v>
      </c>
      <c r="AE103" s="126">
        <f t="shared" si="17"/>
        <v>1.719984073896215E-3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42325</v>
      </c>
      <c r="AC104" s="130">
        <f>_xll.qlDayCounterYearFraction(DayCounter,SettlementDate,AB104,,,Trigger)</f>
        <v>0.39166666666666666</v>
      </c>
      <c r="AD104" s="126">
        <f t="shared" si="16"/>
        <v>1.5717378361623517E-3</v>
      </c>
      <c r="AE104" s="126">
        <f t="shared" si="17"/>
        <v>1.7230406973546451E-3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42326</v>
      </c>
      <c r="AC105" s="130">
        <f>_xll.qlDayCounterYearFraction(DayCounter,SettlementDate,AB105,,,Trigger)</f>
        <v>0.39444444444444443</v>
      </c>
      <c r="AD105" s="126">
        <f t="shared" si="16"/>
        <v>1.5717378361623517E-3</v>
      </c>
      <c r="AE105" s="126">
        <f t="shared" si="17"/>
        <v>1.7260973208130753E-3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42327</v>
      </c>
      <c r="AC106" s="130">
        <f>_xll.qlDayCounterYearFraction(DayCounter,SettlementDate,AB106,,,Trigger)</f>
        <v>0.3972222222222222</v>
      </c>
      <c r="AD106" s="126">
        <f t="shared" si="16"/>
        <v>1.5717378361623517E-3</v>
      </c>
      <c r="AE106" s="126">
        <f t="shared" si="17"/>
        <v>1.7291539442715054E-3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42328</v>
      </c>
      <c r="AC107" s="130">
        <f>_xll.qlDayCounterYearFraction(DayCounter,SettlementDate,AB107,,,Trigger)</f>
        <v>0.4</v>
      </c>
      <c r="AD107" s="126">
        <f t="shared" si="16"/>
        <v>1.5717378361623517E-3</v>
      </c>
      <c r="AE107" s="126">
        <f t="shared" si="17"/>
        <v>1.7322105677299356E-3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42331</v>
      </c>
      <c r="AC108" s="130">
        <f>_xll.qlDayCounterYearFraction(DayCounter,SettlementDate,AB108,,,Trigger)</f>
        <v>0.40833333333333333</v>
      </c>
      <c r="AD108" s="126">
        <f t="shared" si="16"/>
        <v>1.5717378361623517E-3</v>
      </c>
      <c r="AE108" s="126">
        <f t="shared" si="17"/>
        <v>1.7413804381052262E-3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42332</v>
      </c>
      <c r="AC109" s="130">
        <f>_xll.qlDayCounterYearFraction(DayCounter,SettlementDate,AB109,,,Trigger)</f>
        <v>0.41111111111111109</v>
      </c>
      <c r="AD109" s="126">
        <f t="shared" si="16"/>
        <v>1.5717378361623517E-3</v>
      </c>
      <c r="AE109" s="126">
        <f t="shared" si="17"/>
        <v>1.7444370615636562E-3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42333</v>
      </c>
      <c r="AC110" s="130">
        <f>_xll.qlDayCounterYearFraction(DayCounter,SettlementDate,AB110,,,Trigger)</f>
        <v>0.41388888888888886</v>
      </c>
      <c r="AD110" s="126">
        <f t="shared" si="16"/>
        <v>1.5717378361623517E-3</v>
      </c>
      <c r="AE110" s="126">
        <f t="shared" si="17"/>
        <v>1.7474936850220865E-3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42334</v>
      </c>
      <c r="AC111" s="130">
        <f>_xll.qlDayCounterYearFraction(DayCounter,SettlementDate,AB111,,,Trigger)</f>
        <v>0.41666666666666669</v>
      </c>
      <c r="AD111" s="126">
        <f t="shared" si="16"/>
        <v>1.5717378361623517E-3</v>
      </c>
      <c r="AE111" s="126">
        <f t="shared" si="17"/>
        <v>1.7505503084805168E-3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42335</v>
      </c>
      <c r="AC112" s="130">
        <f>_xll.qlDayCounterYearFraction(DayCounter,SettlementDate,AB112,,,Trigger)</f>
        <v>0.41944444444444445</v>
      </c>
      <c r="AD112" s="126">
        <f t="shared" si="16"/>
        <v>1.5717378361623517E-3</v>
      </c>
      <c r="AE112" s="126">
        <f t="shared" si="17"/>
        <v>1.7536069319389468E-3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42338</v>
      </c>
      <c r="AC113" s="130">
        <f>_xll.qlDayCounterYearFraction(DayCounter,SettlementDate,AB113,,,Trigger)</f>
        <v>0.42777777777777776</v>
      </c>
      <c r="AD113" s="126">
        <f t="shared" si="16"/>
        <v>1.5717378361623517E-3</v>
      </c>
      <c r="AE113" s="126">
        <f t="shared" si="17"/>
        <v>1.7627768023142374E-3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42339</v>
      </c>
      <c r="AC114" s="130">
        <f>_xll.qlDayCounterYearFraction(DayCounter,SettlementDate,AB114,,,Trigger)</f>
        <v>0.43055555555555558</v>
      </c>
      <c r="AD114" s="126">
        <f t="shared" si="16"/>
        <v>1.5717378361623517E-3</v>
      </c>
      <c r="AE114" s="126">
        <f t="shared" si="17"/>
        <v>1.7658334257726674E-3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42340</v>
      </c>
      <c r="AC115" s="130">
        <f>_xll.qlDayCounterYearFraction(DayCounter,SettlementDate,AB115,,,Trigger)</f>
        <v>0.43333333333333335</v>
      </c>
      <c r="AD115" s="126">
        <f t="shared" si="16"/>
        <v>1.5717378361623517E-3</v>
      </c>
      <c r="AE115" s="126">
        <f t="shared" si="17"/>
        <v>1.7688900492310977E-3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42341</v>
      </c>
      <c r="AC116" s="130">
        <f>_xll.qlDayCounterYearFraction(DayCounter,SettlementDate,AB116,,,Trigger)</f>
        <v>0.43611111111111112</v>
      </c>
      <c r="AD116" s="126">
        <f t="shared" si="16"/>
        <v>1.5717378361623517E-3</v>
      </c>
      <c r="AE116" s="126">
        <f t="shared" si="17"/>
        <v>1.7719466726895277E-3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42342</v>
      </c>
      <c r="AC117" s="130">
        <f>_xll.qlDayCounterYearFraction(DayCounter,SettlementDate,AB117,,,Trigger)</f>
        <v>0.43888888888888888</v>
      </c>
      <c r="AD117" s="126">
        <f t="shared" si="16"/>
        <v>1.5717378361623517E-3</v>
      </c>
      <c r="AE117" s="126">
        <f t="shared" si="17"/>
        <v>1.775003296147958E-3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42345</v>
      </c>
      <c r="AC118" s="130">
        <f>_xll.qlDayCounterYearFraction(DayCounter,SettlementDate,AB118,,,Trigger)</f>
        <v>0.44722222222222224</v>
      </c>
      <c r="AD118" s="126">
        <f t="shared" si="16"/>
        <v>1.5717378361623517E-3</v>
      </c>
      <c r="AE118" s="126">
        <f t="shared" si="17"/>
        <v>1.7841731665232483E-3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42346</v>
      </c>
      <c r="AC119" s="130">
        <f>_xll.qlDayCounterYearFraction(DayCounter,SettlementDate,AB119,,,Trigger)</f>
        <v>0.45</v>
      </c>
      <c r="AD119" s="126">
        <f t="shared" si="16"/>
        <v>1.5717378361623517E-3</v>
      </c>
      <c r="AE119" s="126">
        <f t="shared" si="17"/>
        <v>1.7872297899816786E-3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42347</v>
      </c>
      <c r="AC120" s="130">
        <f>_xll.qlDayCounterYearFraction(DayCounter,SettlementDate,AB120,,,Trigger)</f>
        <v>0.45277777777777778</v>
      </c>
      <c r="AD120" s="126">
        <f t="shared" si="16"/>
        <v>1.5717378361623517E-3</v>
      </c>
      <c r="AE120" s="126">
        <f t="shared" si="17"/>
        <v>1.7902864134401088E-3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42348</v>
      </c>
      <c r="AC121" s="130">
        <f>_xll.qlDayCounterYearFraction(DayCounter,SettlementDate,AB121,,,Trigger)</f>
        <v>0.45555555555555555</v>
      </c>
      <c r="AD121" s="126">
        <f t="shared" si="16"/>
        <v>1.5717378361623517E-3</v>
      </c>
      <c r="AE121" s="126">
        <f t="shared" si="17"/>
        <v>1.7933430368985389E-3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42349</v>
      </c>
      <c r="AC122" s="130">
        <f>_xll.qlDayCounterYearFraction(DayCounter,SettlementDate,AB122,,,Trigger)</f>
        <v>0.45833333333333331</v>
      </c>
      <c r="AD122" s="126">
        <f t="shared" si="16"/>
        <v>1.5717378361623517E-3</v>
      </c>
      <c r="AE122" s="126">
        <f t="shared" si="17"/>
        <v>1.7963996603569689E-3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42352</v>
      </c>
      <c r="AC123" s="130">
        <f>_xll.qlDayCounterYearFraction(DayCounter,SettlementDate,AB123,,,Trigger)</f>
        <v>0.46666666666666667</v>
      </c>
      <c r="AD123" s="126">
        <f t="shared" si="16"/>
        <v>1.5717378361623517E-3</v>
      </c>
      <c r="AE123" s="126">
        <f t="shared" si="17"/>
        <v>1.8055695307322597E-3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42353</v>
      </c>
      <c r="AC124" s="306">
        <f>_xll.qlDayCounterYearFraction(DayCounter,SettlementDate,AB124,,,Trigger)</f>
        <v>0.46944444444444444</v>
      </c>
      <c r="AD124" s="132">
        <f t="shared" si="16"/>
        <v>1.5717378361623517E-3</v>
      </c>
      <c r="AE124" s="132">
        <f t="shared" si="17"/>
        <v>1.8086261541906898E-3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2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SEKSND_SYNTH1M_Quote#0000</v>
      </c>
      <c r="E3" s="179" t="str">
        <f>_xll.ohRangeRetrieveError(D3)</f>
        <v/>
      </c>
      <c r="F3" s="28"/>
      <c r="G3" s="56" t="s">
        <v>48</v>
      </c>
      <c r="H3" s="57">
        <f>'1MSynthDepo'!C23</f>
        <v>-2.6300350792807237E-3</v>
      </c>
      <c r="I3" s="31" t="s">
        <v>49</v>
      </c>
      <c r="J3" s="62">
        <v>-2.5890201961908943E-3</v>
      </c>
      <c r="K3" s="29"/>
      <c r="L3" s="65">
        <f t="array" ref="L3:L84">QuoteStatic</f>
        <v>-2.5890201961908943E-3</v>
      </c>
      <c r="M3" s="66" t="e">
        <f>_xll.qlSimpleQuoteSetValue(D3,ROUND($L3,6),EvaluationDate)</f>
        <v>#N/A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SEKSWD_SYNTH1M_Quote#0000</v>
      </c>
      <c r="E4" s="179" t="str">
        <f>_xll.ohRangeRetrieveError(D4)</f>
        <v/>
      </c>
      <c r="F4" s="28"/>
      <c r="G4" s="56" t="s">
        <v>50</v>
      </c>
      <c r="H4" s="57">
        <f>'1MSynthDepo'!C24</f>
        <v>-2.6299904412503089E-3</v>
      </c>
      <c r="I4" s="31" t="s">
        <v>49</v>
      </c>
      <c r="J4" s="62">
        <v>-2.5911671412183679E-3</v>
      </c>
      <c r="K4" s="29"/>
      <c r="L4" s="65">
        <v>-2.5911671412183679E-3</v>
      </c>
      <c r="M4" s="66" t="e">
        <f>_xll.qlSimpleQuoteSetValue(D4,ROUND($L4,6),EvaluationDate)</f>
        <v>#N/A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SEK2WD_SYNTH1M_Quote#0000</v>
      </c>
      <c r="E5" s="179" t="str">
        <f>_xll.ohRangeRetrieveError(D5)</f>
        <v/>
      </c>
      <c r="F5" s="28"/>
      <c r="G5" s="56" t="s">
        <v>51</v>
      </c>
      <c r="H5" s="57">
        <f>'1MSynthDepo'!C25</f>
        <v>-2.6299630157284553E-3</v>
      </c>
      <c r="I5" s="31" t="s">
        <v>49</v>
      </c>
      <c r="J5" s="62">
        <v>-2.5978476076926604E-3</v>
      </c>
      <c r="K5" s="29"/>
      <c r="L5" s="65">
        <v>-2.5978476076926604E-3</v>
      </c>
      <c r="M5" s="66" t="e">
        <f>_xll.qlSimpleQuoteSetValue(D5,ROUND($L5,6),EvaluationDate)</f>
        <v>#N/A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SEK3WD_SYNTH1M_Quote#0000</v>
      </c>
      <c r="E6" s="179" t="str">
        <f>_xll.ohRangeRetrieveError(D6)</f>
        <v/>
      </c>
      <c r="F6" s="28"/>
      <c r="G6" s="58" t="s">
        <v>52</v>
      </c>
      <c r="H6" s="57">
        <f>'1MSynthDepo'!C26</f>
        <v>-2.6299621348207275E-3</v>
      </c>
      <c r="I6" s="31" t="s">
        <v>49</v>
      </c>
      <c r="J6" s="63">
        <v>-2.6090243249062995E-3</v>
      </c>
      <c r="K6" s="29"/>
      <c r="L6" s="67">
        <v>-2.6090243249062995E-3</v>
      </c>
      <c r="M6" s="66" t="e">
        <f>_xll.qlSimpleQuoteSetValue(D6,ROUND($L6,6),EvaluationDate)</f>
        <v>#N/A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SEK1MD_SYNTH1M_Quote#0000</v>
      </c>
      <c r="E7" s="179" t="str">
        <f>_xll.ohRangeRetrieveError(D7)</f>
        <v/>
      </c>
      <c r="F7" s="74"/>
      <c r="G7" s="60" t="s">
        <v>53</v>
      </c>
      <c r="H7" s="197">
        <f>'1MSynthDepo'!C27</f>
        <v>-2.6299999999999102E-3</v>
      </c>
      <c r="I7" s="75" t="s">
        <v>49</v>
      </c>
      <c r="J7" s="64">
        <v>-2.6299999999999102E-3</v>
      </c>
      <c r="K7" s="74"/>
      <c r="L7" s="69">
        <v>-2.6299999999999102E-3</v>
      </c>
      <c r="M7" s="253" t="e">
        <f>_xll.qlSimpleQuoteSetValue(D7,ROUND($L7,6),EvaluationDate)</f>
        <v>#N/A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SEKSND_SYNTH3M_Quote#0000</v>
      </c>
      <c r="E8" s="178" t="str">
        <f>_xll.ohRangeRetrieveError(D8)</f>
        <v/>
      </c>
      <c r="F8" s="36"/>
      <c r="G8" s="76" t="s">
        <v>48</v>
      </c>
      <c r="H8" s="77">
        <f>'3MSynthDepo'!C25</f>
        <v>-1.8276974952291525E-3</v>
      </c>
      <c r="I8" s="37"/>
      <c r="J8" s="78">
        <v>-1.7107743167299461E-3</v>
      </c>
      <c r="K8" s="35"/>
      <c r="L8" s="79">
        <v>-1.7107743167299461E-3</v>
      </c>
      <c r="M8" s="66" t="e">
        <f>_xll.qlSimpleQuoteSetValue(D8,ROUND($L8,6),EvaluationDate)</f>
        <v>#N/A</v>
      </c>
      <c r="N8" s="116">
        <f>_xll.ohTrigger(M8:M14)</f>
        <v>2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SEKSWD_SYNTH3M_Quote#0000</v>
      </c>
      <c r="E9" s="179" t="str">
        <f>_xll.ohRangeRetrieveError(D9)</f>
        <v/>
      </c>
      <c r="F9" s="36"/>
      <c r="G9" s="71" t="s">
        <v>50</v>
      </c>
      <c r="H9" s="57">
        <f>'3MSynthDepo'!C26</f>
        <v>-1.8461310357517238E-3</v>
      </c>
      <c r="I9" s="37"/>
      <c r="J9" s="62">
        <v>-1.7072721851851824E-3</v>
      </c>
      <c r="K9" s="35"/>
      <c r="L9" s="65">
        <v>-1.7072721851851824E-3</v>
      </c>
      <c r="M9" s="66" t="e">
        <f>_xll.qlSimpleQuoteSetValue(D9,ROUND($L9,6),EvaluationDate)</f>
        <v>#N/A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SEK2WD_SYNTH3M_Quote#0000</v>
      </c>
      <c r="E10" s="179" t="str">
        <f>_xll.ohRangeRetrieveError(D10)</f>
        <v/>
      </c>
      <c r="F10" s="36"/>
      <c r="G10" s="71" t="s">
        <v>51</v>
      </c>
      <c r="H10" s="57">
        <f>'3MSynthDepo'!C27</f>
        <v>-1.8670958052293049E-3</v>
      </c>
      <c r="I10" s="37"/>
      <c r="J10" s="62">
        <v>-1.7076403835969423E-3</v>
      </c>
      <c r="K10" s="35"/>
      <c r="L10" s="65">
        <v>-1.7076403835969423E-3</v>
      </c>
      <c r="M10" s="66" t="e">
        <f>_xll.qlSimpleQuoteSetValue(D10,ROUND($L10,6),EvaluationDate)</f>
        <v>#N/A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SEK3WD_SYNTH3M_Quote#0000</v>
      </c>
      <c r="E11" s="179" t="str">
        <f>_xll.ohRangeRetrieveError(D11)</f>
        <v/>
      </c>
      <c r="F11" s="36"/>
      <c r="G11" s="72" t="s">
        <v>52</v>
      </c>
      <c r="H11" s="59">
        <f>'3MSynthDepo'!C28</f>
        <v>-1.8874779660826846E-3</v>
      </c>
      <c r="I11" s="37"/>
      <c r="J11" s="63">
        <v>-1.7128047616411987E-3</v>
      </c>
      <c r="K11" s="35"/>
      <c r="L11" s="67">
        <v>-1.7128047616411987E-3</v>
      </c>
      <c r="M11" s="68" t="e">
        <f>_xll.qlSimpleQuoteSetValue(D11,ROUND($L11,6),EvaluationDate)</f>
        <v>#N/A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SEK1MD_SYNTH3M_Quote#0000</v>
      </c>
      <c r="E12" s="179" t="str">
        <f>_xll.ohRangeRetrieveError(D12)</f>
        <v/>
      </c>
      <c r="F12" s="36"/>
      <c r="G12" s="71" t="s">
        <v>53</v>
      </c>
      <c r="H12" s="57">
        <f>'3MSynthDepo'!C29</f>
        <v>-1.9128275899733538E-3</v>
      </c>
      <c r="I12" s="37"/>
      <c r="J12" s="62">
        <v>-1.7264913430437012E-3</v>
      </c>
      <c r="K12" s="35"/>
      <c r="L12" s="65">
        <v>-1.7264913430437012E-3</v>
      </c>
      <c r="M12" s="66" t="e">
        <f>_xll.qlSimpleQuoteSetValue(D12,ROUND($L12,6),EvaluationDate)</f>
        <v>#N/A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SEK2MD_SYNTH3M_Quote#0000</v>
      </c>
      <c r="E13" s="179" t="str">
        <f>_xll.ohRangeRetrieveError(D13)</f>
        <v/>
      </c>
      <c r="F13" s="36"/>
      <c r="G13" s="71" t="s">
        <v>54</v>
      </c>
      <c r="H13" s="57">
        <f>'3MSynthDepo'!C30</f>
        <v>-1.9971063895875473E-3</v>
      </c>
      <c r="I13" s="37"/>
      <c r="J13" s="62">
        <v>-1.8641171946885496E-3</v>
      </c>
      <c r="K13" s="35"/>
      <c r="L13" s="65">
        <v>-1.8641171946885496E-3</v>
      </c>
      <c r="M13" s="66" t="e">
        <f>_xll.qlSimpleQuoteSetValue(D13,ROUND($L13,6),EvaluationDate)</f>
        <v>#N/A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SEK3MD_SYNTH3M_Quote#0000</v>
      </c>
      <c r="E14" s="180" t="str">
        <f>_xll.ohRangeRetrieveError(D14)</f>
        <v/>
      </c>
      <c r="F14" s="36"/>
      <c r="G14" s="73" t="s">
        <v>55</v>
      </c>
      <c r="H14" s="61">
        <f>'3MSynthDepo'!C31</f>
        <v>-2.0600000000006364E-3</v>
      </c>
      <c r="I14" s="37"/>
      <c r="J14" s="64">
        <v>-2.0599999999997673E-3</v>
      </c>
      <c r="K14" s="35"/>
      <c r="L14" s="69">
        <v>-2.0599999999997673E-3</v>
      </c>
      <c r="M14" s="70" t="e">
        <f>_xll.qlSimpleQuoteSetValue(D14,ROUND($L14,6),EvaluationDate)</f>
        <v>#N/A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SEKSND_SYNTH6M_Quote#0000</v>
      </c>
      <c r="E15" s="179" t="str">
        <f>_xll.ohRangeRetrieveError(D15)</f>
        <v/>
      </c>
      <c r="F15" s="36"/>
      <c r="G15" s="76" t="s">
        <v>48</v>
      </c>
      <c r="H15" s="77">
        <f>'6MSynthDepo'!C28</f>
        <v>-1.6565301909388097E-3</v>
      </c>
      <c r="I15" s="37"/>
      <c r="J15" s="78">
        <v>-6.4371422240583343E-4</v>
      </c>
      <c r="K15" s="35"/>
      <c r="L15" s="79">
        <v>-6.4371422240583343E-4</v>
      </c>
      <c r="M15" s="80" t="e">
        <f>_xll.qlSimpleQuoteSetValue(D15,ROUND($L15,6),EvaluationDate)</f>
        <v>#N/A</v>
      </c>
      <c r="N15" s="117">
        <f>_xll.ohTrigger(M15:M24)</f>
        <v>2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SEKSWD_SYNTH6M_Quote#0000</v>
      </c>
      <c r="E16" s="179" t="str">
        <f>_xll.ohRangeRetrieveError(D16)</f>
        <v/>
      </c>
      <c r="F16" s="36"/>
      <c r="G16" s="71" t="s">
        <v>50</v>
      </c>
      <c r="H16" s="57">
        <f>'6MSynthDepo'!C29</f>
        <v>-1.6473507518042852E-3</v>
      </c>
      <c r="I16" s="37"/>
      <c r="J16" s="62">
        <v>-6.5094872553382393E-4</v>
      </c>
      <c r="K16" s="35"/>
      <c r="L16" s="65">
        <v>-6.5094872553382393E-4</v>
      </c>
      <c r="M16" s="66" t="e">
        <f>_xll.qlSimpleQuoteSetValue(D16,ROUND($L16,6),EvaluationDate)</f>
        <v>#N/A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SEK2WD_SYNTH6M_Quote#0000</v>
      </c>
      <c r="E17" s="179" t="str">
        <f>_xll.ohRangeRetrieveError(D17)</f>
        <v/>
      </c>
      <c r="F17" s="34"/>
      <c r="G17" s="71" t="s">
        <v>51</v>
      </c>
      <c r="H17" s="57">
        <f>'6MSynthDepo'!C30</f>
        <v>-1.6366666921787041E-3</v>
      </c>
      <c r="I17" s="37"/>
      <c r="J17" s="62">
        <v>-6.6356502914421966E-4</v>
      </c>
      <c r="K17" s="251"/>
      <c r="L17" s="65">
        <v>-6.6356502914421966E-4</v>
      </c>
      <c r="M17" s="66" t="e">
        <f>_xll.qlSimpleQuoteSetValue(D17,ROUND($L17,6),EvaluationDate)</f>
        <v>#N/A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SEK3WD_SYNTH6M_Quote#0000</v>
      </c>
      <c r="E18" s="179" t="str">
        <f>_xll.ohRangeRetrieveError(D18)</f>
        <v/>
      </c>
      <c r="F18" s="34"/>
      <c r="G18" s="72" t="s">
        <v>52</v>
      </c>
      <c r="H18" s="59">
        <f>'6MSynthDepo'!C31</f>
        <v>-1.6260098549926636E-3</v>
      </c>
      <c r="I18" s="250"/>
      <c r="J18" s="62">
        <v>-6.8067843868035993E-4</v>
      </c>
      <c r="K18" s="251"/>
      <c r="L18" s="65">
        <v>-6.8067843868035993E-4</v>
      </c>
      <c r="M18" s="66" t="e">
        <f>_xll.qlSimpleQuoteSetValue(D18,ROUND($L18,6),EvaluationDate)</f>
        <v>#N/A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SEK1MD_SYNTH6M_Quote#0000</v>
      </c>
      <c r="E19" s="179" t="str">
        <f>_xll.ohRangeRetrieveError(D19)</f>
        <v/>
      </c>
      <c r="F19" s="34"/>
      <c r="G19" s="192" t="s">
        <v>53</v>
      </c>
      <c r="H19" s="193">
        <f>'6MSynthDepo'!C32</f>
        <v>-1.6123481928627115E-3</v>
      </c>
      <c r="I19" s="250"/>
      <c r="J19" s="194">
        <v>-7.0928905320855051E-4</v>
      </c>
      <c r="K19" s="251"/>
      <c r="L19" s="195">
        <v>-7.0928905320855051E-4</v>
      </c>
      <c r="M19" s="196" t="e">
        <f>_xll.qlSimpleQuoteSetValue(D19,ROUND($L19,6),EvaluationDate)</f>
        <v>#N/A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SEK2MD_SYNTH6M_Quote#0000</v>
      </c>
      <c r="E20" s="179" t="str">
        <f>_xll.ohRangeRetrieveError(D20)</f>
        <v/>
      </c>
      <c r="F20" s="34"/>
      <c r="G20" s="71" t="s">
        <v>54</v>
      </c>
      <c r="H20" s="57">
        <f>'6MSynthDepo'!C33</f>
        <v>-1.5622077202077328E-3</v>
      </c>
      <c r="I20" s="37"/>
      <c r="J20" s="62">
        <v>-8.9742271631086472E-4</v>
      </c>
      <c r="K20" s="35"/>
      <c r="L20" s="65">
        <v>-8.9742271631086472E-4</v>
      </c>
      <c r="M20" s="66" t="e">
        <f>_xll.qlSimpleQuoteSetValue(D20,ROUND($L20,6),EvaluationDate)</f>
        <v>#N/A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SEK3MD_SYNTH6M_Quote#0000</v>
      </c>
      <c r="E21" s="179" t="str">
        <f>_xll.ohRangeRetrieveError(D21)</f>
        <v/>
      </c>
      <c r="F21" s="34"/>
      <c r="G21" s="71" t="s">
        <v>55</v>
      </c>
      <c r="H21" s="57">
        <f>'6MSynthDepo'!C34</f>
        <v>-1.5181564981934527E-3</v>
      </c>
      <c r="I21" s="37"/>
      <c r="J21" s="62">
        <v>-1.1322345417556477E-3</v>
      </c>
      <c r="K21" s="35"/>
      <c r="L21" s="65">
        <v>-1.1322345417556477E-3</v>
      </c>
      <c r="M21" s="66" t="e">
        <f>_xll.qlSimpleQuoteSetValue(D21,ROUND($L21,6),EvaluationDate)</f>
        <v>#N/A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SEK4MD_SYNTH6M_Quote#0000</v>
      </c>
      <c r="E22" s="179" t="str">
        <f>_xll.ohRangeRetrieveError(D22)</f>
        <v/>
      </c>
      <c r="F22" s="34"/>
      <c r="G22" s="71" t="s">
        <v>56</v>
      </c>
      <c r="H22" s="57">
        <f>'6MSynthDepo'!C35</f>
        <v>-1.4725971833582773E-3</v>
      </c>
      <c r="I22" s="37"/>
      <c r="J22" s="62">
        <v>-1.2578863091388406E-3</v>
      </c>
      <c r="K22" s="35"/>
      <c r="L22" s="65">
        <v>-1.2578863091388406E-3</v>
      </c>
      <c r="M22" s="66" t="e">
        <f>_xll.qlSimpleQuoteSetValue(D22,ROUND($L22,6),EvaluationDate)</f>
        <v>#N/A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SEK5MD_SYNTH6M_Quote#0000</v>
      </c>
      <c r="E23" s="179" t="str">
        <f>_xll.ohRangeRetrieveError(D23)</f>
        <v/>
      </c>
      <c r="F23" s="34"/>
      <c r="G23" s="71" t="s">
        <v>57</v>
      </c>
      <c r="H23" s="57">
        <f>'6MSynthDepo'!C36</f>
        <v>-1.4240122370619262E-3</v>
      </c>
      <c r="I23" s="37"/>
      <c r="J23" s="62">
        <v>-1.3052004565526146E-3</v>
      </c>
      <c r="K23" s="35"/>
      <c r="L23" s="65">
        <v>-1.3052004565526146E-3</v>
      </c>
      <c r="M23" s="66" t="e">
        <f>_xll.qlSimpleQuoteSetValue(D23,ROUND($L23,6),EvaluationDate)</f>
        <v>#N/A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SEK6MD_SYNTH6M_Quote#0000</v>
      </c>
      <c r="E24" s="180" t="str">
        <f>_xll.ohRangeRetrieveError(D24)</f>
        <v/>
      </c>
      <c r="F24" s="34"/>
      <c r="G24" s="73" t="s">
        <v>58</v>
      </c>
      <c r="H24" s="61">
        <f>'6MSynthDepo'!C37</f>
        <v>-1.3899999999999115E-3</v>
      </c>
      <c r="I24" s="37"/>
      <c r="J24" s="64">
        <v>-1.3899999999999115E-3</v>
      </c>
      <c r="K24" s="35"/>
      <c r="L24" s="69">
        <v>-1.3899999999999115E-3</v>
      </c>
      <c r="M24" s="70" t="e">
        <f>_xll.qlSimpleQuoteSetValue(D24,ROUND($L24,6),EvaluationDate)</f>
        <v>#N/A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>
        <v>0</v>
      </c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>
        <v>0</v>
      </c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>
        <v>0</v>
      </c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>
        <v>0</v>
      </c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>
        <v>0</v>
      </c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>
        <v>0</v>
      </c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>
        <v>0</v>
      </c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>
        <v>0</v>
      </c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>
        <v>0</v>
      </c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>
        <v>0</v>
      </c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>
        <v>0</v>
      </c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>
        <v>0</v>
      </c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>
        <v>0</v>
      </c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>
        <v>0</v>
      </c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>
        <v>0</v>
      </c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>
        <v>0</v>
      </c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>
        <v>0</v>
      </c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>
        <v>0</v>
      </c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>
        <v>0</v>
      </c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>
        <v>0</v>
      </c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>
        <v>0</v>
      </c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>
        <v>0</v>
      </c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>
        <v>0</v>
      </c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>
        <v>0</v>
      </c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>
        <v>0</v>
      </c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>
        <v>0</v>
      </c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>
        <v>0</v>
      </c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>
        <v>0</v>
      </c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>
        <v>0</v>
      </c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>
        <v>0</v>
      </c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>
        <v>0</v>
      </c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>
        <v>0</v>
      </c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>
        <v>0</v>
      </c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>
        <v>0</v>
      </c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>
        <v>0</v>
      </c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>
        <v>0</v>
      </c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>
        <v>0</v>
      </c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>
        <v>0</v>
      </c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>
        <v>0</v>
      </c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>
        <v>0</v>
      </c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>
        <v>0</v>
      </c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>
        <v>0</v>
      </c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>
        <v>0</v>
      </c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>
        <v>0</v>
      </c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>
        <v>0</v>
      </c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>
        <v>0</v>
      </c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>
        <v>0</v>
      </c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>
        <v>0</v>
      </c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>
        <v>0</v>
      </c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>
        <v>0</v>
      </c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>
        <v>0</v>
      </c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>
        <v>0</v>
      </c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>
        <v>0</v>
      </c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>
        <v>0</v>
      </c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>
        <v>0</v>
      </c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>
        <v>0</v>
      </c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>
        <v>0</v>
      </c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>
        <v>0</v>
      </c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>
        <v>0</v>
      </c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>
        <v>0</v>
      </c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42184</v>
      </c>
      <c r="F3" s="350">
        <f>_xll.qlCalendarAdvance(Calendar,E3,F1,"mf",,Trigger)</f>
        <v>42214</v>
      </c>
      <c r="G3" s="351">
        <f>_xll.qlDayCounterYearFraction(DayCounter,E3,F3,,,Trigger)</f>
        <v>8.3333333333333329E-2</v>
      </c>
      <c r="H3" s="352">
        <f>_xll.qlQuoteValue(D3,LastFixingsTrigger)</f>
        <v>-2.63E-3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1.0002458937822214</v>
      </c>
      <c r="K3" s="352">
        <f>(I3/J3-1)/G3</f>
        <v>-2.949999999999342E-3</v>
      </c>
      <c r="L3" s="352">
        <f>H3-K3</f>
        <v>3.1999999999934208E-4</v>
      </c>
      <c r="M3" s="354">
        <f>LN((1+H3*G3)/(1+K3*G3))</f>
        <v>2.6672868109985655E-5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_xll.qlInterpolation(,interpolator3M,_xll.ohFilter(E4:E13,M4:M13),_xll.ohFilter(L4:L13,M4:M13))</f>
        <v>obj_001dd#0004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/>
      <c r="E3" s="424">
        <f>_xll.qlCalendarAdvance(Calendar,_xll.qlLastFixingQuoteReferenceDate(D4),_xll.qlInterestRateIndexFixingDays(PROPER(Currency)&amp;IborType&amp;$F$1)&amp;"D","f",,LastFixingsTrigger)</f>
        <v>42184</v>
      </c>
      <c r="F3" s="350"/>
      <c r="G3" s="351"/>
      <c r="H3" s="352"/>
      <c r="I3" s="353"/>
      <c r="J3" s="353"/>
      <c r="K3" s="352"/>
      <c r="L3" s="352"/>
      <c r="M3" s="368"/>
      <c r="N3" s="369"/>
      <c r="O3" s="370"/>
      <c r="P3" s="354"/>
      <c r="R3" s="373">
        <f>E4</f>
        <v>42184</v>
      </c>
      <c r="S3" s="373">
        <f>_xll.qlCalendarAdvance(Calendar,R3,$F$1,"mf",,Trigger)</f>
        <v>42276</v>
      </c>
      <c r="T3" s="374">
        <f>_xll.qlDayCounterYearFraction(DayCounter,R3,S3,,,Trigger)</f>
        <v>0.25555555555555554</v>
      </c>
      <c r="U3" s="375">
        <f>_xll.qlInterpolationInterpolate(B3Minterpolation,R3,TRUE)</f>
        <v>8.9000000000238324E-4</v>
      </c>
      <c r="V3" s="376">
        <f>_xll.qlYieldTSDiscount(Discounting,R3,,AllTriggers)</f>
        <v>1</v>
      </c>
      <c r="W3" s="376">
        <f>_xll.qlYieldTSDiscount(Discounting,S3,,AllTriggers)</f>
        <v>1.0007544576661411</v>
      </c>
      <c r="X3" s="375">
        <f>(V3/W3-1)/T3</f>
        <v>-2.9500000000023834E-3</v>
      </c>
      <c r="Y3" s="377">
        <f>LN((1+(U3+X3)*T3)/(1+X3*T3))</f>
        <v>2.275901410486486E-4</v>
      </c>
      <c r="AD3" s="296"/>
      <c r="AE3" s="296"/>
    </row>
    <row r="4" spans="1:31" ht="11.25" customHeight="1" x14ac:dyDescent="0.2">
      <c r="D4" s="349" t="str">
        <f>PROPER(Currency&amp;IborType)&amp;F1&amp;"LastFixing"&amp;QuoteSuffix</f>
        <v>Sekibor3MLastFixing_Quote</v>
      </c>
      <c r="E4" s="350">
        <f>SettlementDate</f>
        <v>42184</v>
      </c>
      <c r="F4" s="350">
        <f>_xll.qlCalendarAdvance(Calendar,E4,F1,"mf",,Trigger)</f>
        <v>42276</v>
      </c>
      <c r="G4" s="351">
        <f>_xll.qlDayCounterYearFraction(DayCounter,E4,F4,,,Trigger)</f>
        <v>0.25555555555555554</v>
      </c>
      <c r="H4" s="352">
        <f>_xll.qlQuoteValue(D4,LastFixingsTrigger)</f>
        <v>-2.0600000000000002E-3</v>
      </c>
      <c r="I4" s="353">
        <f>IFERROR(_xll.qlYieldTSDiscount(Discounting,E4,,AllTriggers),_xll.qlYieldTSDiscount(Discounting,SettlementDate,,AllTriggers))</f>
        <v>1</v>
      </c>
      <c r="J4" s="353">
        <f>_xll.qlYieldTSDiscount(Discounting,F4,,AllTriggers)</f>
        <v>1.0007544576661411</v>
      </c>
      <c r="K4" s="352">
        <f>(I4/J4-1)/G4</f>
        <v>-2.9500000000023834E-3</v>
      </c>
      <c r="L4" s="352">
        <f>H4-K4</f>
        <v>8.9000000000238324E-4</v>
      </c>
      <c r="M4" s="368" t="b">
        <v>1</v>
      </c>
      <c r="N4" s="369">
        <f>_xll.qlInterpolationInterpolate(B3Minterpolation,E4,TRUE,Trigger)</f>
        <v>8.9000000000238324E-4</v>
      </c>
      <c r="O4" s="370">
        <f>(L4-N4)*10000</f>
        <v>0</v>
      </c>
      <c r="P4" s="354">
        <f>LN((1+H4*G4)/(1+K4*G4))</f>
        <v>2.275901410486486E-4</v>
      </c>
      <c r="R4" s="133">
        <f>_xll.qlCalendarAdvance(Calendar,R3,"1D","f")</f>
        <v>42185</v>
      </c>
      <c r="S4" s="133">
        <f>_xll.qlCalendarAdvance(Calendar,R4,$F$1,"mf",,Trigger)</f>
        <v>42277</v>
      </c>
      <c r="T4" s="183">
        <f>_xll.qlDayCounterYearFraction(DayCounter,R4,S4,,,Trigger)</f>
        <v>0.25555555555555554</v>
      </c>
      <c r="U4" s="21">
        <f>_xll.qlInterpolationInterpolate(B3Minterpolation,R4,TRUE)</f>
        <v>8.8583920473852195E-4</v>
      </c>
      <c r="V4" s="184">
        <f>_xll.qlYieldTSDiscount(Discounting,R4,,AllTriggers)</f>
        <v>1.0000081948088653</v>
      </c>
      <c r="W4" s="184">
        <f>_xll.qlYieldTSDiscount(Discounting,S4,,AllTriggers)</f>
        <v>1.0007626714568505</v>
      </c>
      <c r="X4" s="21">
        <f t="shared" ref="X4:X67" si="0">(V4/W4-1)/T4</f>
        <v>-2.9500500079614614E-3</v>
      </c>
      <c r="Y4" s="359">
        <f t="shared" ref="Y4:Y67" si="1">LN((1+(U4+X4)*T4)/(1+X4*T4))</f>
        <v>2.2652626896378381E-4</v>
      </c>
      <c r="AD4" s="296"/>
      <c r="AE4" s="296"/>
    </row>
    <row r="5" spans="1:31" ht="11.25" customHeight="1" x14ac:dyDescent="0.2">
      <c r="A5" s="270">
        <v>1</v>
      </c>
      <c r="C5" s="270" t="str">
        <f>_xll.qlIMMNextCode(SettlementDate,TRUE)</f>
        <v>U5</v>
      </c>
      <c r="D5" s="358" t="str">
        <f t="shared" ref="D5:D13" si="2">Currency&amp;"3F"&amp;A5&amp;QuoteSuffix</f>
        <v>SEK3F1_Quote</v>
      </c>
      <c r="E5" s="133">
        <f>_xll.qlIMMdate(C5,$E$4,Trigger)</f>
        <v>42263</v>
      </c>
      <c r="F5" s="133">
        <f>_xll.qlCalendarAdvance(Calendar,E5,$F$1,"mf",,Trigger)</f>
        <v>42354</v>
      </c>
      <c r="G5" s="183">
        <f>_xll.qlDayCounterYearFraction(DayCounter,E5,F5,,,Trigger)</f>
        <v>0.25277777777777777</v>
      </c>
      <c r="H5" s="21">
        <f>_xll.qlQuoteValue(D5,AllTriggers)</f>
        <v>-2.3E-3</v>
      </c>
      <c r="I5" s="184">
        <f>_xll.qlYieldTSDiscount(Discounting,E5,,AllTriggers)</f>
        <v>1.0006477487182497</v>
      </c>
      <c r="J5" s="184">
        <f>_xll.qlYieldTSDiscount(Discounting,F5,,AllTriggers)</f>
        <v>1.0013975106568773</v>
      </c>
      <c r="K5" s="21">
        <f t="shared" ref="K5:K13" si="3">(I5/J5-1)/G5</f>
        <v>-2.9619518265370324E-3</v>
      </c>
      <c r="L5" s="21">
        <f t="shared" ref="L5:L13" si="4">H5-K5</f>
        <v>6.6195182653703243E-4</v>
      </c>
      <c r="M5" s="182" t="b">
        <v>1</v>
      </c>
      <c r="N5" s="21">
        <f>_xll.qlInterpolationInterpolate(B3Minterpolation,E5,TRUE,Trigger)</f>
        <v>6.6195182653703243E-4</v>
      </c>
      <c r="O5" s="208">
        <f t="shared" ref="O5:O13" si="5">(L5-N5)*10000</f>
        <v>0</v>
      </c>
      <c r="P5" s="359">
        <f t="shared" ref="P5:P13" si="6">LN((1+H5*G5)/(1+K5*G5))</f>
        <v>1.6743806716133778E-4</v>
      </c>
      <c r="R5" s="133">
        <f>_xll.qlCalendarAdvance(Calendar,R4,"1D","f")</f>
        <v>42186</v>
      </c>
      <c r="S5" s="133">
        <f>_xll.qlCalendarAdvance(Calendar,R5,$F$1,"mf",,Trigger)</f>
        <v>42278</v>
      </c>
      <c r="T5" s="183">
        <f>_xll.qlDayCounterYearFraction(DayCounter,R5,S5,,,Trigger)</f>
        <v>0.25555555555555554</v>
      </c>
      <c r="U5" s="21">
        <f>_xll.qlInterpolationInterpolate(B3Minterpolation,R5,TRUE)</f>
        <v>8.8167963457997202E-4</v>
      </c>
      <c r="V5" s="184">
        <f>_xll.qlYieldTSDiscount(Discounting,R5,,AllTriggers)</f>
        <v>1.000016389689401</v>
      </c>
      <c r="W5" s="184">
        <f>_xll.qlYieldTSDiscount(Discounting,S5,,AllTriggers)</f>
        <v>1.0007708860376241</v>
      </c>
      <c r="X5" s="21">
        <f t="shared" si="0"/>
        <v>-2.9501028217113565E-3</v>
      </c>
      <c r="Y5" s="359">
        <f t="shared" si="1"/>
        <v>2.2546270912947135E-4</v>
      </c>
      <c r="AD5" s="296"/>
      <c r="AE5" s="296"/>
    </row>
    <row r="6" spans="1:31" ht="11.25" customHeight="1" x14ac:dyDescent="0.2">
      <c r="A6" s="270">
        <v>2</v>
      </c>
      <c r="C6" s="270" t="str">
        <f>_xll.qlIMMNextCode($E$5,TRUE)</f>
        <v>Z5</v>
      </c>
      <c r="D6" s="358" t="str">
        <f t="shared" si="2"/>
        <v>SEK3F2_Quote</v>
      </c>
      <c r="E6" s="133">
        <f>_xll.qlIMMdate(C6,$E$4,Trigger)</f>
        <v>42354</v>
      </c>
      <c r="F6" s="133">
        <f>_xll.qlCalendarAdvance(Calendar,E6,$F$1,"mf",,Trigger)</f>
        <v>42445</v>
      </c>
      <c r="G6" s="183">
        <f>_xll.qlDayCounterYearFraction(DayCounter,E6,F6,,,Trigger)</f>
        <v>0.25277777777777777</v>
      </c>
      <c r="H6" s="21">
        <f>_xll.qlQuoteValue(D6,AllTriggers)</f>
        <v>-2.0500000000000002E-3</v>
      </c>
      <c r="I6" s="184">
        <f>_xll.qlYieldTSDiscount(Discounting,E6,,AllTriggers)</f>
        <v>1.0013975106568773</v>
      </c>
      <c r="J6" s="184">
        <f>_xll.qlYieldTSDiscount(Discounting,F6,,AllTriggers)</f>
        <v>1.0021521236193609</v>
      </c>
      <c r="K6" s="21">
        <f t="shared" si="3"/>
        <v>-2.9788711504235696E-3</v>
      </c>
      <c r="L6" s="21">
        <f t="shared" si="4"/>
        <v>9.2887115042356938E-4</v>
      </c>
      <c r="M6" s="182" t="b">
        <v>1</v>
      </c>
      <c r="N6" s="21">
        <f>_xll.qlInterpolationInterpolate(B3Minterpolation,E6,TRUE,Trigger)</f>
        <v>9.2887115042356938E-4</v>
      </c>
      <c r="O6" s="208">
        <f t="shared" si="5"/>
        <v>0</v>
      </c>
      <c r="P6" s="359">
        <f t="shared" si="6"/>
        <v>2.3494731729897171E-4</v>
      </c>
      <c r="R6" s="133">
        <f>_xll.qlCalendarAdvance(Calendar,R5,"1D","f")</f>
        <v>42187</v>
      </c>
      <c r="S6" s="133">
        <f>_xll.qlCalendarAdvance(Calendar,R6,$F$1,"mf",,Trigger)</f>
        <v>42279</v>
      </c>
      <c r="T6" s="183">
        <f>_xll.qlDayCounterYearFraction(DayCounter,R6,S6,,,Trigger)</f>
        <v>0.25555555555555554</v>
      </c>
      <c r="U6" s="21">
        <f>_xll.qlInterpolationInterpolate(B3Minterpolation,R6,TRUE)</f>
        <v>8.7752251463204482E-4</v>
      </c>
      <c r="V6" s="184">
        <f>_xll.qlYieldTSDiscount(Discounting,R6,,AllTriggers)</f>
        <v>1.0000245846461233</v>
      </c>
      <c r="W6" s="184">
        <f>_xll.qlYieldTSDiscount(Discounting,S6,,AllTriggers)</f>
        <v>1.000779101287208</v>
      </c>
      <c r="X6" s="21">
        <f t="shared" si="0"/>
        <v>-2.9501579497795537E-3</v>
      </c>
      <c r="Y6" s="359">
        <f t="shared" si="1"/>
        <v>2.2439977476469906E-4</v>
      </c>
      <c r="AD6" s="296"/>
      <c r="AE6" s="296"/>
    </row>
    <row r="7" spans="1:31" ht="11.25" customHeight="1" x14ac:dyDescent="0.2">
      <c r="A7" s="270">
        <v>3</v>
      </c>
      <c r="C7" s="270" t="str">
        <f>_xll.qlIMMNextCode($E6,TRUE)</f>
        <v>H6</v>
      </c>
      <c r="D7" s="358" t="str">
        <f t="shared" si="2"/>
        <v>SEK3F3_Quote</v>
      </c>
      <c r="E7" s="133">
        <f>_xll.qlIMMdate(C7,$E$4,Trigger)</f>
        <v>42445</v>
      </c>
      <c r="F7" s="133">
        <f>_xll.qlCalendarAdvance(Calendar,E7,$F$1,"mf",,Trigger)</f>
        <v>42537</v>
      </c>
      <c r="G7" s="183">
        <f>_xll.qlDayCounterYearFraction(DayCounter,E7,F7,,,Trigger)</f>
        <v>0.25555555555555554</v>
      </c>
      <c r="H7" s="21">
        <f>_xll.qlQuoteValue(D7,AllTriggers)</f>
        <v>-1.4500000000000001E-3</v>
      </c>
      <c r="I7" s="184">
        <f>_xll.qlYieldTSDiscount(Discounting,E7,,AllTriggers)</f>
        <v>1.0021521236193609</v>
      </c>
      <c r="J7" s="184">
        <f>_xll.qlYieldTSDiscount(Discounting,F7,,AllTriggers)</f>
        <v>1.0028683009840014</v>
      </c>
      <c r="K7" s="21">
        <f t="shared" si="3"/>
        <v>-2.7944179342739247E-3</v>
      </c>
      <c r="L7" s="21">
        <f t="shared" si="4"/>
        <v>1.3444179342739246E-3</v>
      </c>
      <c r="M7" s="182" t="b">
        <v>1</v>
      </c>
      <c r="N7" s="21">
        <f>_xll.qlInterpolationInterpolate(B3Minterpolation,E7,TRUE,Trigger)</f>
        <v>1.3444179342739246E-3</v>
      </c>
      <c r="O7" s="208">
        <f t="shared" si="5"/>
        <v>0</v>
      </c>
      <c r="P7" s="359">
        <f t="shared" si="6"/>
        <v>3.4375991101358479E-4</v>
      </c>
      <c r="R7" s="133">
        <f>_xll.qlCalendarAdvance(Calendar,R6,"1D","f")</f>
        <v>42188</v>
      </c>
      <c r="S7" s="133">
        <f>_xll.qlCalendarAdvance(Calendar,R7,$F$1,"mf",,Trigger)</f>
        <v>42282</v>
      </c>
      <c r="T7" s="183">
        <f>_xll.qlDayCounterYearFraction(DayCounter,R7,S7,,,Trigger)</f>
        <v>0.26111111111111113</v>
      </c>
      <c r="U7" s="21">
        <f>_xll.qlInterpolationInterpolate(B3Minterpolation,R7,TRUE)</f>
        <v>8.7336907000005158E-4</v>
      </c>
      <c r="V7" s="184">
        <f>_xll.qlYieldTSDiscount(Discounting,R7,,AllTriggers)</f>
        <v>1.0000327796835482</v>
      </c>
      <c r="W7" s="184">
        <f>_xll.qlYieldTSDiscount(Discounting,S7,,AllTriggers)</f>
        <v>1.000803749836229</v>
      </c>
      <c r="X7" s="21">
        <f t="shared" si="0"/>
        <v>-2.9502803612076337E-3</v>
      </c>
      <c r="Y7" s="359">
        <f t="shared" si="1"/>
        <v>2.2819614073812833E-4</v>
      </c>
      <c r="AD7" s="296"/>
      <c r="AE7" s="296"/>
    </row>
    <row r="8" spans="1:31" ht="11.25" customHeight="1" x14ac:dyDescent="0.2">
      <c r="A8" s="270">
        <v>4</v>
      </c>
      <c r="C8" s="270" t="str">
        <f>_xll.qlIMMNextCode($E7,TRUE)</f>
        <v>M6</v>
      </c>
      <c r="D8" s="358" t="str">
        <f t="shared" si="2"/>
        <v>SEK3F4_Quote</v>
      </c>
      <c r="E8" s="133">
        <f>_xll.qlIMMdate(C8,$E$4,Trigger)</f>
        <v>42536</v>
      </c>
      <c r="F8" s="133">
        <f>_xll.qlCalendarAdvance(Calendar,E8,$F$1,"mf",,Trigger)</f>
        <v>42628</v>
      </c>
      <c r="G8" s="183">
        <f>_xll.qlDayCounterYearFraction(DayCounter,E8,F8,,,Trigger)</f>
        <v>0.25555555555555554</v>
      </c>
      <c r="H8" s="21">
        <f>_xll.qlQuoteValue(D8,AllTriggers)</f>
        <v>-6.7500000000000004E-4</v>
      </c>
      <c r="I8" s="184">
        <f>_xll.qlYieldTSDiscount(Discounting,E8,,AllTriggers)</f>
        <v>1.002861281720919</v>
      </c>
      <c r="J8" s="184">
        <f>_xll.qlYieldTSDiscount(Discounting,F8,,AllTriggers)</f>
        <v>1.0033809166487837</v>
      </c>
      <c r="K8" s="21">
        <f t="shared" si="3"/>
        <v>-2.0265026290800926E-3</v>
      </c>
      <c r="L8" s="21">
        <f t="shared" si="4"/>
        <v>1.3515026290800926E-3</v>
      </c>
      <c r="M8" s="182" t="b">
        <v>1</v>
      </c>
      <c r="N8" s="21">
        <f>_xll.qlInterpolationInterpolate(B3Minterpolation,E8,TRUE,Trigger)</f>
        <v>1.3515026290800926E-3</v>
      </c>
      <c r="O8" s="208">
        <f t="shared" si="5"/>
        <v>0</v>
      </c>
      <c r="P8" s="359">
        <f t="shared" si="6"/>
        <v>3.4550327361203195E-4</v>
      </c>
      <c r="R8" s="133">
        <f>_xll.qlCalendarAdvance(Calendar,R7,"1D","f")</f>
        <v>42191</v>
      </c>
      <c r="S8" s="133">
        <f>_xll.qlCalendarAdvance(Calendar,R8,$F$1,"mf",,Trigger)</f>
        <v>42283</v>
      </c>
      <c r="T8" s="183">
        <f>_xll.qlDayCounterYearFraction(DayCounter,R8,S8,,,Trigger)</f>
        <v>0.25555555555555554</v>
      </c>
      <c r="U8" s="21">
        <f>_xll.qlInterpolationInterpolate(B3Minterpolation,R8,TRUE)</f>
        <v>8.609430390527893E-4</v>
      </c>
      <c r="V8" s="184">
        <f>_xll.qlYieldTSDiscount(Discounting,R8,,AllTriggers)</f>
        <v>1.0000573653252054</v>
      </c>
      <c r="W8" s="184">
        <f>_xll.qlYieldTSDiscount(Discounting,S8,,AllTriggers)</f>
        <v>1.0008119665484407</v>
      </c>
      <c r="X8" s="21">
        <f t="shared" si="0"/>
        <v>-2.9503917758419793E-3</v>
      </c>
      <c r="Y8" s="359">
        <f t="shared" si="1"/>
        <v>2.2016055644726842E-4</v>
      </c>
      <c r="AD8" s="296"/>
      <c r="AE8" s="296"/>
    </row>
    <row r="9" spans="1:31" ht="11.25" customHeight="1" x14ac:dyDescent="0.2">
      <c r="A9" s="270">
        <v>5</v>
      </c>
      <c r="C9" s="270" t="str">
        <f>_xll.qlIMMNextCode($E8,TRUE)</f>
        <v>U6</v>
      </c>
      <c r="D9" s="358" t="str">
        <f t="shared" si="2"/>
        <v>SEK3F5_Quote</v>
      </c>
      <c r="E9" s="133">
        <f>_xll.qlIMMdate(C9,$E$4,Trigger)</f>
        <v>42634</v>
      </c>
      <c r="F9" s="133">
        <f>_xll.qlCalendarAdvance(Calendar,E9,$F$1,"mf",,Trigger)</f>
        <v>42725</v>
      </c>
      <c r="G9" s="183">
        <f>_xll.qlDayCounterYearFraction(DayCounter,E9,F9,,,Trigger)</f>
        <v>0.25277777777777777</v>
      </c>
      <c r="H9" s="21">
        <f>_xll.qlQuoteValue(D9,AllTriggers)</f>
        <v>3.5000000000000005E-4</v>
      </c>
      <c r="I9" s="184">
        <f>_xll.qlYieldTSDiscount(Discounting,E9,,AllTriggers)</f>
        <v>1.0034055511027522</v>
      </c>
      <c r="J9" s="184">
        <f>_xll.qlYieldTSDiscount(Discounting,F9,,AllTriggers)</f>
        <v>1.0036328805373347</v>
      </c>
      <c r="K9" s="21">
        <f t="shared" si="3"/>
        <v>-8.960699207359637E-4</v>
      </c>
      <c r="L9" s="21">
        <f t="shared" si="4"/>
        <v>1.2460699207359639E-3</v>
      </c>
      <c r="M9" s="182" t="b">
        <v>1</v>
      </c>
      <c r="N9" s="21">
        <f>_xll.qlInterpolationInterpolate(B3Minterpolation,E9,TRUE,Trigger)</f>
        <v>1.2460699207359639E-3</v>
      </c>
      <c r="O9" s="208">
        <f t="shared" si="5"/>
        <v>0</v>
      </c>
      <c r="P9" s="359">
        <f t="shared" si="6"/>
        <v>3.1500052856903534E-4</v>
      </c>
      <c r="R9" s="133">
        <f>_xll.qlCalendarAdvance(Calendar,R8,"1D","f")</f>
        <v>42192</v>
      </c>
      <c r="S9" s="133">
        <f>_xll.qlCalendarAdvance(Calendar,R9,$F$1,"mf",,Trigger)</f>
        <v>42284</v>
      </c>
      <c r="T9" s="183">
        <f>_xll.qlDayCounterYearFraction(DayCounter,R9,S9,,,Trigger)</f>
        <v>0.25555555555555554</v>
      </c>
      <c r="U9" s="21">
        <f>_xll.qlInterpolationInterpolate(B3Minterpolation,R9,TRUE)</f>
        <v>8.5681654673764554E-4</v>
      </c>
      <c r="V9" s="184">
        <f>_xll.qlYieldTSDiscount(Discounting,R9,,AllTriggers)</f>
        <v>1.0000655607306077</v>
      </c>
      <c r="W9" s="184">
        <f>_xll.qlYieldTSDiscount(Discounting,S9,,AllTriggers)</f>
        <v>1.0008201833231356</v>
      </c>
      <c r="X9" s="21">
        <f t="shared" si="0"/>
        <v>-2.9504511034487198E-3</v>
      </c>
      <c r="Y9" s="359">
        <f t="shared" si="1"/>
        <v>2.1910544778057907E-4</v>
      </c>
      <c r="AD9" s="296"/>
      <c r="AE9" s="296"/>
    </row>
    <row r="10" spans="1:31" ht="11.25" customHeight="1" x14ac:dyDescent="0.2">
      <c r="A10" s="270">
        <v>6</v>
      </c>
      <c r="C10" s="270" t="str">
        <f>_xll.qlIMMNextCode($E9,TRUE)</f>
        <v>Z6</v>
      </c>
      <c r="D10" s="358" t="str">
        <f t="shared" si="2"/>
        <v>SEK3F6_Quote</v>
      </c>
      <c r="E10" s="133">
        <f>_xll.qlIMMdate(C10,$E$4,Trigger)</f>
        <v>42725</v>
      </c>
      <c r="F10" s="133">
        <f>_xll.qlCalendarAdvance(Calendar,E10,$F$1,"mf",,Trigger)</f>
        <v>42815</v>
      </c>
      <c r="G10" s="183">
        <f>_xll.qlDayCounterYearFraction(DayCounter,E10,F10,,,Trigger)</f>
        <v>0.25</v>
      </c>
      <c r="H10" s="21">
        <f>_xll.qlQuoteValue(D10,AllTriggers)</f>
        <v>1.5999999999999999E-3</v>
      </c>
      <c r="I10" s="184">
        <f>_xll.qlYieldTSDiscount(Discounting,E10,,AllTriggers)</f>
        <v>1.0036328805373347</v>
      </c>
      <c r="J10" s="184">
        <f>_xll.qlYieldTSDiscount(Discounting,F10,,AllTriggers)</f>
        <v>1.0035746255695694</v>
      </c>
      <c r="K10" s="21">
        <f t="shared" si="3"/>
        <v>2.3218987918216527E-4</v>
      </c>
      <c r="L10" s="21">
        <f t="shared" si="4"/>
        <v>1.3678101208178346E-3</v>
      </c>
      <c r="M10" s="182" t="b">
        <v>1</v>
      </c>
      <c r="N10" s="21">
        <f>_xll.qlInterpolationInterpolate(B3Minterpolation,E10,TRUE,Trigger)</f>
        <v>1.3678101208178346E-3</v>
      </c>
      <c r="O10" s="208">
        <f t="shared" si="5"/>
        <v>0</v>
      </c>
      <c r="P10" s="359">
        <f t="shared" si="6"/>
        <v>3.4187423622057195E-4</v>
      </c>
      <c r="R10" s="133">
        <f>_xll.qlCalendarAdvance(Calendar,R9,"1D","f")</f>
        <v>42193</v>
      </c>
      <c r="S10" s="133">
        <f>_xll.qlCalendarAdvance(Calendar,R10,$F$1,"mf",,Trigger)</f>
        <v>42285</v>
      </c>
      <c r="T10" s="183">
        <f>_xll.qlDayCounterYearFraction(DayCounter,R10,S10,,,Trigger)</f>
        <v>0.25555555555555554</v>
      </c>
      <c r="U10" s="21">
        <f>_xll.qlInterpolationInterpolate(B3Minterpolation,R10,TRUE)</f>
        <v>8.5269985526499256E-4</v>
      </c>
      <c r="V10" s="184">
        <f>_xll.qlYieldTSDiscount(Discounting,R10,,AllTriggers)</f>
        <v>1.0000737562392965</v>
      </c>
      <c r="W10" s="184">
        <f>_xll.qlYieldTSDiscount(Discounting,S10,,AllTriggers)</f>
        <v>1.0008284000390364</v>
      </c>
      <c r="X10" s="21">
        <f t="shared" si="0"/>
        <v>-2.9505097965517061E-3</v>
      </c>
      <c r="Y10" s="359">
        <f t="shared" si="1"/>
        <v>2.1805284393628432E-4</v>
      </c>
      <c r="AD10" s="296"/>
      <c r="AE10" s="296"/>
    </row>
    <row r="11" spans="1:31" ht="11.25" customHeight="1" x14ac:dyDescent="0.2">
      <c r="A11" s="270">
        <v>7</v>
      </c>
      <c r="C11" s="270" t="str">
        <f>_xll.qlIMMNextCode($E10,TRUE)</f>
        <v>H7</v>
      </c>
      <c r="D11" s="358" t="str">
        <f t="shared" si="2"/>
        <v>SEK3F7_Quote</v>
      </c>
      <c r="E11" s="133">
        <f>_xll.qlIMMdate(C11,$E$4,Trigger)</f>
        <v>42809</v>
      </c>
      <c r="F11" s="133">
        <f>_xll.qlCalendarAdvance(Calendar,E11,$F$1,"mf",,Trigger)</f>
        <v>42901</v>
      </c>
      <c r="G11" s="183">
        <f>_xll.qlDayCounterYearFraction(DayCounter,E11,F11,,,Trigger)</f>
        <v>0.25555555555555554</v>
      </c>
      <c r="H11" s="21">
        <f>_xll.qlQuoteValue(D11,AllTriggers)</f>
        <v>3.0000000000000005E-3</v>
      </c>
      <c r="I11" s="184">
        <f>_xll.qlYieldTSDiscount(Discounting,E11,,AllTriggers)</f>
        <v>1.0035876448524177</v>
      </c>
      <c r="J11" s="184">
        <f>_xll.qlYieldTSDiscount(Discounting,F11,,AllTriggers)</f>
        <v>1.0032387084772976</v>
      </c>
      <c r="K11" s="21">
        <f t="shared" si="3"/>
        <v>1.3609953398474595E-3</v>
      </c>
      <c r="L11" s="21">
        <f t="shared" si="4"/>
        <v>1.639004660152541E-3</v>
      </c>
      <c r="M11" s="182" t="b">
        <v>1</v>
      </c>
      <c r="N11" s="21">
        <f>_xll.qlInterpolationInterpolate(B3Minterpolation,E11,TRUE,Trigger)</f>
        <v>1.639004660152541E-3</v>
      </c>
      <c r="O11" s="208">
        <f t="shared" si="5"/>
        <v>0</v>
      </c>
      <c r="P11" s="359">
        <f t="shared" si="6"/>
        <v>4.1862347956680756E-4</v>
      </c>
      <c r="R11" s="133">
        <f>_xll.qlCalendarAdvance(Calendar,R10,"1D","f")</f>
        <v>42194</v>
      </c>
      <c r="S11" s="133">
        <f>_xll.qlCalendarAdvance(Calendar,R11,$F$1,"mf",,Trigger)</f>
        <v>42286</v>
      </c>
      <c r="T11" s="183">
        <f>_xll.qlDayCounterYearFraction(DayCounter,R11,S11,,,Trigger)</f>
        <v>0.25555555555555554</v>
      </c>
      <c r="U11" s="21">
        <f>_xll.qlInterpolationInterpolate(B3Minterpolation,R11,TRUE)</f>
        <v>8.485941897401415E-4</v>
      </c>
      <c r="V11" s="184">
        <f>_xll.qlYieldTSDiscount(Discounting,R11,,AllTriggers)</f>
        <v>1.0000819518557893</v>
      </c>
      <c r="W11" s="184">
        <f>_xll.qlYieldTSDiscount(Discounting,S11,,AllTriggers)</f>
        <v>1.0008366165748617</v>
      </c>
      <c r="X11" s="21">
        <f t="shared" si="0"/>
        <v>-2.9505673636779895E-3</v>
      </c>
      <c r="Y11" s="359">
        <f t="shared" si="1"/>
        <v>2.1700305814682024E-4</v>
      </c>
      <c r="AD11" s="296"/>
      <c r="AE11" s="296"/>
    </row>
    <row r="12" spans="1:31" ht="11.25" customHeight="1" x14ac:dyDescent="0.2">
      <c r="A12" s="270">
        <v>8</v>
      </c>
      <c r="C12" s="270" t="str">
        <f>_xll.qlIMMNextCode($E11,TRUE)</f>
        <v>M7</v>
      </c>
      <c r="D12" s="358" t="str">
        <f t="shared" si="2"/>
        <v>SEK3F8_Quote</v>
      </c>
      <c r="E12" s="133">
        <f>_xll.qlIMMdate(C12,$E$4,Trigger)</f>
        <v>42907</v>
      </c>
      <c r="F12" s="133">
        <f>_xll.qlCalendarAdvance(Calendar,E12,$F$1,"mf",,Trigger)</f>
        <v>42999</v>
      </c>
      <c r="G12" s="183">
        <f>_xll.qlDayCounterYearFraction(DayCounter,E12,F12,,,Trigger)</f>
        <v>0.25555555555555554</v>
      </c>
      <c r="H12" s="21">
        <f>_xll.qlQuoteValue(D12,AllTriggers)</f>
        <v>4.4749999999999998E-3</v>
      </c>
      <c r="I12" s="184">
        <f>_xll.qlYieldTSDiscount(Discounting,E12,,AllTriggers)</f>
        <v>1.0032046285359275</v>
      </c>
      <c r="J12" s="184">
        <f>_xll.qlYieldTSDiscount(Discounting,F12,,AllTriggers)</f>
        <v>1.0025022932739418</v>
      </c>
      <c r="K12" s="21">
        <f t="shared" si="3"/>
        <v>2.7414086081444392E-3</v>
      </c>
      <c r="L12" s="21">
        <f t="shared" si="4"/>
        <v>1.7335913918555606E-3</v>
      </c>
      <c r="M12" s="182" t="b">
        <v>1</v>
      </c>
      <c r="N12" s="21">
        <f>_xll.qlInterpolationInterpolate(B3Minterpolation,E12,TRUE,Trigger)</f>
        <v>1.7335913918555606E-3</v>
      </c>
      <c r="O12" s="208">
        <f t="shared" si="5"/>
        <v>0</v>
      </c>
      <c r="P12" s="359">
        <f t="shared" si="6"/>
        <v>4.4262077934464461E-4</v>
      </c>
      <c r="R12" s="133">
        <f>_xll.qlCalendarAdvance(Calendar,R11,"1D","f")</f>
        <v>42195</v>
      </c>
      <c r="S12" s="133">
        <f>_xll.qlCalendarAdvance(Calendar,R12,$F$1,"mf",,Trigger)</f>
        <v>42289</v>
      </c>
      <c r="T12" s="183">
        <f>_xll.qlDayCounterYearFraction(DayCounter,R12,S12,,,Trigger)</f>
        <v>0.26111111111111113</v>
      </c>
      <c r="U12" s="21">
        <f>_xll.qlInterpolationInterpolate(B3Minterpolation,R12,TRUE)</f>
        <v>8.4450077526840393E-4</v>
      </c>
      <c r="V12" s="184">
        <f>_xll.qlYieldTSDiscount(Discounting,R12,,AllTriggers)</f>
        <v>1.0000901475846029</v>
      </c>
      <c r="W12" s="184">
        <f>_xll.qlYieldTSDiscount(Discounting,S12,,AllTriggers)</f>
        <v>1.0008612638890102</v>
      </c>
      <c r="X12" s="21">
        <f t="shared" si="0"/>
        <v>-2.9506700729989817E-3</v>
      </c>
      <c r="Y12" s="359">
        <f t="shared" si="1"/>
        <v>2.2065421223332266E-4</v>
      </c>
      <c r="AD12" s="296"/>
      <c r="AE12" s="296"/>
    </row>
    <row r="13" spans="1:31" ht="11.25" customHeight="1" x14ac:dyDescent="0.2">
      <c r="A13" s="270">
        <v>9</v>
      </c>
      <c r="C13" s="270" t="str">
        <f>_xll.qlIMMNextCode($E12,TRUE)</f>
        <v>U7</v>
      </c>
      <c r="D13" s="360" t="str">
        <f t="shared" si="2"/>
        <v>SEK3F9_Quote</v>
      </c>
      <c r="E13" s="361">
        <f>_xll.qlIMMdate(C13,$E$4,Trigger)</f>
        <v>42998</v>
      </c>
      <c r="F13" s="361">
        <f>_xll.qlCalendarAdvance(Calendar,E13,$F$1,"mf",,Trigger)</f>
        <v>43089</v>
      </c>
      <c r="G13" s="362">
        <f>_xll.qlDayCounterYearFraction(DayCounter,E13,F13,,,Trigger)</f>
        <v>0.25277777777777777</v>
      </c>
      <c r="H13" s="363">
        <f>_xll.qlQuoteValue(D13,AllTriggers)</f>
        <v>5.9749999999999994E-3</v>
      </c>
      <c r="I13" s="364">
        <f>_xll.qlYieldTSDiscount(Discounting,E13,,AllTriggers)</f>
        <v>1.0025117642950996</v>
      </c>
      <c r="J13" s="364">
        <f>_xll.qlYieldTSDiscount(Discounting,F13,,AllTriggers)</f>
        <v>1.0014809443162993</v>
      </c>
      <c r="K13" s="363">
        <f t="shared" si="3"/>
        <v>4.0719388322326116E-3</v>
      </c>
      <c r="L13" s="363">
        <f t="shared" si="4"/>
        <v>1.9030611677673878E-3</v>
      </c>
      <c r="M13" s="365" t="b">
        <v>1</v>
      </c>
      <c r="N13" s="363">
        <f>_xll.qlInterpolationInterpolate(B3Minterpolation,E13,TRUE,Trigger)</f>
        <v>1.9030611677673878E-3</v>
      </c>
      <c r="O13" s="366">
        <f t="shared" si="5"/>
        <v>0</v>
      </c>
      <c r="P13" s="367">
        <f t="shared" si="6"/>
        <v>4.8044150729204465E-4</v>
      </c>
      <c r="R13" s="133">
        <f>_xll.qlCalendarAdvance(Calendar,R12,"1D","f")</f>
        <v>42198</v>
      </c>
      <c r="S13" s="133">
        <f>_xll.qlCalendarAdvance(Calendar,R13,$F$1,"mf",,Trigger)</f>
        <v>42290</v>
      </c>
      <c r="T13" s="183">
        <f>_xll.qlDayCounterYearFraction(DayCounter,R13,S13,,,Trigger)</f>
        <v>0.25555555555555554</v>
      </c>
      <c r="U13" s="21">
        <f>_xll.qlInterpolationInterpolate(B3Minterpolation,R13,TRUE)</f>
        <v>8.32306289224985E-4</v>
      </c>
      <c r="V13" s="184">
        <f>_xll.qlYieldTSDiscount(Discounting,R13,,AllTriggers)</f>
        <v>1.0001147354901463</v>
      </c>
      <c r="W13" s="184">
        <f>_xll.qlYieldTSDiscount(Discounting,S13,,AllTriggers)</f>
        <v>1.0008694784916397</v>
      </c>
      <c r="X13" s="21">
        <f t="shared" si="0"/>
        <v>-2.9507765430187949E-3</v>
      </c>
      <c r="Y13" s="359">
        <f t="shared" si="1"/>
        <v>2.1283836023859495E-4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42199</v>
      </c>
      <c r="S14" s="133">
        <f>_xll.qlCalendarAdvance(Calendar,R14,$F$1,"mf",,Trigger)</f>
        <v>42291</v>
      </c>
      <c r="T14" s="183">
        <f>_xll.qlDayCounterYearFraction(DayCounter,R14,S14,,,Trigger)</f>
        <v>0.25555555555555554</v>
      </c>
      <c r="U14" s="21">
        <f>_xll.qlInterpolationInterpolate(B3Minterpolation,R14,TRUE)</f>
        <v>8.2827413001881445E-4</v>
      </c>
      <c r="V14" s="184">
        <f>_xll.qlYieldTSDiscount(Discounting,R14,,AllTriggers)</f>
        <v>1.0001229317134208</v>
      </c>
      <c r="W14" s="184">
        <f>_xll.qlYieldTSDiscount(Discounting,S14,,AllTriggers)</f>
        <v>1.0008776923077269</v>
      </c>
      <c r="X14" s="21">
        <f t="shared" si="0"/>
        <v>-2.9508211082098974E-3</v>
      </c>
      <c r="Y14" s="359">
        <f t="shared" si="1"/>
        <v>2.1180736326561472E-4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42200</v>
      </c>
      <c r="S15" s="133">
        <f>_xll.qlCalendarAdvance(Calendar,R15,$F$1,"mf",,Trigger)</f>
        <v>42292</v>
      </c>
      <c r="T15" s="183">
        <f>_xll.qlDayCounterYearFraction(DayCounter,R15,S15,,,Trigger)</f>
        <v>0.25555555555555554</v>
      </c>
      <c r="U15" s="21">
        <f>_xll.qlInterpolationInterpolate(B3Minterpolation,R15,TRUE)</f>
        <v>8.2426034739231397E-4</v>
      </c>
      <c r="V15" s="184">
        <f>_xll.qlYieldTSDiscount(Discounting,R15,,AllTriggers)</f>
        <v>1.0001311280716054</v>
      </c>
      <c r="W15" s="184">
        <f>_xll.qlYieldTSDiscount(Discounting,S15,,AllTriggers)</f>
        <v>1.0008859052159667</v>
      </c>
      <c r="X15" s="21">
        <f t="shared" si="0"/>
        <v>-2.950861598601372E-3</v>
      </c>
      <c r="Y15" s="359">
        <f t="shared" si="1"/>
        <v>2.1078106377731245E-4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42201</v>
      </c>
      <c r="S16" s="133">
        <f>_xll.qlCalendarAdvance(Calendar,R16,$F$1,"mf",,Trigger)</f>
        <v>42293</v>
      </c>
      <c r="T16" s="183">
        <f>_xll.qlDayCounterYearFraction(DayCounter,R16,S16,,,Trigger)</f>
        <v>0.25555555555555554</v>
      </c>
      <c r="U16" s="21">
        <f>_xll.qlInterpolationInterpolate(B3Minterpolation,R16,TRUE)</f>
        <v>8.2026616645079493E-4</v>
      </c>
      <c r="V16" s="184">
        <f>_xll.qlYieldTSDiscount(Discounting,R16,,AllTriggers)</f>
        <v>1.0001393245692183</v>
      </c>
      <c r="W16" s="184">
        <f>_xll.qlYieldTSDiscount(Discounting,S16,,AllTriggers)</f>
        <v>1.0008941170950494</v>
      </c>
      <c r="X16" s="21">
        <f t="shared" si="0"/>
        <v>-2.9508975227224409E-3</v>
      </c>
      <c r="Y16" s="359">
        <f t="shared" si="1"/>
        <v>2.0975977501805411E-4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42202</v>
      </c>
      <c r="S17" s="133">
        <f>_xll.qlCalendarAdvance(Calendar,R17,$F$1,"mf",,Trigger)</f>
        <v>42296</v>
      </c>
      <c r="T17" s="183">
        <f>_xll.qlDayCounterYearFraction(DayCounter,R17,S17,,,Trigger)</f>
        <v>0.26111111111111113</v>
      </c>
      <c r="U17" s="21">
        <f>_xll.qlInterpolationInterpolate(B3Minterpolation,R17,TRUE)</f>
        <v>8.1629281229956868E-4</v>
      </c>
      <c r="V17" s="184">
        <f>_xll.qlYieldTSDiscount(Discounting,R17,,AllTriggers)</f>
        <v>1.0001475212107778</v>
      </c>
      <c r="W17" s="184">
        <f>_xll.qlYieldTSDiscount(Discounting,S17,,AllTriggers)</f>
        <v>1.000918745344205</v>
      </c>
      <c r="X17" s="21">
        <f t="shared" si="0"/>
        <v>-2.9509132030185034E-3</v>
      </c>
      <c r="Y17" s="359">
        <f t="shared" si="1"/>
        <v>2.1328473327997732E-4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42205</v>
      </c>
      <c r="S18" s="133">
        <f>_xll.qlCalendarAdvance(Calendar,R18,$F$1,"mf",,Trigger)</f>
        <v>42297</v>
      </c>
      <c r="T18" s="183">
        <f>_xll.qlDayCounterYearFraction(DayCounter,R18,S18,,,Trigger)</f>
        <v>0.25555555555555554</v>
      </c>
      <c r="U18" s="21">
        <f>_xll.qlInterpolationInterpolate(B3Minterpolation,R18,TRUE)</f>
        <v>8.0450996164075988E-4</v>
      </c>
      <c r="V18" s="184">
        <f>_xll.qlYieldTSDiscount(Discounting,R18,,AllTriggers)</f>
        <v>1.0001721120443219</v>
      </c>
      <c r="W18" s="184">
        <f>_xll.qlYieldTSDiscount(Discounting,S18,,AllTriggers)</f>
        <v>1.0009269518934885</v>
      </c>
      <c r="X18" s="21">
        <f t="shared" si="0"/>
        <v>-2.9509857271053691E-3</v>
      </c>
      <c r="Y18" s="359">
        <f t="shared" si="1"/>
        <v>2.0573099222022579E-4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42206</v>
      </c>
      <c r="S19" s="133">
        <f>_xll.qlCalendarAdvance(Calendar,R19,$F$1,"mf",,Trigger)</f>
        <v>42298</v>
      </c>
      <c r="T19" s="183">
        <f>_xll.qlDayCounterYearFraction(DayCounter,R19,S19,,,Trigger)</f>
        <v>0.25555555555555554</v>
      </c>
      <c r="U19" s="21">
        <f>_xll.qlInterpolationInterpolate(B3Minterpolation,R19,TRUE)</f>
        <v>8.0063216570381819E-4</v>
      </c>
      <c r="V19" s="184">
        <f>_xll.qlYieldTSDiscount(Discounting,R19,,AllTriggers)</f>
        <v>1.0001803093068546</v>
      </c>
      <c r="W19" s="184">
        <f>_xll.qlYieldTSDiscount(Discounting,S19,,AllTriggers)</f>
        <v>1.0009351568070093</v>
      </c>
      <c r="X19" s="21">
        <f t="shared" si="0"/>
        <v>-2.9509914478218781E-3</v>
      </c>
      <c r="Y19" s="359">
        <f t="shared" si="1"/>
        <v>2.0473945583221671E-4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42207</v>
      </c>
      <c r="S20" s="133">
        <f>_xll.qlCalendarAdvance(Calendar,R20,$F$1,"mf",,Trigger)</f>
        <v>42299</v>
      </c>
      <c r="T20" s="183">
        <f>_xll.qlDayCounterYearFraction(DayCounter,R20,S20,,,Trigger)</f>
        <v>0.25555555555555554</v>
      </c>
      <c r="U20" s="21">
        <f>_xll.qlInterpolationInterpolate(B3Minterpolation,R20,TRUE)</f>
        <v>7.9678132208372589E-4</v>
      </c>
      <c r="V20" s="184">
        <f>_xll.qlYieldTSDiscount(Discounting,R20,,AllTriggers)</f>
        <v>1.0001885067359282</v>
      </c>
      <c r="W20" s="184">
        <f>_xll.qlYieldTSDiscount(Discounting,S20,,AllTriggers)</f>
        <v>1.0009433599634343</v>
      </c>
      <c r="X20" s="21">
        <f t="shared" si="0"/>
        <v>-2.9509896534454915E-3</v>
      </c>
      <c r="Y20" s="359">
        <f t="shared" si="1"/>
        <v>2.0375480967485684E-4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42208</v>
      </c>
      <c r="S21" s="133">
        <f>_xll.qlCalendarAdvance(Calendar,R21,$F$1,"mf",,Trigger)</f>
        <v>42300</v>
      </c>
      <c r="T21" s="183">
        <f>_xll.qlDayCounterYearFraction(DayCounter,R21,S21,,,Trigger)</f>
        <v>0.25555555555555554</v>
      </c>
      <c r="U21" s="21">
        <f>_xll.qlInterpolationInterpolate(B3Minterpolation,R21,TRUE)</f>
        <v>7.9295865588579443E-4</v>
      </c>
      <c r="V21" s="184">
        <f>_xll.qlYieldTSDiscount(Discounting,R21,,AllTriggers)</f>
        <v>1.0001967043360618</v>
      </c>
      <c r="W21" s="184">
        <f>_xll.qlYieldTSDiscount(Discounting,S21,,AllTriggers)</f>
        <v>1.0009515612414264</v>
      </c>
      <c r="X21" s="21">
        <f t="shared" si="0"/>
        <v>-2.9509798525049979E-3</v>
      </c>
      <c r="Y21" s="359">
        <f t="shared" si="1"/>
        <v>2.0277736700391943E-4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42209</v>
      </c>
      <c r="S22" s="133">
        <f>_xll.qlCalendarAdvance(Calendar,R22,$F$1,"mf",,Trigger)</f>
        <v>42303</v>
      </c>
      <c r="T22" s="183">
        <f>_xll.qlDayCounterYearFraction(DayCounter,R22,S22,,,Trigger)</f>
        <v>0.26111111111111113</v>
      </c>
      <c r="U22" s="21">
        <f>_xll.qlInterpolationInterpolate(B3Minterpolation,R22,TRUE)</f>
        <v>7.8916539221533517E-4</v>
      </c>
      <c r="V22" s="184">
        <f>_xll.qlYieldTSDiscount(Discounting,R22,,AllTriggers)</f>
        <v>1.0002049021117747</v>
      </c>
      <c r="W22" s="184">
        <f>_xll.qlYieldTSDiscount(Discounting,S22,,AllTriggers)</f>
        <v>1.0009761525913747</v>
      </c>
      <c r="X22" s="21">
        <f t="shared" si="0"/>
        <v>-2.9508447662558632E-3</v>
      </c>
      <c r="Y22" s="359">
        <f t="shared" si="1"/>
        <v>2.0619748345215367E-4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42212</v>
      </c>
      <c r="S23" s="133">
        <f>_xll.qlCalendarAdvance(Calendar,R23,$F$1,"mf",,Trigger)</f>
        <v>42304</v>
      </c>
      <c r="T23" s="183">
        <f>_xll.qlDayCounterYearFraction(DayCounter,R23,S23,,,Trigger)</f>
        <v>0.25555555555555554</v>
      </c>
      <c r="U23" s="21">
        <f>_xll.qlInterpolationInterpolate(B3Minterpolation,R23,TRUE)</f>
        <v>7.7797426742190359E-4</v>
      </c>
      <c r="V23" s="184">
        <f>_xll.qlYieldTSDiscount(Discounting,R23,,AllTriggers)</f>
        <v>1.0002294965375869</v>
      </c>
      <c r="W23" s="184">
        <f>_xll.qlYieldTSDiscount(Discounting,S23,,AllTriggers)</f>
        <v>1.0009843451421852</v>
      </c>
      <c r="X23" s="21">
        <f t="shared" si="0"/>
        <v>-2.9508507536929224E-3</v>
      </c>
      <c r="Y23" s="359">
        <f t="shared" si="1"/>
        <v>1.9894589635070242E-4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42213</v>
      </c>
      <c r="S24" s="133">
        <f>_xll.qlCalendarAdvance(Calendar,R24,$F$1,"mf",,Trigger)</f>
        <v>42305</v>
      </c>
      <c r="T24" s="183">
        <f>_xll.qlDayCounterYearFraction(DayCounter,R24,S24,,,Trigger)</f>
        <v>0.25555555555555554</v>
      </c>
      <c r="U24" s="21">
        <f>_xll.qlInterpolationInterpolate(B3Minterpolation,R24,TRUE)</f>
        <v>7.7431086491444633E-4</v>
      </c>
      <c r="V24" s="184">
        <f>_xll.qlYieldTSDiscount(Discounting,R24,,AllTriggers)</f>
        <v>1.0002376950608147</v>
      </c>
      <c r="W24" s="184">
        <f>_xll.qlYieldTSDiscount(Discounting,S24,,AllTriggers)</f>
        <v>1.0009925352078177</v>
      </c>
      <c r="X24" s="21">
        <f t="shared" si="0"/>
        <v>-2.9507935478724069E-3</v>
      </c>
      <c r="Y24" s="359">
        <f t="shared" si="1"/>
        <v>1.9800916999876102E-4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42214</v>
      </c>
      <c r="S25" s="133">
        <f>_xll.qlCalendarAdvance(Calendar,R25,$F$1,"mf",,Trigger)</f>
        <v>42306</v>
      </c>
      <c r="T25" s="183">
        <f>_xll.qlDayCounterYearFraction(DayCounter,R25,S25,,,Trigger)</f>
        <v>0.25555555555555554</v>
      </c>
      <c r="U25" s="21">
        <f>_xll.qlInterpolationInterpolate(B3Minterpolation,R25,TRUE)</f>
        <v>7.7068299046101796E-4</v>
      </c>
      <c r="V25" s="184">
        <f>_xll.qlYieldTSDiscount(Discounting,R25,,AllTriggers)</f>
        <v>1.0002458937822214</v>
      </c>
      <c r="W25" s="184">
        <f>_xll.qlYieldTSDiscount(Discounting,S25,,AllTriggers)</f>
        <v>1.001000722666912</v>
      </c>
      <c r="X25" s="21">
        <f t="shared" si="0"/>
        <v>-2.9507253866631216E-3</v>
      </c>
      <c r="Y25" s="359">
        <f t="shared" si="1"/>
        <v>1.9708152669757484E-4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42215</v>
      </c>
      <c r="S26" s="133">
        <f>_xll.qlCalendarAdvance(Calendar,R26,$F$1,"mf",,Trigger)</f>
        <v>42307</v>
      </c>
      <c r="T26" s="183">
        <f>_xll.qlDayCounterYearFraction(DayCounter,R26,S26,,,Trigger)</f>
        <v>0.25555555555555554</v>
      </c>
      <c r="U26" s="21">
        <f>_xll.qlInterpolationInterpolate(B3Minterpolation,R26,TRUE)</f>
        <v>7.6709186916692975E-4</v>
      </c>
      <c r="V26" s="184">
        <f>_xll.qlYieldTSDiscount(Discounting,R26,,AllTriggers)</f>
        <v>1.0002540927042209</v>
      </c>
      <c r="W26" s="184">
        <f>_xll.qlYieldTSDiscount(Discounting,S26,,AllTriggers)</f>
        <v>1.0010089074872004</v>
      </c>
      <c r="X26" s="21">
        <f t="shared" si="0"/>
        <v>-2.9506461348549622E-3</v>
      </c>
      <c r="Y26" s="359">
        <f t="shared" si="1"/>
        <v>1.9616327972989299E-4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42216</v>
      </c>
      <c r="S27" s="133">
        <f>_xll.qlCalendarAdvance(Calendar,R27,$F$1,"mf",,Trigger)</f>
        <v>42307</v>
      </c>
      <c r="T27" s="183">
        <f>_xll.qlDayCounterYearFraction(DayCounter,R27,S27,,,Trigger)</f>
        <v>0.25277777777777777</v>
      </c>
      <c r="U27" s="21">
        <f>_xll.qlInterpolationInterpolate(B3Minterpolation,R27,TRUE)</f>
        <v>7.6353872613749304E-4</v>
      </c>
      <c r="V27" s="184">
        <f>_xll.qlYieldTSDiscount(Discounting,R27,,AllTriggers)</f>
        <v>1.0002622918208031</v>
      </c>
      <c r="W27" s="184">
        <f>_xll.qlYieldTSDiscount(Discounting,S27,,AllTriggers)</f>
        <v>1.0010089074872004</v>
      </c>
      <c r="X27" s="21">
        <f t="shared" si="0"/>
        <v>-2.9506674440624371E-3</v>
      </c>
      <c r="Y27" s="359">
        <f t="shared" si="1"/>
        <v>1.9313103467612206E-4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42219</v>
      </c>
      <c r="S28" s="133">
        <f>_xll.qlCalendarAdvance(Calendar,R28,$F$1,"mf",,Trigger)</f>
        <v>42311</v>
      </c>
      <c r="T28" s="183">
        <f>_xll.qlDayCounterYearFraction(DayCounter,R28,S28,,,Trigger)</f>
        <v>0.25555555555555554</v>
      </c>
      <c r="U28" s="21">
        <f>_xll.qlInterpolationInterpolate(B3Minterpolation,R28,TRUE)</f>
        <v>7.5311941769020578E-4</v>
      </c>
      <c r="V28" s="184">
        <f>_xll.qlYieldTSDiscount(Discounting,R28,,AllTriggers)</f>
        <v>1.0002868902568749</v>
      </c>
      <c r="W28" s="184">
        <f>_xll.qlYieldTSDiscount(Discounting,S28,,AllTriggers)</f>
        <v>1.0010416277539445</v>
      </c>
      <c r="X28" s="21">
        <f t="shared" si="0"/>
        <v>-2.9502475809455213E-3</v>
      </c>
      <c r="Y28" s="371">
        <f t="shared" si="1"/>
        <v>1.9259052246596288E-4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42220</v>
      </c>
      <c r="S29" s="133">
        <f>_xll.qlCalendarAdvance(Calendar,R29,$F$1,"mf",,Trigger)</f>
        <v>42312</v>
      </c>
      <c r="T29" s="183">
        <f>_xll.qlDayCounterYearFraction(DayCounter,R29,S29,,,Trigger)</f>
        <v>0.25555555555555554</v>
      </c>
      <c r="U29" s="21">
        <f>_xll.qlInterpolationInterpolate(B3Minterpolation,R29,TRUE)</f>
        <v>7.497304387724886E-4</v>
      </c>
      <c r="V29" s="184">
        <f>_xll.qlYieldTSDiscount(Discounting,R29,,AllTriggers)</f>
        <v>1.0002950900706165</v>
      </c>
      <c r="W29" s="184">
        <f>_xll.qlYieldTSDiscount(Discounting,S29,,AllTriggers)</f>
        <v>1.001049805133299</v>
      </c>
      <c r="X29" s="21">
        <f t="shared" si="0"/>
        <v>-2.9501357862828639E-3</v>
      </c>
      <c r="Y29" s="371">
        <f t="shared" si="1"/>
        <v>1.9172395765641197E-4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42221</v>
      </c>
      <c r="S30" s="133">
        <f>_xll.qlCalendarAdvance(Calendar,R30,$F$1,"mf",,Trigger)</f>
        <v>42313</v>
      </c>
      <c r="T30" s="183">
        <f>_xll.qlDayCounterYearFraction(DayCounter,R30,S30,,,Trigger)</f>
        <v>0.25555555555555554</v>
      </c>
      <c r="U30" s="21">
        <f>_xll.qlInterpolationInterpolate(B3Minterpolation,R30,TRUE)</f>
        <v>7.4638556364597973E-4</v>
      </c>
      <c r="V30" s="184">
        <f>_xll.qlYieldTSDiscount(Discounting,R30,,AllTriggers)</f>
        <v>1.0003032900383539</v>
      </c>
      <c r="W30" s="184">
        <f>_xll.qlYieldTSDiscount(Discounting,S30,,AllTriggers)</f>
        <v>1.0010579822642762</v>
      </c>
      <c r="X30" s="21">
        <f t="shared" si="0"/>
        <v>-2.9500224213384755E-3</v>
      </c>
      <c r="Y30" s="371">
        <f t="shared" si="1"/>
        <v>1.9086866938890188E-4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42222</v>
      </c>
      <c r="S31" s="133">
        <f>_xll.qlCalendarAdvance(Calendar,R31,$F$1,"mf",,Trigger)</f>
        <v>42314</v>
      </c>
      <c r="T31" s="183">
        <f>_xll.qlDayCounterYearFraction(DayCounter,R31,S31,,,Trigger)</f>
        <v>0.25555555555555554</v>
      </c>
      <c r="U31" s="21">
        <f>_xll.qlInterpolationInterpolate(B3Minterpolation,R31,TRUE)</f>
        <v>7.4308601741599042E-4</v>
      </c>
      <c r="V31" s="184">
        <f>_xll.qlYieldTSDiscount(Discounting,R31,,AllTriggers)</f>
        <v>1.0003114901519694</v>
      </c>
      <c r="W31" s="184">
        <f>_xll.qlYieldTSDiscount(Discounting,S31,,AllTriggers)</f>
        <v>1.001066159560178</v>
      </c>
      <c r="X31" s="21">
        <f t="shared" si="0"/>
        <v>-2.9499091322103968E-3</v>
      </c>
      <c r="Y31" s="371">
        <f t="shared" si="1"/>
        <v>1.900249710310158E-4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42223</v>
      </c>
      <c r="S32" s="133">
        <f>_xll.qlCalendarAdvance(Calendar,R32,$F$1,"mf",,Trigger)</f>
        <v>42317</v>
      </c>
      <c r="T32" s="183">
        <f>_xll.qlDayCounterYearFraction(DayCounter,R32,S32,,,Trigger)</f>
        <v>0.26111111111111113</v>
      </c>
      <c r="U32" s="21">
        <f>_xll.qlInterpolationInterpolate(B3Minterpolation,R32,TRUE)</f>
        <v>7.3983302518783203E-4</v>
      </c>
      <c r="V32" s="184">
        <f>_xll.qlYieldTSDiscount(Discounting,R32,,AllTriggers)</f>
        <v>1.0003196904033442</v>
      </c>
      <c r="W32" s="184">
        <f>_xll.qlYieldTSDiscount(Discounting,S32,,AllTriggers)</f>
        <v>1.0010906965706456</v>
      </c>
      <c r="X32" s="21">
        <f t="shared" si="0"/>
        <v>-2.9495724883009593E-3</v>
      </c>
      <c r="Y32" s="371">
        <f t="shared" si="1"/>
        <v>1.9330883219711181E-4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42226</v>
      </c>
      <c r="S33" s="133">
        <f>_xll.qlCalendarAdvance(Calendar,R33,$F$1,"mf",,Trigger)</f>
        <v>42318</v>
      </c>
      <c r="T33" s="183">
        <f>_xll.qlDayCounterYearFraction(DayCounter,R33,S33,,,Trigger)</f>
        <v>0.25555555555555554</v>
      </c>
      <c r="U33" s="21">
        <f>_xll.qlInterpolationInterpolate(B3Minterpolation,R33,TRUE)</f>
        <v>7.3036562356745588E-4</v>
      </c>
      <c r="V33" s="184">
        <f>_xll.qlYieldTSDiscount(Discounting,R33,,AllTriggers)</f>
        <v>1.0003442919028376</v>
      </c>
      <c r="W33" s="184">
        <f>_xll.qlYieldTSDiscount(Discounting,S33,,AllTriggers)</f>
        <v>1.0010988786595287</v>
      </c>
      <c r="X33" s="21">
        <f t="shared" si="0"/>
        <v>-2.9494896558128663E-3</v>
      </c>
      <c r="Y33" s="359">
        <f t="shared" si="1"/>
        <v>1.8677234403290387E-4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42227</v>
      </c>
      <c r="S34" s="133">
        <f>_xll.qlCalendarAdvance(Calendar,R34,$F$1,"mf",,Trigger)</f>
        <v>42319</v>
      </c>
      <c r="T34" s="183">
        <f>_xll.qlDayCounterYearFraction(DayCounter,R34,S34,,,Trigger)</f>
        <v>0.25555555555555554</v>
      </c>
      <c r="U34" s="21">
        <f>_xll.qlInterpolationInterpolate(B3Minterpolation,R34,TRUE)</f>
        <v>7.2731109839973456E-4</v>
      </c>
      <c r="V34" s="184">
        <f>_xll.qlYieldTSDiscount(Discounting,R34,,AllTriggers)</f>
        <v>1.000352492624061</v>
      </c>
      <c r="W34" s="184">
        <f>_xll.qlYieldTSDiscount(Discounting,S34,,AllTriggers)</f>
        <v>1.0011070629800458</v>
      </c>
      <c r="X34" s="21">
        <f t="shared" si="0"/>
        <v>-2.9494014372308617E-3</v>
      </c>
      <c r="Y34" s="359">
        <f t="shared" si="1"/>
        <v>1.8599129571833243E-4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42228</v>
      </c>
      <c r="S35" s="133">
        <f>_xll.qlCalendarAdvance(Calendar,R35,$F$1,"mf",,Trigger)</f>
        <v>42320</v>
      </c>
      <c r="T35" s="183">
        <f>_xll.qlDayCounterYearFraction(DayCounter,R35,S35,,,Trigger)</f>
        <v>0.25555555555555554</v>
      </c>
      <c r="U35" s="21">
        <f>_xll.qlInterpolationInterpolate(B3Minterpolation,R35,TRUE)</f>
        <v>7.2430925276040085E-4</v>
      </c>
      <c r="V35" s="184">
        <f>_xll.qlYieldTSDiscount(Discounting,R35,,AllTriggers)</f>
        <v>1.000360693442448</v>
      </c>
      <c r="W35" s="184">
        <f>_xll.qlYieldTSDiscount(Discounting,S35,,AllTriggers)</f>
        <v>1.0011152499455795</v>
      </c>
      <c r="X35" s="21">
        <f t="shared" si="0"/>
        <v>-2.9493231710521063E-3</v>
      </c>
      <c r="Y35" s="359">
        <f t="shared" si="1"/>
        <v>1.8522371750614894E-4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42229</v>
      </c>
      <c r="S36" s="133">
        <f>_xll.qlCalendarAdvance(Calendar,R36,$F$1,"mf",,Trigger)</f>
        <v>42321</v>
      </c>
      <c r="T36" s="183">
        <f>_xll.qlDayCounterYearFraction(DayCounter,R36,S36,,,Trigger)</f>
        <v>0.25555555555555554</v>
      </c>
      <c r="U36" s="21">
        <f>_xll.qlInterpolationInterpolate(B3Minterpolation,R36,TRUE)</f>
        <v>7.2136131175476611E-4</v>
      </c>
      <c r="V36" s="184">
        <f>_xll.qlYieldTSDiscount(Discounting,R36,,AllTriggers)</f>
        <v>1.0003688943498787</v>
      </c>
      <c r="W36" s="184">
        <f>_xll.qlYieldTSDiscount(Discounting,S36,,AllTriggers)</f>
        <v>1.0011234399695257</v>
      </c>
      <c r="X36" s="21">
        <f t="shared" si="0"/>
        <v>-2.9492565033733377E-3</v>
      </c>
      <c r="Y36" s="359">
        <f t="shared" si="1"/>
        <v>1.8446992275888087E-4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42230</v>
      </c>
      <c r="S37" s="133">
        <f>_xll.qlCalendarAdvance(Calendar,R37,$F$1,"mf",,Trigger)</f>
        <v>42324</v>
      </c>
      <c r="T37" s="183">
        <f>_xll.qlDayCounterYearFraction(DayCounter,R37,S37,,,Trigger)</f>
        <v>0.26111111111111113</v>
      </c>
      <c r="U37" s="21">
        <f>_xll.qlInterpolationInterpolate(B3Minterpolation,R37,TRUE)</f>
        <v>7.184685004881417E-4</v>
      </c>
      <c r="V37" s="184">
        <f>_xll.qlYieldTSDiscount(Discounting,R37,,AllTriggers)</f>
        <v>1.0003770953382327</v>
      </c>
      <c r="W37" s="184">
        <f>_xll.qlYieldTSDiscount(Discounting,S37,,AllTriggers)</f>
        <v>1.0011480325260032</v>
      </c>
      <c r="X37" s="21">
        <f t="shared" si="0"/>
        <v>-2.9491396916819907E-3</v>
      </c>
      <c r="Y37" s="359">
        <f t="shared" si="1"/>
        <v>1.877270600155824E-4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42233</v>
      </c>
      <c r="S38" s="133">
        <f>_xll.qlCalendarAdvance(Calendar,R38,$F$1,"mf",,Trigger)</f>
        <v>42325</v>
      </c>
      <c r="T38" s="183">
        <f>_xll.qlDayCounterYearFraction(DayCounter,R38,S38,,,Trigger)</f>
        <v>0.25555555555555554</v>
      </c>
      <c r="U38" s="21">
        <f>_xll.qlInterpolationInterpolate(B3Minterpolation,R38,TRUE)</f>
        <v>7.1013309617544353E-4</v>
      </c>
      <c r="V38" s="184">
        <f>_xll.qlYieldTSDiscount(Discounting,R38,,AllTriggers)</f>
        <v>1.0004016987076287</v>
      </c>
      <c r="W38" s="184">
        <f>_xll.qlYieldTSDiscount(Discounting,S38,,AllTriggers)</f>
        <v>1.001156238917831</v>
      </c>
      <c r="X38" s="21">
        <f t="shared" si="0"/>
        <v>-2.9491387396328394E-3</v>
      </c>
      <c r="Y38" s="359">
        <f t="shared" si="1"/>
        <v>1.8159884565314789E-4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42234</v>
      </c>
      <c r="S39" s="133">
        <f>_xll.qlCalendarAdvance(Calendar,R39,$F$1,"mf",,Trigger)</f>
        <v>42326</v>
      </c>
      <c r="T39" s="183">
        <f>_xll.qlDayCounterYearFraction(DayCounter,R39,S39,,,Trigger)</f>
        <v>0.25555555555555554</v>
      </c>
      <c r="U39" s="21">
        <f>_xll.qlInterpolationInterpolate(B3Minterpolation,R39,TRUE)</f>
        <v>7.0747305491797373E-4</v>
      </c>
      <c r="V39" s="184">
        <f>_xll.qlYieldTSDiscount(Discounting,R39,,AllTriggers)</f>
        <v>1.0004098999384683</v>
      </c>
      <c r="W39" s="184">
        <f>_xll.qlYieldTSDiscount(Discounting,S39,,AllTriggers)</f>
        <v>1.0011644504352553</v>
      </c>
      <c r="X39" s="21">
        <f t="shared" si="0"/>
        <v>-2.9491547559315611E-3</v>
      </c>
      <c r="Y39" s="359">
        <f t="shared" si="1"/>
        <v>1.8091866865049063E-4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42235</v>
      </c>
      <c r="S40" s="133">
        <f>_xll.qlCalendarAdvance(Calendar,R40,$F$1,"mf",,Trigger)</f>
        <v>42327</v>
      </c>
      <c r="T40" s="183">
        <f>_xll.qlDayCounterYearFraction(DayCounter,R40,S40,,,Trigger)</f>
        <v>0.25555555555555554</v>
      </c>
      <c r="U40" s="21">
        <f>_xll.qlInterpolationInterpolate(B3Minterpolation,R40,TRUE)</f>
        <v>7.0487426892607095E-4</v>
      </c>
      <c r="V40" s="184">
        <f>_xll.qlYieldTSDiscount(Discounting,R40,,AllTriggers)</f>
        <v>1.0004181012096263</v>
      </c>
      <c r="W40" s="184">
        <f>_xll.qlYieldTSDiscount(Discounting,S40,,AllTriggers)</f>
        <v>1.0011726674917534</v>
      </c>
      <c r="X40" s="21">
        <f t="shared" si="0"/>
        <v>-2.949192247317644E-3</v>
      </c>
      <c r="Y40" s="359">
        <f t="shared" si="1"/>
        <v>1.8025415527641952E-4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42236</v>
      </c>
      <c r="S41" s="133">
        <f>_xll.qlCalendarAdvance(Calendar,R41,$F$1,"mf",,Trigger)</f>
        <v>42328</v>
      </c>
      <c r="T41" s="183">
        <f>_xll.qlDayCounterYearFraction(DayCounter,R41,S41,,,Trigger)</f>
        <v>0.25555555555555554</v>
      </c>
      <c r="U41" s="21">
        <f>_xll.qlInterpolationInterpolate(B3Minterpolation,R41,TRUE)</f>
        <v>7.0233796330504633E-4</v>
      </c>
      <c r="V41" s="184">
        <f>_xll.qlYieldTSDiscount(Discounting,R41,,AllTriggers)</f>
        <v>1.0004263025129805</v>
      </c>
      <c r="W41" s="184">
        <f>_xll.qlYieldTSDiscount(Discounting,S41,,AllTriggers)</f>
        <v>1.0011808905008164</v>
      </c>
      <c r="X41" s="21">
        <f t="shared" si="0"/>
        <v>-2.9492528598886931E-3</v>
      </c>
      <c r="Y41" s="359">
        <f t="shared" si="1"/>
        <v>1.7960561888986595E-4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42237</v>
      </c>
      <c r="S42" s="133">
        <f>_xll.qlCalendarAdvance(Calendar,R42,$F$1,"mf",,Trigger)</f>
        <v>42331</v>
      </c>
      <c r="T42" s="183">
        <f>_xll.qlDayCounterYearFraction(DayCounter,R42,S42,,,Trigger)</f>
        <v>0.26111111111111113</v>
      </c>
      <c r="U42" s="21">
        <f>_xll.qlInterpolationInterpolate(B3Minterpolation,R42,TRUE)</f>
        <v>6.9986536316021157E-4</v>
      </c>
      <c r="V42" s="184">
        <f>_xll.qlYieldTSDiscount(Discounting,R42,,AllTriggers)</f>
        <v>1.000434503840409</v>
      </c>
      <c r="W42" s="184">
        <f>_xll.qlYieldTSDiscount(Discounting,S42,,AllTriggers)</f>
        <v>1.0012055993785141</v>
      </c>
      <c r="X42" s="21">
        <f t="shared" si="0"/>
        <v>-2.9495758412609965E-3</v>
      </c>
      <c r="Y42" s="359">
        <f t="shared" si="1"/>
        <v>1.8286675227987994E-4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42240</v>
      </c>
      <c r="S43" s="133">
        <f>_xll.qlCalendarAdvance(Calendar,R43,$F$1,"mf",,Trigger)</f>
        <v>42332</v>
      </c>
      <c r="T43" s="183">
        <f>_xll.qlDayCounterYearFraction(DayCounter,R43,S43,,,Trigger)</f>
        <v>0.25555555555555554</v>
      </c>
      <c r="U43" s="21">
        <f>_xll.qlInterpolationInterpolate(B3Minterpolation,R43,TRUE)</f>
        <v>6.9284204663595849E-4</v>
      </c>
      <c r="V43" s="184">
        <f>_xll.qlYieldTSDiscount(Discounting,R43,,AllTriggers)</f>
        <v>1.0004591078859146</v>
      </c>
      <c r="W43" s="184">
        <f>_xll.qlYieldTSDiscount(Discounting,S43,,AllTriggers)</f>
        <v>1.0012138503330241</v>
      </c>
      <c r="X43" s="21">
        <f t="shared" si="0"/>
        <v>-2.9497594439451356E-3</v>
      </c>
      <c r="Y43" s="359">
        <f t="shared" si="1"/>
        <v>1.7717751037529247E-4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42241</v>
      </c>
      <c r="S44" s="133">
        <f>_xll.qlCalendarAdvance(Calendar,R44,$F$1,"mf",,Trigger)</f>
        <v>42333</v>
      </c>
      <c r="T44" s="183">
        <f>_xll.qlDayCounterYearFraction(DayCounter,R44,S44,,,Trigger)</f>
        <v>0.25555555555555554</v>
      </c>
      <c r="U44" s="21">
        <f>_xll.qlInterpolationInterpolate(B3Minterpolation,R44,TRUE)</f>
        <v>6.9063651944899587E-4</v>
      </c>
      <c r="V44" s="184">
        <f>_xll.qlYieldTSDiscount(Discounting,R44,,AllTriggers)</f>
        <v>1.0004673092284135</v>
      </c>
      <c r="W44" s="184">
        <f>_xll.qlYieldTSDiscount(Discounting,S44,,AllTriggers)</f>
        <v>1.0012221093077611</v>
      </c>
      <c r="X44" s="21">
        <f t="shared" si="0"/>
        <v>-2.9499603538760016E-3</v>
      </c>
      <c r="Y44" s="359">
        <f t="shared" si="1"/>
        <v>1.7661355929074346E-4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42242</v>
      </c>
      <c r="S45" s="133">
        <f>_xll.qlCalendarAdvance(Calendar,R45,$F$1,"mf",,Trigger)</f>
        <v>42334</v>
      </c>
      <c r="T45" s="183">
        <f>_xll.qlDayCounterYearFraction(DayCounter,R45,S45,,,Trigger)</f>
        <v>0.25555555555555554</v>
      </c>
      <c r="U45" s="21">
        <f>_xll.qlInterpolationInterpolate(B3Minterpolation,R45,TRUE)</f>
        <v>6.8850082326477947E-4</v>
      </c>
      <c r="V45" s="184">
        <f>_xll.qlYieldTSDiscount(Discounting,R45,,AllTriggers)</f>
        <v>1.0004755105543721</v>
      </c>
      <c r="W45" s="184">
        <f>_xll.qlYieldTSDiscount(Discounting,S45,,AllTriggers)</f>
        <v>1.0012303767162987</v>
      </c>
      <c r="X45" s="21">
        <f t="shared" si="0"/>
        <v>-2.950194261558355E-3</v>
      </c>
      <c r="Y45" s="359">
        <f t="shared" si="1"/>
        <v>1.7606746533714696E-4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42243</v>
      </c>
      <c r="S46" s="133">
        <f>_xll.qlCalendarAdvance(Calendar,R46,$F$1,"mf",,Trigger)</f>
        <v>42335</v>
      </c>
      <c r="T46" s="183">
        <f>_xll.qlDayCounterYearFraction(DayCounter,R46,S46,,,Trigger)</f>
        <v>0.25555555555555554</v>
      </c>
      <c r="U46" s="21">
        <f>_xll.qlInterpolationInterpolate(B3Minterpolation,R46,TRUE)</f>
        <v>6.8643618318862086E-4</v>
      </c>
      <c r="V46" s="184">
        <f>_xll.qlYieldTSDiscount(Discounting,R46,,AllTriggers)</f>
        <v>1.0004837118556669</v>
      </c>
      <c r="W46" s="184">
        <f>_xll.qlYieldTSDiscount(Discounting,S46,,AllTriggers)</f>
        <v>1.0012386529722248</v>
      </c>
      <c r="X46" s="21">
        <f t="shared" si="0"/>
        <v>-2.9504628130850238E-3</v>
      </c>
      <c r="Y46" s="359">
        <f t="shared" si="1"/>
        <v>1.7553954187096111E-4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42244</v>
      </c>
      <c r="S47" s="133">
        <f>_xll.qlCalendarAdvance(Calendar,R47,$F$1,"mf",,Trigger)</f>
        <v>42338</v>
      </c>
      <c r="T47" s="183">
        <f>_xll.qlDayCounterYearFraction(DayCounter,R47,S47,,,Trigger)</f>
        <v>0.26111111111111113</v>
      </c>
      <c r="U47" s="21">
        <f>_xll.qlInterpolationInterpolate(B3Minterpolation,R47,TRUE)</f>
        <v>6.8444382432583119E-4</v>
      </c>
      <c r="V47" s="184">
        <f>_xll.qlYieldTSDiscount(Discounting,R47,,AllTriggers)</f>
        <v>1.0004919131241736</v>
      </c>
      <c r="W47" s="184">
        <f>_xll.qlYieldTSDiscount(Discounting,S47,,AllTriggers)</f>
        <v>1.0012635389604183</v>
      </c>
      <c r="X47" s="21">
        <f t="shared" si="0"/>
        <v>-2.951433525858211E-3</v>
      </c>
      <c r="Y47" s="359">
        <f t="shared" si="1"/>
        <v>1.7883772903665236E-4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42247</v>
      </c>
      <c r="S48" s="133">
        <f>_xll.qlCalendarAdvance(Calendar,R48,$F$1,"mf",,Trigger)</f>
        <v>42338</v>
      </c>
      <c r="T48" s="183">
        <f>_xll.qlDayCounterYearFraction(DayCounter,R48,S48,,,Trigger)</f>
        <v>0.25277777777777777</v>
      </c>
      <c r="U48" s="21">
        <f>_xll.qlInterpolationInterpolate(B3Minterpolation,R48,TRUE)</f>
        <v>6.7891268607079029E-4</v>
      </c>
      <c r="V48" s="184">
        <f>_xll.qlYieldTSDiscount(Discounting,R48,,AllTriggers)</f>
        <v>1.000516516651722</v>
      </c>
      <c r="W48" s="184">
        <f>_xll.qlYieldTSDiscount(Discounting,S48,,AllTriggers)</f>
        <v>1.0012635389604183</v>
      </c>
      <c r="X48" s="21">
        <f t="shared" si="0"/>
        <v>-2.9515237241299484E-3</v>
      </c>
      <c r="Y48" s="359">
        <f t="shared" si="1"/>
        <v>1.7172742742477769E-4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42248</v>
      </c>
      <c r="S49" s="133">
        <f>_xll.qlCalendarAdvance(Calendar,R49,$F$1,"mf",,Trigger)</f>
        <v>42339</v>
      </c>
      <c r="T49" s="183">
        <f>_xll.qlDayCounterYearFraction(DayCounter,R49,S49,,,Trigger)</f>
        <v>0.25277777777777777</v>
      </c>
      <c r="U49" s="21">
        <f>_xll.qlInterpolationInterpolate(B3Minterpolation,R49,TRUE)</f>
        <v>6.7722170311459041E-4</v>
      </c>
      <c r="V49" s="184">
        <f>_xll.qlYieldTSDiscount(Discounting,R49,,AllTriggers)</f>
        <v>1.000524717714796</v>
      </c>
      <c r="W49" s="184">
        <f>_xll.qlYieldTSDiscount(Discounting,S49,,AllTriggers)</f>
        <v>1.0012718545901291</v>
      </c>
      <c r="X49" s="21">
        <f t="shared" si="0"/>
        <v>-2.9519518664677946E-3</v>
      </c>
      <c r="Y49" s="359">
        <f t="shared" si="1"/>
        <v>1.7129975727813942E-4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42249</v>
      </c>
      <c r="S50" s="133">
        <f>_xll.qlCalendarAdvance(Calendar,R50,$F$1,"mf",,Trigger)</f>
        <v>42340</v>
      </c>
      <c r="T50" s="183">
        <f>_xll.qlDayCounterYearFraction(DayCounter,R50,S50,,,Trigger)</f>
        <v>0.25277777777777777</v>
      </c>
      <c r="U50" s="21">
        <f>_xll.qlInterpolationInterpolate(B3Minterpolation,R50,TRUE)</f>
        <v>6.7560912689831616E-4</v>
      </c>
      <c r="V50" s="184">
        <f>_xll.qlYieldTSDiscount(Discounting,R50,,AllTriggers)</f>
        <v>1.0005329187462439</v>
      </c>
      <c r="W50" s="184">
        <f>_xll.qlYieldTSDiscount(Discounting,S50,,AllTriggers)</f>
        <v>1.001280180223826</v>
      </c>
      <c r="X50" s="21">
        <f t="shared" si="0"/>
        <v>-2.9524196227595167E-3</v>
      </c>
      <c r="Y50" s="359">
        <f t="shared" si="1"/>
        <v>1.7089191946309832E-4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42250</v>
      </c>
      <c r="S51" s="133">
        <f>_xll.qlCalendarAdvance(Calendar,R51,$F$1,"mf",,Trigger)</f>
        <v>42341</v>
      </c>
      <c r="T51" s="183">
        <f>_xll.qlDayCounterYearFraction(DayCounter,R51,S51,,,Trigger)</f>
        <v>0.25277777777777777</v>
      </c>
      <c r="U51" s="21">
        <f>_xll.qlInterpolationInterpolate(B3Minterpolation,R51,TRUE)</f>
        <v>6.7407618252727911E-4</v>
      </c>
      <c r="V51" s="184">
        <f>_xll.qlYieldTSDiscount(Discounting,R51,,AllTriggers)</f>
        <v>1.0005411197797276</v>
      </c>
      <c r="W51" s="184">
        <f>_xll.qlYieldTSDiscount(Discounting,S51,,AllTriggers)</f>
        <v>1.0012885153636026</v>
      </c>
      <c r="X51" s="21">
        <f t="shared" si="0"/>
        <v>-2.9529248932702225E-3</v>
      </c>
      <c r="Y51" s="359">
        <f t="shared" si="1"/>
        <v>1.7050422376593987E-4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42251</v>
      </c>
      <c r="S52" s="133">
        <f>_xll.qlCalendarAdvance(Calendar,R52,$F$1,"mf",,Trigger)</f>
        <v>42342</v>
      </c>
      <c r="T52" s="183">
        <f>_xll.qlDayCounterYearFraction(DayCounter,R52,S52,,,Trigger)</f>
        <v>0.25277777777777777</v>
      </c>
      <c r="U52" s="21">
        <f>_xll.qlInterpolationInterpolate(B3Minterpolation,R52,TRUE)</f>
        <v>6.7262409510679042E-4</v>
      </c>
      <c r="V52" s="184">
        <f>_xll.qlYieldTSDiscount(Discounting,R52,,AllTriggers)</f>
        <v>1.0005493208489094</v>
      </c>
      <c r="W52" s="184">
        <f>_xll.qlYieldTSDiscount(Discounting,S52,,AllTriggers)</f>
        <v>1.0012968595115368</v>
      </c>
      <c r="X52" s="21">
        <f t="shared" si="0"/>
        <v>-2.953465578269413E-3</v>
      </c>
      <c r="Y52" s="359">
        <f t="shared" si="1"/>
        <v>1.7013697997444525E-4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42254</v>
      </c>
      <c r="S53" s="133">
        <f>_xll.qlCalendarAdvance(Calendar,R53,$F$1,"mf",,Trigger)</f>
        <v>42345</v>
      </c>
      <c r="T53" s="183">
        <f>_xll.qlDayCounterYearFraction(DayCounter,R53,S53,,,Trigger)</f>
        <v>0.25277777777777777</v>
      </c>
      <c r="U53" s="21">
        <f>_xll.qlInterpolationInterpolate(B3Minterpolation,R53,TRUE)</f>
        <v>6.6876522560172847E-4</v>
      </c>
      <c r="V53" s="184">
        <f>_xll.qlYieldTSDiscount(Discounting,R53,,AllTriggers)</f>
        <v>1.0005739246072864</v>
      </c>
      <c r="W53" s="184">
        <f>_xll.qlYieldTSDiscount(Discounting,S53,,AllTriggers)</f>
        <v>1.0013219410248164</v>
      </c>
      <c r="X53" s="21">
        <f t="shared" si="0"/>
        <v>-2.9552791228788437E-3</v>
      </c>
      <c r="Y53" s="359">
        <f t="shared" si="1"/>
        <v>1.6916105793020114E-4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42255</v>
      </c>
      <c r="S54" s="133">
        <f>_xll.qlCalendarAdvance(Calendar,R54,$F$1,"mf",,Trigger)</f>
        <v>42346</v>
      </c>
      <c r="T54" s="183">
        <f>_xll.qlDayCounterYearFraction(DayCounter,R54,S54,,,Trigger)</f>
        <v>0.25277777777777777</v>
      </c>
      <c r="U54" s="21">
        <f>_xll.qlInterpolationInterpolate(B3Minterpolation,R54,TRUE)</f>
        <v>6.6764881703654699E-4</v>
      </c>
      <c r="V54" s="184">
        <f>_xll.qlYieldTSDiscount(Discounting,R54,,AllTriggers)</f>
        <v>1.0005821261559091</v>
      </c>
      <c r="W54" s="184">
        <f>_xll.qlYieldTSDiscount(Discounting,S54,,AllTriggers)</f>
        <v>1.00133031622583</v>
      </c>
      <c r="X54" s="21">
        <f t="shared" si="0"/>
        <v>-2.9559404685146813E-3</v>
      </c>
      <c r="Y54" s="359">
        <f t="shared" si="1"/>
        <v>1.6887871966264953E-4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42256</v>
      </c>
      <c r="S55" s="133">
        <f>_xll.qlCalendarAdvance(Calendar,R55,$F$1,"mf",,Trigger)</f>
        <v>42347</v>
      </c>
      <c r="T55" s="183">
        <f>_xll.qlDayCounterYearFraction(DayCounter,R55,S55,,,Trigger)</f>
        <v>0.25277777777777777</v>
      </c>
      <c r="U55" s="21">
        <f>_xll.qlInterpolationInterpolate(B3Minterpolation,R55,TRUE)</f>
        <v>6.6661939094847067E-4</v>
      </c>
      <c r="V55" s="184">
        <f>_xll.qlYieldTSDiscount(Discounting,R55,,AllTriggers)</f>
        <v>1.0005903279085597</v>
      </c>
      <c r="W55" s="184">
        <f>_xll.qlYieldTSDiscount(Discounting,S55,,AllTriggers)</f>
        <v>1.0013386979451435</v>
      </c>
      <c r="X55" s="21">
        <f t="shared" si="0"/>
        <v>-2.9566267299838715E-3</v>
      </c>
      <c r="Y55" s="359">
        <f t="shared" si="1"/>
        <v>1.6861838225609539E-4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42257</v>
      </c>
      <c r="S56" s="133">
        <f>_xll.qlCalendarAdvance(Calendar,R56,$F$1,"mf",,Trigger)</f>
        <v>42348</v>
      </c>
      <c r="T56" s="183">
        <f>_xll.qlDayCounterYearFraction(DayCounter,R56,S56,,,Trigger)</f>
        <v>0.25277777777777777</v>
      </c>
      <c r="U56" s="21">
        <f>_xll.qlInterpolationInterpolate(B3Minterpolation,R56,TRUE)</f>
        <v>6.6567817244281074E-4</v>
      </c>
      <c r="V56" s="184">
        <f>_xll.qlYieldTSDiscount(Discounting,R56,,AllTriggers)</f>
        <v>1.0005985298989073</v>
      </c>
      <c r="W56" s="184">
        <f>_xll.qlYieldTSDiscount(Discounting,S56,,AllTriggers)</f>
        <v>1.0013470856847362</v>
      </c>
      <c r="X56" s="21">
        <f t="shared" si="0"/>
        <v>-2.957335807558989E-3</v>
      </c>
      <c r="Y56" s="359">
        <f t="shared" si="1"/>
        <v>1.6838035550372028E-4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42258</v>
      </c>
      <c r="S57" s="133">
        <f>_xll.qlCalendarAdvance(Calendar,R57,$F$1,"mf",,Trigger)</f>
        <v>42349</v>
      </c>
      <c r="T57" s="183">
        <f>_xll.qlDayCounterYearFraction(DayCounter,R57,S57,,,Trigger)</f>
        <v>0.25277777777777777</v>
      </c>
      <c r="U57" s="21">
        <f>_xll.qlInterpolationInterpolate(B3Minterpolation,R57,TRUE)</f>
        <v>6.6482638662487869E-4</v>
      </c>
      <c r="V57" s="184">
        <f>_xll.qlYieldTSDiscount(Discounting,R57,,AllTriggers)</f>
        <v>1.0006067321606225</v>
      </c>
      <c r="W57" s="184">
        <f>_xll.qlYieldTSDiscount(Discounting,S57,,AllTriggers)</f>
        <v>1.0013554789465697</v>
      </c>
      <c r="X57" s="21">
        <f t="shared" si="0"/>
        <v>-2.9580656015086569E-3</v>
      </c>
      <c r="Y57" s="359">
        <f t="shared" si="1"/>
        <v>1.6816494919863112E-4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42261</v>
      </c>
      <c r="S58" s="133">
        <f>_xll.qlCalendarAdvance(Calendar,R58,$F$1,"mf",,Trigger)</f>
        <v>42352</v>
      </c>
      <c r="T58" s="183">
        <f>_xll.qlDayCounterYearFraction(DayCounter,R58,S58,,,Trigger)</f>
        <v>0.25277777777777777</v>
      </c>
      <c r="U58" s="21">
        <f>_xll.qlInterpolationInterpolate(B3Minterpolation,R58,TRUE)</f>
        <v>6.6281987635056269E-4</v>
      </c>
      <c r="V58" s="184">
        <f>_xll.qlYieldTSDiscount(Discounting,R58,,AllTriggers)</f>
        <v>1.0006313409106926</v>
      </c>
      <c r="W58" s="184">
        <f>_xll.qlYieldTSDiscount(Discounting,S58,,AllTriggers)</f>
        <v>1.0013806868848933</v>
      </c>
      <c r="X58" s="21">
        <f t="shared" si="0"/>
        <v>-2.9603582843649679E-3</v>
      </c>
      <c r="Y58" s="359">
        <f t="shared" si="1"/>
        <v>1.6765755090533067E-4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42262</v>
      </c>
      <c r="S59" s="133">
        <f>_xll.qlCalendarAdvance(Calendar,R59,$F$1,"mf",,Trigger)</f>
        <v>42353</v>
      </c>
      <c r="T59" s="183">
        <f>_xll.qlDayCounterYearFraction(DayCounter,R59,S59,,,Trigger)</f>
        <v>0.25277777777777777</v>
      </c>
      <c r="U59" s="21">
        <f>_xll.qlInterpolationInterpolate(B3Minterpolation,R59,TRUE)</f>
        <v>6.6233807233665527E-4</v>
      </c>
      <c r="V59" s="184">
        <f>_xll.qlYieldTSDiscount(Discounting,R59,,AllTriggers)</f>
        <v>1.0006395445946032</v>
      </c>
      <c r="W59" s="184">
        <f>_xll.qlYieldTSDiscount(Discounting,S59,,AllTriggers)</f>
        <v>1.0013890972549835</v>
      </c>
      <c r="X59" s="21">
        <f t="shared" si="0"/>
        <v>-2.961149946571527E-3</v>
      </c>
      <c r="Y59" s="359">
        <f t="shared" si="1"/>
        <v>1.6753572432627584E-4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42263</v>
      </c>
      <c r="S60" s="133">
        <f>_xll.qlCalendarAdvance(Calendar,R60,$F$1,"mf",,Trigger)</f>
        <v>42354</v>
      </c>
      <c r="T60" s="183">
        <f>_xll.qlDayCounterYearFraction(DayCounter,R60,S60,,,Trigger)</f>
        <v>0.25277777777777777</v>
      </c>
      <c r="U60" s="21">
        <f>_xll.qlInterpolationInterpolate(B3Minterpolation,R60,TRUE)</f>
        <v>6.6195182653703243E-4</v>
      </c>
      <c r="V60" s="184">
        <f>_xll.qlYieldTSDiscount(Discounting,R60,,AllTriggers)</f>
        <v>1.0006477487182497</v>
      </c>
      <c r="W60" s="184">
        <f>_xll.qlYieldTSDiscount(Discounting,S60,,AllTriggers)</f>
        <v>1.0013975106568773</v>
      </c>
      <c r="X60" s="21">
        <f t="shared" si="0"/>
        <v>-2.9619518265370324E-3</v>
      </c>
      <c r="Y60" s="359">
        <f t="shared" si="1"/>
        <v>1.6743806716133778E-4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42264</v>
      </c>
      <c r="S61" s="133">
        <f>_xll.qlCalendarAdvance(Calendar,R61,$F$1,"mf",,Trigger)</f>
        <v>42355</v>
      </c>
      <c r="T61" s="183">
        <f>_xll.qlDayCounterYearFraction(DayCounter,R61,S61,,,Trigger)</f>
        <v>0.25277777777777777</v>
      </c>
      <c r="U61" s="21">
        <f>_xll.qlInterpolationInterpolate(B3Minterpolation,R61,TRUE)</f>
        <v>6.6166202312561452E-4</v>
      </c>
      <c r="V61" s="184">
        <f>_xll.qlYieldTSDiscount(Discounting,R61,,AllTriggers)</f>
        <v>1.0006559533153088</v>
      </c>
      <c r="W61" s="184">
        <f>_xll.qlYieldTSDiscount(Discounting,S61,,AllTriggers)</f>
        <v>1.0014059265924373</v>
      </c>
      <c r="X61" s="21">
        <f t="shared" si="0"/>
        <v>-2.9627618245428437E-3</v>
      </c>
      <c r="Y61" s="359">
        <f t="shared" si="1"/>
        <v>1.6736480297199099E-4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42265</v>
      </c>
      <c r="S62" s="133">
        <f>_xll.qlCalendarAdvance(Calendar,R62,$F$1,"mf",,Trigger)</f>
        <v>42356</v>
      </c>
      <c r="T62" s="183">
        <f>_xll.qlDayCounterYearFraction(DayCounter,R62,S62,,,Trigger)</f>
        <v>0.25277777777777777</v>
      </c>
      <c r="U62" s="21">
        <f>_xll.qlInterpolationInterpolate(B3Minterpolation,R62,TRUE)</f>
        <v>6.6146818255075827E-4</v>
      </c>
      <c r="V62" s="184">
        <f>_xll.qlYieldTSDiscount(Discounting,R62,,AllTriggers)</f>
        <v>1.0006641584194587</v>
      </c>
      <c r="W62" s="184">
        <f>_xll.qlYieldTSDiscount(Discounting,S62,,AllTriggers)</f>
        <v>1.0014143445635091</v>
      </c>
      <c r="X62" s="21">
        <f t="shared" si="0"/>
        <v>-2.9635778408707595E-3</v>
      </c>
      <c r="Y62" s="359">
        <f t="shared" si="1"/>
        <v>1.6731581039900259E-4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42268</v>
      </c>
      <c r="S63" s="133">
        <f>_xll.qlCalendarAdvance(Calendar,R63,$F$1,"mf",,Trigger)</f>
        <v>42359</v>
      </c>
      <c r="T63" s="183">
        <f>_xll.qlDayCounterYearFraction(DayCounter,R63,S63,,,Trigger)</f>
        <v>0.25277777777777777</v>
      </c>
      <c r="U63" s="21">
        <f>_xll.qlInterpolationInterpolate(B3Minterpolation,R63,TRUE)</f>
        <v>6.6145423301521976E-4</v>
      </c>
      <c r="V63" s="184">
        <f>_xll.qlYieldTSDiscount(Discounting,R63,,AllTriggers)</f>
        <v>1.0006887771112507</v>
      </c>
      <c r="W63" s="184">
        <f>_xll.qlYieldTSDiscount(Discounting,S63,,AllTriggers)</f>
        <v>1.0014396057080006</v>
      </c>
      <c r="X63" s="21">
        <f t="shared" si="0"/>
        <v>-2.9660410026398159E-3</v>
      </c>
      <c r="Y63" s="359">
        <f t="shared" si="1"/>
        <v>1.6731238645680839E-4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42269</v>
      </c>
      <c r="S64" s="133">
        <f>_xll.qlCalendarAdvance(Calendar,R64,$F$1,"mf",,Trigger)</f>
        <v>42360</v>
      </c>
      <c r="T64" s="183">
        <f>_xll.qlDayCounterYearFraction(DayCounter,R64,S64,,,Trigger)</f>
        <v>0.25277777777777777</v>
      </c>
      <c r="U64" s="21">
        <f>_xll.qlInterpolationInterpolate(B3Minterpolation,R64,TRUE)</f>
        <v>6.6163603895626991E-4</v>
      </c>
      <c r="V64" s="184">
        <f>_xll.qlYieldTSDiscount(Discounting,R64,,AllTriggers)</f>
        <v>1.0006969845805669</v>
      </c>
      <c r="W64" s="184">
        <f>_xll.qlYieldTSDiscount(Discounting,S64,,AllTriggers)</f>
        <v>1.0014480268392414</v>
      </c>
      <c r="X64" s="21">
        <f t="shared" si="0"/>
        <v>-2.9668600951167374E-3</v>
      </c>
      <c r="Y64" s="359">
        <f t="shared" si="1"/>
        <v>1.673584044192328E-4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42270</v>
      </c>
      <c r="S65" s="133">
        <f>_xll.qlCalendarAdvance(Calendar,R65,$F$1,"mf",,Trigger)</f>
        <v>42361</v>
      </c>
      <c r="T65" s="183">
        <f>_xll.qlDayCounterYearFraction(DayCounter,R65,S65,,,Trigger)</f>
        <v>0.25277777777777777</v>
      </c>
      <c r="U65" s="21">
        <f>_xll.qlInterpolationInterpolate(B3Minterpolation,R65,TRUE)</f>
        <v>6.6190970531871144E-4</v>
      </c>
      <c r="V65" s="184">
        <f>_xll.qlYieldTSDiscount(Discounting,R65,,AllTriggers)</f>
        <v>1.0007051927253809</v>
      </c>
      <c r="W65" s="184">
        <f>_xll.qlYieldTSDiscount(Discounting,S65,,AllTriggers)</f>
        <v>1.001456447514971</v>
      </c>
      <c r="X65" s="21">
        <f t="shared" si="0"/>
        <v>-2.9676747073541826E-3</v>
      </c>
      <c r="Y65" s="359">
        <f t="shared" si="1"/>
        <v>1.6742765602431443E-4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42271</v>
      </c>
      <c r="S66" s="133">
        <f>_xll.qlCalendarAdvance(Calendar,R66,$F$1,"mf",,Trigger)</f>
        <v>42366</v>
      </c>
      <c r="T66" s="183">
        <f>_xll.qlDayCounterYearFraction(DayCounter,R66,S66,,,Trigger)</f>
        <v>0.2638888888888889</v>
      </c>
      <c r="U66" s="21">
        <f>_xll.qlInterpolationInterpolate(B3Minterpolation,R66,TRUE)</f>
        <v>6.6227441161951031E-4</v>
      </c>
      <c r="V66" s="184">
        <f>_xll.qlYieldTSDiscount(Discounting,R66,,AllTriggers)</f>
        <v>1.0007134015793775</v>
      </c>
      <c r="W66" s="184">
        <f>_xll.qlYieldTSDiscount(Discounting,S66,,AllTriggers)</f>
        <v>1.0014985266214498</v>
      </c>
      <c r="X66" s="21">
        <f t="shared" si="0"/>
        <v>-2.9707589244133119E-3</v>
      </c>
      <c r="Y66" s="359">
        <f t="shared" si="1"/>
        <v>1.7488868072348517E-4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42272</v>
      </c>
      <c r="S67" s="133">
        <f>_xll.qlCalendarAdvance(Calendar,R67,$F$1,"mf",,Trigger)</f>
        <v>42366</v>
      </c>
      <c r="T67" s="183">
        <f>_xll.qlDayCounterYearFraction(DayCounter,R67,S67,,,Trigger)</f>
        <v>0.26111111111111113</v>
      </c>
      <c r="U67" s="21">
        <f>_xll.qlInterpolationInterpolate(B3Minterpolation,R67,TRUE)</f>
        <v>6.6272933737563245E-4</v>
      </c>
      <c r="V67" s="184">
        <f>_xll.qlYieldTSDiscount(Discounting,R67,,AllTriggers)</f>
        <v>1.0007216111762425</v>
      </c>
      <c r="W67" s="184">
        <f>_xll.qlYieldTSDiscount(Discounting,S67,,AllTriggers)</f>
        <v>1.0014985266214498</v>
      </c>
      <c r="X67" s="21">
        <f t="shared" si="0"/>
        <v>-2.970968778179958E-3</v>
      </c>
      <c r="Y67" s="359">
        <f t="shared" si="1"/>
        <v>1.7316534482451868E-4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42275</v>
      </c>
      <c r="S68" s="133">
        <f>_xll.qlCalendarAdvance(Calendar,R68,$F$1,"mf",,Trigger)</f>
        <v>42366</v>
      </c>
      <c r="T68" s="183">
        <f>_xll.qlDayCounterYearFraction(DayCounter,R68,S68,,,Trigger)</f>
        <v>0.25277777777777777</v>
      </c>
      <c r="U68" s="21">
        <f>_xll.qlInterpolationInterpolate(B3Minterpolation,R68,TRUE)</f>
        <v>6.6462722654559738E-4</v>
      </c>
      <c r="V68" s="184">
        <f>_xll.qlYieldTSDiscount(Discounting,R68,,AllTriggers)</f>
        <v>1.0007462447609223</v>
      </c>
      <c r="W68" s="184">
        <f>_xll.qlYieldTSDiscount(Discounting,S68,,AllTriggers)</f>
        <v>1.0014985266214498</v>
      </c>
      <c r="X68" s="21">
        <f t="shared" ref="X68:X131" si="7">(V68/W68-1)/T68</f>
        <v>-2.9716070752703111E-3</v>
      </c>
      <c r="Y68" s="359">
        <f t="shared" ref="Y68:Y131" si="8">LN((1+(U68+X68)*T68)/(1+X68*T68))</f>
        <v>1.6811515259288701E-4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42276</v>
      </c>
      <c r="S69" s="133">
        <f>_xll.qlCalendarAdvance(Calendar,R69,$F$1,"mf",,Trigger)</f>
        <v>42367</v>
      </c>
      <c r="T69" s="183">
        <f>_xll.qlDayCounterYearFraction(DayCounter,R69,S69,,,Trigger)</f>
        <v>0.25277777777777777</v>
      </c>
      <c r="U69" s="21">
        <f>_xll.qlInterpolationInterpolate(B3Minterpolation,R69,TRUE)</f>
        <v>6.6543482529267167E-4</v>
      </c>
      <c r="V69" s="184">
        <f>_xll.qlYieldTSDiscount(Discounting,R69,,AllTriggers)</f>
        <v>1.0007544576661411</v>
      </c>
      <c r="W69" s="184">
        <f>_xll.qlYieldTSDiscount(Discounting,S69,,AllTriggers)</f>
        <v>1.0015069341001761</v>
      </c>
      <c r="X69" s="21">
        <f t="shared" si="7"/>
        <v>-2.9723507122833772E-3</v>
      </c>
      <c r="Y69" s="359">
        <f t="shared" si="8"/>
        <v>1.6831944636554522E-4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42277</v>
      </c>
      <c r="S70" s="133">
        <f>_xll.qlCalendarAdvance(Calendar,R70,$F$1,"mf",,Trigger)</f>
        <v>42368</v>
      </c>
      <c r="T70" s="183">
        <f>_xll.qlDayCounterYearFraction(DayCounter,R70,S70,,,Trigger)</f>
        <v>0.25277777777777777</v>
      </c>
      <c r="U70" s="21">
        <f>_xll.qlInterpolationInterpolate(B3Minterpolation,R70,TRUE)</f>
        <v>6.6632854107989887E-4</v>
      </c>
      <c r="V70" s="184">
        <f>_xll.qlYieldTSDiscount(Discounting,R70,,AllTriggers)</f>
        <v>1.0007626714568505</v>
      </c>
      <c r="W70" s="184">
        <f>_xll.qlYieldTSDiscount(Discounting,S70,,AllTriggers)</f>
        <v>1.0015153377215815</v>
      </c>
      <c r="X70" s="21">
        <f t="shared" si="7"/>
        <v>-2.9730756138805878E-3</v>
      </c>
      <c r="Y70" s="359">
        <f t="shared" si="8"/>
        <v>1.6854552054967973E-4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42278</v>
      </c>
      <c r="S71" s="133">
        <f>_xll.qlCalendarAdvance(Calendar,R71,$F$1,"mf",,Trigger)</f>
        <v>42373</v>
      </c>
      <c r="T71" s="183">
        <f>_xll.qlDayCounterYearFraction(DayCounter,R71,S71,,,Trigger)</f>
        <v>0.2638888888888889</v>
      </c>
      <c r="U71" s="21">
        <f>_xll.qlInterpolationInterpolate(B3Minterpolation,R71,TRUE)</f>
        <v>6.673075534242447E-4</v>
      </c>
      <c r="V71" s="184">
        <f>_xll.qlYieldTSDiscount(Discounting,R71,,AllTriggers)</f>
        <v>1.0007708860376241</v>
      </c>
      <c r="W71" s="184">
        <f>_xll.qlYieldTSDiscount(Discounting,S71,,AllTriggers)</f>
        <v>1.0015572973594395</v>
      </c>
      <c r="X71" s="21">
        <f t="shared" si="7"/>
        <v>-2.9754513464600274E-3</v>
      </c>
      <c r="Y71" s="359">
        <f t="shared" si="8"/>
        <v>1.7621789800210497E-4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42279</v>
      </c>
      <c r="S72" s="133">
        <f>_xll.qlCalendarAdvance(Calendar,R72,$F$1,"mf",,Trigger)</f>
        <v>42373</v>
      </c>
      <c r="T72" s="183">
        <f>_xll.qlDayCounterYearFraction(DayCounter,R72,S72,,,Trigger)</f>
        <v>0.26111111111111113</v>
      </c>
      <c r="U72" s="21">
        <f>_xll.qlInterpolationInterpolate(B3Minterpolation,R72,TRUE)</f>
        <v>6.6837104184267534E-4</v>
      </c>
      <c r="V72" s="184">
        <f>_xll.qlYieldTSDiscount(Discounting,R72,,AllTriggers)</f>
        <v>1.000779101287208</v>
      </c>
      <c r="W72" s="184">
        <f>_xll.qlYieldTSDiscount(Discounting,S72,,AllTriggers)</f>
        <v>1.0015572973594395</v>
      </c>
      <c r="X72" s="21">
        <f t="shared" si="7"/>
        <v>-2.9756913467374486E-3</v>
      </c>
      <c r="Y72" s="359">
        <f t="shared" si="8"/>
        <v>1.7463955934940065E-4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42282</v>
      </c>
      <c r="S73" s="133">
        <f>_xll.qlCalendarAdvance(Calendar,R73,$F$1,"mf",,Trigger)</f>
        <v>42374</v>
      </c>
      <c r="T73" s="183">
        <f>_xll.qlDayCounterYearFraction(DayCounter,R73,S73,,,Trigger)</f>
        <v>0.25555555555555554</v>
      </c>
      <c r="U73" s="21">
        <f>_xll.qlInterpolationInterpolate(B3Minterpolation,R73,TRUE)</f>
        <v>6.7206015871213451E-4</v>
      </c>
      <c r="V73" s="184">
        <f>_xll.qlYieldTSDiscount(Discounting,R73,,AllTriggers)</f>
        <v>1.000803749836229</v>
      </c>
      <c r="W73" s="184">
        <f>_xll.qlYieldTSDiscount(Discounting,S73,,AllTriggers)</f>
        <v>1.0015656777302877</v>
      </c>
      <c r="X73" s="21">
        <f t="shared" si="7"/>
        <v>-2.9767962731188841E-3</v>
      </c>
      <c r="Y73" s="359">
        <f t="shared" si="8"/>
        <v>1.7186469268052983E-4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42283</v>
      </c>
      <c r="S74" s="133">
        <f>_xll.qlCalendarAdvance(Calendar,R74,$F$1,"mf",,Trigger)</f>
        <v>42376</v>
      </c>
      <c r="T74" s="183">
        <f>_xll.qlDayCounterYearFraction(DayCounter,R74,S74,,,Trigger)</f>
        <v>0.25833333333333336</v>
      </c>
      <c r="U74" s="21">
        <f>_xll.qlInterpolationInterpolate(B3Minterpolation,R74,TRUE)</f>
        <v>6.7345334659656305E-4</v>
      </c>
      <c r="V74" s="184">
        <f>_xll.qlYieldTSDiscount(Discounting,R74,,AllTriggers)</f>
        <v>1.0008119665484407</v>
      </c>
      <c r="W74" s="184">
        <f>_xll.qlYieldTSDiscount(Discounting,S74,,AllTriggers)</f>
        <v>1.0015824270719709</v>
      </c>
      <c r="X74" s="21">
        <f t="shared" si="7"/>
        <v>-2.9777158149018258E-3</v>
      </c>
      <c r="Y74" s="359">
        <f t="shared" si="8"/>
        <v>1.7409422505761579E-4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42284</v>
      </c>
      <c r="S75" s="133">
        <f>_xll.qlCalendarAdvance(Calendar,R75,$F$1,"mf",,Trigger)</f>
        <v>42376</v>
      </c>
      <c r="T75" s="183">
        <f>_xll.qlDayCounterYearFraction(DayCounter,R75,S75,,,Trigger)</f>
        <v>0.25555555555555554</v>
      </c>
      <c r="U75" s="21">
        <f>_xll.qlInterpolationInterpolate(B3Minterpolation,R75,TRUE)</f>
        <v>6.7492690813990589E-4</v>
      </c>
      <c r="V75" s="184">
        <f>_xll.qlYieldTSDiscount(Discounting,R75,,AllTriggers)</f>
        <v>1.0008201833231356</v>
      </c>
      <c r="W75" s="184">
        <f>_xll.qlYieldTSDiscount(Discounting,S75,,AllTriggers)</f>
        <v>1.0015824270719709</v>
      </c>
      <c r="X75" s="21">
        <f t="shared" si="7"/>
        <v>-2.9779804932725615E-3</v>
      </c>
      <c r="Y75" s="359">
        <f t="shared" si="8"/>
        <v>1.7259779017884014E-4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42285</v>
      </c>
      <c r="S76" s="133">
        <f>_xll.qlCalendarAdvance(Calendar,R76,$F$1,"mf",,Trigger)</f>
        <v>42377</v>
      </c>
      <c r="T76" s="183">
        <f>_xll.qlDayCounterYearFraction(DayCounter,R76,S76,,,Trigger)</f>
        <v>0.25555555555555554</v>
      </c>
      <c r="U76" s="21">
        <f>_xll.qlInterpolationInterpolate(B3Minterpolation,R76,TRUE)</f>
        <v>6.7648002285912901E-4</v>
      </c>
      <c r="V76" s="184">
        <f>_xll.qlYieldTSDiscount(Discounting,R76,,AllTriggers)</f>
        <v>1.0008284000390364</v>
      </c>
      <c r="W76" s="184">
        <f>_xll.qlYieldTSDiscount(Discounting,S76,,AllTriggers)</f>
        <v>1.0015907960819868</v>
      </c>
      <c r="X76" s="21">
        <f t="shared" si="7"/>
        <v>-2.9785505970988829E-3</v>
      </c>
      <c r="Y76" s="359">
        <f t="shared" si="8"/>
        <v>1.7299495615660682E-4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42286</v>
      </c>
      <c r="S77" s="133">
        <f>_xll.qlCalendarAdvance(Calendar,R77,$F$1,"mf",,Trigger)</f>
        <v>42380</v>
      </c>
      <c r="T77" s="183">
        <f>_xll.qlDayCounterYearFraction(DayCounter,R77,S77,,,Trigger)</f>
        <v>0.26111111111111113</v>
      </c>
      <c r="U77" s="21">
        <f>_xll.qlInterpolationInterpolate(B3Minterpolation,R77,TRUE)</f>
        <v>6.7811187027119833E-4</v>
      </c>
      <c r="V77" s="184">
        <f>_xll.qlYieldTSDiscount(Discounting,R77,,AllTriggers)</f>
        <v>1.0008366165748617</v>
      </c>
      <c r="W77" s="184">
        <f>_xll.qlYieldTSDiscount(Discounting,S77,,AllTriggers)</f>
        <v>1.0016158807038298</v>
      </c>
      <c r="X77" s="21">
        <f t="shared" si="7"/>
        <v>-2.9796011330933962E-3</v>
      </c>
      <c r="Y77" s="359">
        <f t="shared" si="8"/>
        <v>1.7718470891692076E-4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42289</v>
      </c>
      <c r="S78" s="133">
        <f>_xll.qlCalendarAdvance(Calendar,R78,$F$1,"mf",,Trigger)</f>
        <v>42381</v>
      </c>
      <c r="T78" s="183">
        <f>_xll.qlDayCounterYearFraction(DayCounter,R78,S78,,,Trigger)</f>
        <v>0.25555555555555554</v>
      </c>
      <c r="U78" s="21">
        <f>_xll.qlInterpolationInterpolate(B3Minterpolation,R78,TRUE)</f>
        <v>6.8347160383414225E-4</v>
      </c>
      <c r="V78" s="184">
        <f>_xll.qlYieldTSDiscount(Discounting,R78,,AllTriggers)</f>
        <v>1.0008612638890102</v>
      </c>
      <c r="W78" s="184">
        <f>_xll.qlYieldTSDiscount(Discounting,S78,,AllTriggers)</f>
        <v>1.0016242348403523</v>
      </c>
      <c r="X78" s="21">
        <f t="shared" si="7"/>
        <v>-2.9806971530874928E-3</v>
      </c>
      <c r="Y78" s="359">
        <f t="shared" si="8"/>
        <v>1.7478283963171226E-4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42290</v>
      </c>
      <c r="S79" s="133">
        <f>_xll.qlCalendarAdvance(Calendar,R79,$F$1,"mf",,Trigger)</f>
        <v>42382</v>
      </c>
      <c r="T79" s="183">
        <f>_xll.qlDayCounterYearFraction(DayCounter,R79,S79,,,Trigger)</f>
        <v>0.25555555555555554</v>
      </c>
      <c r="U79" s="21">
        <f>_xll.qlInterpolationInterpolate(B3Minterpolation,R79,TRUE)</f>
        <v>6.8541017718725533E-4</v>
      </c>
      <c r="V79" s="184">
        <f>_xll.qlYieldTSDiscount(Discounting,R79,,AllTriggers)</f>
        <v>1.0008694784916397</v>
      </c>
      <c r="W79" s="184">
        <f>_xll.qlYieldTSDiscount(Discounting,S79,,AllTriggers)</f>
        <v>1.0016325853074852</v>
      </c>
      <c r="X79" s="21">
        <f t="shared" si="7"/>
        <v>-2.9812030806130188E-3</v>
      </c>
      <c r="Y79" s="359">
        <f t="shared" si="8"/>
        <v>1.7527856638894633E-4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42291</v>
      </c>
      <c r="S80" s="133">
        <f>_xll.qlCalendarAdvance(Calendar,R80,$F$1,"mf",,Trigger)</f>
        <v>42383</v>
      </c>
      <c r="T80" s="183">
        <f>_xll.qlDayCounterYearFraction(DayCounter,R80,S80,,,Trigger)</f>
        <v>0.25555555555555554</v>
      </c>
      <c r="U80" s="21">
        <f>_xll.qlInterpolationInterpolate(B3Minterpolation,R80,TRUE)</f>
        <v>6.8742338081804414E-4</v>
      </c>
      <c r="V80" s="184">
        <f>_xll.qlYieldTSDiscount(Discounting,R80,,AllTriggers)</f>
        <v>1.0008776923077269</v>
      </c>
      <c r="W80" s="184">
        <f>_xll.qlYieldTSDiscount(Discounting,S80,,AllTriggers)</f>
        <v>1.0016409321248236</v>
      </c>
      <c r="X80" s="21">
        <f t="shared" si="7"/>
        <v>-2.981697824892042E-3</v>
      </c>
      <c r="Y80" s="359">
        <f t="shared" si="8"/>
        <v>1.757933758972686E-4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42292</v>
      </c>
      <c r="S81" s="133">
        <f>_xll.qlCalendarAdvance(Calendar,R81,$F$1,"mf",,Trigger)</f>
        <v>42384</v>
      </c>
      <c r="T81" s="183">
        <f>_xll.qlDayCounterYearFraction(DayCounter,R81,S81,,,Trigger)</f>
        <v>0.25555555555555554</v>
      </c>
      <c r="U81" s="21">
        <f>_xll.qlInterpolationInterpolate(B3Minterpolation,R81,TRUE)</f>
        <v>6.8951039424347473E-4</v>
      </c>
      <c r="V81" s="184">
        <f>_xll.qlYieldTSDiscount(Discounting,R81,,AllTriggers)</f>
        <v>1.0008859052159667</v>
      </c>
      <c r="W81" s="184">
        <f>_xll.qlYieldTSDiscount(Discounting,S81,,AllTriggers)</f>
        <v>1.001649275311963</v>
      </c>
      <c r="X81" s="21">
        <f t="shared" si="7"/>
        <v>-2.9821819365940722E-3</v>
      </c>
      <c r="Y81" s="359">
        <f t="shared" si="8"/>
        <v>1.7632705835291971E-4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42293</v>
      </c>
      <c r="S82" s="133">
        <f>_xll.qlCalendarAdvance(Calendar,R82,$F$1,"mf",,Trigger)</f>
        <v>42387</v>
      </c>
      <c r="T82" s="183">
        <f>_xll.qlDayCounterYearFraction(DayCounter,R82,S82,,,Trigger)</f>
        <v>0.26111111111111113</v>
      </c>
      <c r="U82" s="21">
        <f>_xll.qlInterpolationInterpolate(B3Minterpolation,R82,TRUE)</f>
        <v>6.9167039698051283E-4</v>
      </c>
      <c r="V82" s="184">
        <f>_xll.qlYieldTSDiscount(Discounting,R82,,AllTriggers)</f>
        <v>1.0008941170950494</v>
      </c>
      <c r="W82" s="184">
        <f>_xll.qlYieldTSDiscount(Discounting,S82,,AllTriggers)</f>
        <v>1.0016742832881536</v>
      </c>
      <c r="X82" s="21">
        <f t="shared" si="7"/>
        <v>-2.9828763467638817E-3</v>
      </c>
      <c r="Y82" s="359">
        <f t="shared" si="8"/>
        <v>1.8072726807198604E-4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42296</v>
      </c>
      <c r="S83" s="133">
        <f>_xll.qlCalendarAdvance(Calendar,R83,$F$1,"mf",,Trigger)</f>
        <v>42388</v>
      </c>
      <c r="T83" s="183">
        <f>_xll.qlDayCounterYearFraction(DayCounter,R83,S83,,,Trigger)</f>
        <v>0.25555555555555554</v>
      </c>
      <c r="U83" s="21">
        <f>_xll.qlInterpolationInterpolate(B3Minterpolation,R83,TRUE)</f>
        <v>6.985801362309321E-4</v>
      </c>
      <c r="V83" s="184">
        <f>_xll.qlYieldTSDiscount(Discounting,R83,,AllTriggers)</f>
        <v>1.000918745344205</v>
      </c>
      <c r="W83" s="184">
        <f>_xll.qlYieldTSDiscount(Discounting,S83,,AllTriggers)</f>
        <v>1.0016826121504669</v>
      </c>
      <c r="X83" s="21">
        <f t="shared" si="7"/>
        <v>-2.98402307102681E-3</v>
      </c>
      <c r="Y83" s="359">
        <f t="shared" si="8"/>
        <v>1.7864632154778335E-4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42297</v>
      </c>
      <c r="S84" s="133">
        <f>_xll.qlCalendarAdvance(Calendar,R84,$F$1,"mf",,Trigger)</f>
        <v>42389</v>
      </c>
      <c r="T84" s="183">
        <f>_xll.qlDayCounterYearFraction(DayCounter,R84,S84,,,Trigger)</f>
        <v>0.25555555555555554</v>
      </c>
      <c r="U84" s="21">
        <f>_xll.qlInterpolationInterpolate(B3Minterpolation,R84,TRUE)</f>
        <v>7.0102389138405993E-4</v>
      </c>
      <c r="V84" s="184">
        <f>_xll.qlYieldTSDiscount(Discounting,R84,,AllTriggers)</f>
        <v>1.0009269518934885</v>
      </c>
      <c r="W84" s="184">
        <f>_xll.qlYieldTSDiscount(Discounting,S84,,AllTriggers)</f>
        <v>1.0016909374805698</v>
      </c>
      <c r="X84" s="21">
        <f t="shared" si="7"/>
        <v>-2.9844622798856578E-3</v>
      </c>
      <c r="Y84" s="359">
        <f t="shared" si="8"/>
        <v>1.7927122165972329E-4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42298</v>
      </c>
      <c r="S85" s="133">
        <f>_xll.qlCalendarAdvance(Calendar,R85,$F$1,"mf",,Trigger)</f>
        <v>42390</v>
      </c>
      <c r="T85" s="183">
        <f>_xll.qlDayCounterYearFraction(DayCounter,R85,S85,,,Trigger)</f>
        <v>0.25555555555555554</v>
      </c>
      <c r="U85" s="21">
        <f>_xll.qlInterpolationInterpolate(B3Minterpolation,R85,TRUE)</f>
        <v>7.035365334336249E-4</v>
      </c>
      <c r="V85" s="184">
        <f>_xll.qlYieldTSDiscount(Discounting,R85,,AllTriggers)</f>
        <v>1.0009351568070093</v>
      </c>
      <c r="W85" s="184">
        <f>_xll.qlYieldTSDiscount(Discounting,S85,,AllTriggers)</f>
        <v>1.001699259298062</v>
      </c>
      <c r="X85" s="21">
        <f t="shared" si="7"/>
        <v>-2.9848941601815313E-3</v>
      </c>
      <c r="Y85" s="359">
        <f t="shared" si="8"/>
        <v>1.7991373588348631E-4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42299</v>
      </c>
      <c r="S86" s="133">
        <f>_xll.qlCalendarAdvance(Calendar,R86,$F$1,"mf",,Trigger)</f>
        <v>42391</v>
      </c>
      <c r="T86" s="183">
        <f>_xll.qlDayCounterYearFraction(DayCounter,R86,S86,,,Trigger)</f>
        <v>0.25555555555555554</v>
      </c>
      <c r="U86" s="21">
        <f>_xll.qlInterpolationInterpolate(B3Minterpolation,R86,TRUE)</f>
        <v>7.0611724189659306E-4</v>
      </c>
      <c r="V86" s="184">
        <f>_xll.qlYieldTSDiscount(Discounting,R86,,AllTriggers)</f>
        <v>1.0009433599634343</v>
      </c>
      <c r="W86" s="184">
        <f>_xll.qlYieldTSDiscount(Discounting,S86,,AllTriggers)</f>
        <v>1.0017075776225439</v>
      </c>
      <c r="X86" s="21">
        <f t="shared" si="7"/>
        <v>-2.985319262581769E-3</v>
      </c>
      <c r="Y86" s="359">
        <f t="shared" si="8"/>
        <v>1.8057365441105777E-4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42300</v>
      </c>
      <c r="S87" s="133">
        <f>_xll.qlCalendarAdvance(Calendar,R87,$F$1,"mf",,Trigger)</f>
        <v>42394</v>
      </c>
      <c r="T87" s="183">
        <f>_xll.qlDayCounterYearFraction(DayCounter,R87,S87,,,Trigger)</f>
        <v>0.26111111111111113</v>
      </c>
      <c r="U87" s="21">
        <f>_xll.qlInterpolationInterpolate(B3Minterpolation,R87,TRUE)</f>
        <v>7.0876519628993025E-4</v>
      </c>
      <c r="V87" s="184">
        <f>_xll.qlYieldTSDiscount(Discounting,R87,,AllTriggers)</f>
        <v>1.0009515612414264</v>
      </c>
      <c r="W87" s="184">
        <f>_xll.qlYieldTSDiscount(Discounting,S87,,AllTriggers)</f>
        <v>1.0017325118339429</v>
      </c>
      <c r="X87" s="21">
        <f t="shared" si="7"/>
        <v>-2.9857018458568749E-3</v>
      </c>
      <c r="Y87" s="359">
        <f t="shared" si="8"/>
        <v>1.8519370887805351E-4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42303</v>
      </c>
      <c r="S88" s="133">
        <f>_xll.qlCalendarAdvance(Calendar,R88,$F$1,"mf",,Trigger)</f>
        <v>42395</v>
      </c>
      <c r="T88" s="183">
        <f>_xll.qlDayCounterYearFraction(DayCounter,R88,S88,,,Trigger)</f>
        <v>0.25555555555555554</v>
      </c>
      <c r="U88" s="21">
        <f>_xll.qlInterpolationInterpolate(B3Minterpolation,R88,TRUE)</f>
        <v>7.1710433022181559E-4</v>
      </c>
      <c r="V88" s="184">
        <f>_xll.qlYieldTSDiscount(Discounting,R88,,AllTriggers)</f>
        <v>1.0009761525913747</v>
      </c>
      <c r="W88" s="184">
        <f>_xll.qlYieldTSDiscount(Discounting,S88,,AllTriggers)</f>
        <v>1.0017408163824022</v>
      </c>
      <c r="X88" s="21">
        <f t="shared" si="7"/>
        <v>-2.986962906580935E-3</v>
      </c>
      <c r="Y88" s="359">
        <f t="shared" si="8"/>
        <v>1.833831754045294E-4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42304</v>
      </c>
      <c r="S89" s="133">
        <f>_xll.qlCalendarAdvance(Calendar,R89,$F$1,"mf",,Trigger)</f>
        <v>42396</v>
      </c>
      <c r="T89" s="183">
        <f>_xll.qlDayCounterYearFraction(DayCounter,R89,S89,,,Trigger)</f>
        <v>0.25555555555555554</v>
      </c>
      <c r="U89" s="21">
        <f>_xll.qlInterpolationInterpolate(B3Minterpolation,R89,TRUE)</f>
        <v>7.2001306350628826E-4</v>
      </c>
      <c r="V89" s="184">
        <f>_xll.qlYieldTSDiscount(Discounting,R89,,AllTriggers)</f>
        <v>1.0009843451421852</v>
      </c>
      <c r="W89" s="184">
        <f>_xll.qlYieldTSDiscount(Discounting,S89,,AllTriggers)</f>
        <v>1.0017491175358639</v>
      </c>
      <c r="X89" s="21">
        <f t="shared" si="7"/>
        <v>-2.9873623795147971E-3</v>
      </c>
      <c r="Y89" s="359">
        <f t="shared" si="8"/>
        <v>1.8412696833304586E-4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42305</v>
      </c>
      <c r="S90" s="133">
        <f>_xll.qlCalendarAdvance(Calendar,R90,$F$1,"mf",,Trigger)</f>
        <v>42397</v>
      </c>
      <c r="T90" s="183">
        <f>_xll.qlDayCounterYearFraction(DayCounter,R90,S90,,,Trigger)</f>
        <v>0.25555555555555554</v>
      </c>
      <c r="U90" s="21">
        <f>_xll.qlInterpolationInterpolate(B3Minterpolation,R90,TRUE)</f>
        <v>7.2298494030595959E-4</v>
      </c>
      <c r="V90" s="184">
        <f>_xll.qlYieldTSDiscount(Discounting,R90,,AllTriggers)</f>
        <v>1.0009925352078177</v>
      </c>
      <c r="W90" s="184">
        <f>_xll.qlYieldTSDiscount(Discounting,S90,,AllTriggers)</f>
        <v>1.0017574153139326</v>
      </c>
      <c r="X90" s="21">
        <f t="shared" si="7"/>
        <v>-2.9877583785553126E-3</v>
      </c>
      <c r="Y90" s="359">
        <f t="shared" si="8"/>
        <v>1.848869067171455E-4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42306</v>
      </c>
      <c r="S91" s="133">
        <f>_xll.qlCalendarAdvance(Calendar,R91,$F$1,"mf",,Trigger)</f>
        <v>42398</v>
      </c>
      <c r="T91" s="183">
        <f>_xll.qlDayCounterYearFraction(DayCounter,R91,S91,,,Trigger)</f>
        <v>0.25555555555555554</v>
      </c>
      <c r="U91" s="21">
        <f>_xll.qlInterpolationInterpolate(B3Minterpolation,R91,TRUE)</f>
        <v>7.2601914013779563E-4</v>
      </c>
      <c r="V91" s="184">
        <f>_xll.qlYieldTSDiscount(Discounting,R91,,AllTriggers)</f>
        <v>1.001000722666912</v>
      </c>
      <c r="W91" s="184">
        <f>_xll.qlYieldTSDiscount(Discounting,S91,,AllTriggers)</f>
        <v>1.0017657097362136</v>
      </c>
      <c r="X91" s="21">
        <f t="shared" si="7"/>
        <v>-2.9881514543685156E-3</v>
      </c>
      <c r="Y91" s="359">
        <f t="shared" si="8"/>
        <v>1.8566278074902238E-4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42307</v>
      </c>
      <c r="S92" s="133">
        <f>_xll.qlCalendarAdvance(Calendar,R92,$F$1,"mf",,Trigger)</f>
        <v>42398</v>
      </c>
      <c r="T92" s="183">
        <f>_xll.qlDayCounterYearFraction(DayCounter,R92,S92,,,Trigger)</f>
        <v>0.25277777777777777</v>
      </c>
      <c r="U92" s="21">
        <f>_xll.qlInterpolationInterpolate(B3Minterpolation,R92,TRUE)</f>
        <v>7.2911484251876211E-4</v>
      </c>
      <c r="V92" s="184">
        <f>_xll.qlYieldTSDiscount(Discounting,R92,,AllTriggers)</f>
        <v>1.0010089074872004</v>
      </c>
      <c r="W92" s="184">
        <f>_xll.qlYieldTSDiscount(Discounting,S92,,AllTriggers)</f>
        <v>1.0017657097362136</v>
      </c>
      <c r="X92" s="21">
        <f t="shared" si="7"/>
        <v>-2.9886658467452695E-3</v>
      </c>
      <c r="Y92" s="359">
        <f t="shared" si="8"/>
        <v>1.8442636317126421E-4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42310</v>
      </c>
      <c r="S93" s="133">
        <f>_xll.qlCalendarAdvance(Calendar,R93,$F$1,"mf",,Trigger)</f>
        <v>42402</v>
      </c>
      <c r="T93" s="183">
        <f>_xll.qlDayCounterYearFraction(DayCounter,R93,S93,,,Trigger)</f>
        <v>0.25555555555555554</v>
      </c>
      <c r="U93" s="21">
        <f>_xll.qlInterpolationInterpolate(B3Minterpolation,R93,TRUE)</f>
        <v>7.3876276012610389E-4</v>
      </c>
      <c r="V93" s="184">
        <f>_xll.qlYieldTSDiscount(Discounting,R93,,AllTriggers)</f>
        <v>1.0010334497129252</v>
      </c>
      <c r="W93" s="184">
        <f>_xll.qlYieldTSDiscount(Discounting,S93,,AllTriggers)</f>
        <v>1.0017988542595904</v>
      </c>
      <c r="X93" s="21">
        <f t="shared" si="7"/>
        <v>-2.9896832650833098E-3</v>
      </c>
      <c r="Y93" s="359">
        <f t="shared" si="8"/>
        <v>1.8892143612138319E-4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42311</v>
      </c>
      <c r="S94" s="133">
        <f>_xll.qlCalendarAdvance(Calendar,R94,$F$1,"mf",,Trigger)</f>
        <v>42403</v>
      </c>
      <c r="T94" s="183">
        <f>_xll.qlDayCounterYearFraction(DayCounter,R94,S94,,,Trigger)</f>
        <v>0.25555555555555554</v>
      </c>
      <c r="U94" s="21">
        <f>_xll.qlInterpolationInterpolate(B3Minterpolation,R94,TRUE)</f>
        <v>7.4209626787325172E-4</v>
      </c>
      <c r="V94" s="184">
        <f>_xll.qlYieldTSDiscount(Discounting,R94,,AllTriggers)</f>
        <v>1.0010416277539445</v>
      </c>
      <c r="W94" s="184">
        <f>_xll.qlYieldTSDiscount(Discounting,S94,,AllTriggers)</f>
        <v>1.0018071321970361</v>
      </c>
      <c r="X94" s="21">
        <f t="shared" si="7"/>
        <v>-2.9900487552431856E-3</v>
      </c>
      <c r="Y94" s="359">
        <f t="shared" si="8"/>
        <v>1.8977384024267396E-4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42312</v>
      </c>
      <c r="S95" s="133">
        <f>_xll.qlCalendarAdvance(Calendar,R95,$F$1,"mf",,Trigger)</f>
        <v>42404</v>
      </c>
      <c r="T95" s="183">
        <f>_xll.qlDayCounterYearFraction(DayCounter,R95,S95,,,Trigger)</f>
        <v>0.25555555555555554</v>
      </c>
      <c r="U95" s="21">
        <f>_xll.qlInterpolationInterpolate(B3Minterpolation,R95,TRUE)</f>
        <v>7.4548717575435961E-4</v>
      </c>
      <c r="V95" s="184">
        <f>_xll.qlYieldTSDiscount(Discounting,R95,,AllTriggers)</f>
        <v>1.001049805133299</v>
      </c>
      <c r="W95" s="184">
        <f>_xll.qlYieldTSDiscount(Discounting,S95,,AllTriggers)</f>
        <v>1.0018154068963403</v>
      </c>
      <c r="X95" s="21">
        <f t="shared" si="7"/>
        <v>-2.990404185432814E-3</v>
      </c>
      <c r="Y95" s="359">
        <f t="shared" si="8"/>
        <v>1.906409206498747E-4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42313</v>
      </c>
      <c r="S96" s="133">
        <f>_xll.qlCalendarAdvance(Calendar,R96,$F$1,"mf",,Trigger)</f>
        <v>42405</v>
      </c>
      <c r="T96" s="183">
        <f>_xll.qlDayCounterYearFraction(DayCounter,R96,S96,,,Trigger)</f>
        <v>0.25555555555555554</v>
      </c>
      <c r="U96" s="21">
        <f>_xll.qlInterpolationInterpolate(B3Minterpolation,R96,TRUE)</f>
        <v>7.4893466328639362E-4</v>
      </c>
      <c r="V96" s="184">
        <f>_xll.qlYieldTSDiscount(Discounting,R96,,AllTriggers)</f>
        <v>1.0010579822642762</v>
      </c>
      <c r="W96" s="184">
        <f>_xll.qlYieldTSDiscount(Discounting,S96,,AllTriggers)</f>
        <v>1.0018236783771131</v>
      </c>
      <c r="X96" s="21">
        <f t="shared" si="7"/>
        <v>-2.9907480181737885E-3</v>
      </c>
      <c r="Y96" s="359">
        <f t="shared" si="8"/>
        <v>1.9152246742759163E-4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42314</v>
      </c>
      <c r="S97" s="133">
        <f>_xll.qlCalendarAdvance(Calendar,R97,$F$1,"mf",,Trigger)</f>
        <v>42408</v>
      </c>
      <c r="T97" s="183">
        <f>_xll.qlDayCounterYearFraction(DayCounter,R97,S97,,,Trigger)</f>
        <v>0.26111111111111113</v>
      </c>
      <c r="U97" s="21">
        <f>_xll.qlInterpolationInterpolate(B3Minterpolation,R97,TRUE)</f>
        <v>7.5243790998631959E-4</v>
      </c>
      <c r="V97" s="184">
        <f>_xll.qlYieldTSDiscount(Discounting,R97,,AllTriggers)</f>
        <v>1.001066159560178</v>
      </c>
      <c r="W97" s="184">
        <f>_xll.qlYieldTSDiscount(Discounting,S97,,AllTriggers)</f>
        <v>1.0018484737043529</v>
      </c>
      <c r="X97" s="21">
        <f t="shared" si="7"/>
        <v>-2.9905687347049773E-3</v>
      </c>
      <c r="Y97" s="359">
        <f t="shared" si="8"/>
        <v>1.966041083495233E-4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42317</v>
      </c>
      <c r="S98" s="133">
        <f>_xll.qlCalendarAdvance(Calendar,R98,$F$1,"mf",,Trigger)</f>
        <v>42409</v>
      </c>
      <c r="T98" s="183">
        <f>_xll.qlDayCounterYearFraction(DayCounter,R98,S98,,,Trigger)</f>
        <v>0.25555555555555554</v>
      </c>
      <c r="U98" s="21">
        <f>_xll.qlInterpolationInterpolate(B3Minterpolation,R98,TRUE)</f>
        <v>7.6327400026310853E-4</v>
      </c>
      <c r="V98" s="184">
        <f>_xll.qlYieldTSDiscount(Discounting,R98,,AllTriggers)</f>
        <v>1.0010906965706456</v>
      </c>
      <c r="W98" s="184">
        <f>_xll.qlYieldTSDiscount(Discounting,S98,,AllTriggers)</f>
        <v>1.0018567325071139</v>
      </c>
      <c r="X98" s="21">
        <f t="shared" si="7"/>
        <v>-2.9919766250504584E-3</v>
      </c>
      <c r="Y98" s="359">
        <f t="shared" si="8"/>
        <v>1.9518911988170357E-4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42318</v>
      </c>
      <c r="S99" s="133">
        <f>_xll.qlCalendarAdvance(Calendar,R99,$F$1,"mf",,Trigger)</f>
        <v>42410</v>
      </c>
      <c r="T99" s="183">
        <f>_xll.qlDayCounterYearFraction(DayCounter,R99,S99,,,Trigger)</f>
        <v>0.25555555555555554</v>
      </c>
      <c r="U99" s="21">
        <f>_xll.qlInterpolationInterpolate(B3Minterpolation,R99,TRUE)</f>
        <v>7.669920788042616E-4</v>
      </c>
      <c r="V99" s="184">
        <f>_xll.qlYieldTSDiscount(Discounting,R99,,AllTriggers)</f>
        <v>1.0010988786595287</v>
      </c>
      <c r="W99" s="184">
        <f>_xll.qlYieldTSDiscount(Discounting,S99,,AllTriggers)</f>
        <v>1.0018649881894042</v>
      </c>
      <c r="X99" s="21">
        <f t="shared" si="7"/>
        <v>-2.992239408356009E-3</v>
      </c>
      <c r="Y99" s="359">
        <f t="shared" si="8"/>
        <v>1.9613984972547137E-4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42319</v>
      </c>
      <c r="S100" s="133">
        <f>_xll.qlCalendarAdvance(Calendar,R100,$F$1,"mf",,Trigger)</f>
        <v>42411</v>
      </c>
      <c r="T100" s="183">
        <f>_xll.qlDayCounterYearFraction(DayCounter,R100,S100,,,Trigger)</f>
        <v>0.25555555555555554</v>
      </c>
      <c r="U100" s="21">
        <f>_xll.qlInterpolationInterpolate(B3Minterpolation,R100,TRUE)</f>
        <v>7.7076181409813636E-4</v>
      </c>
      <c r="V100" s="184">
        <f>_xll.qlYieldTSDiscount(Discounting,R100,,AllTriggers)</f>
        <v>1.0011070629800458</v>
      </c>
      <c r="W100" s="184">
        <f>_xll.qlYieldTSDiscount(Discounting,S100,,AllTriggers)</f>
        <v>1.0018732407708373</v>
      </c>
      <c r="X100" s="21">
        <f t="shared" si="7"/>
        <v>-2.9924813693376945E-3</v>
      </c>
      <c r="Y100" s="359">
        <f t="shared" si="8"/>
        <v>1.9710378641358769E-4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42320</v>
      </c>
      <c r="S101" s="133">
        <f>_xll.qlCalendarAdvance(Calendar,R101,$F$1,"mf",,Trigger)</f>
        <v>42412</v>
      </c>
      <c r="T101" s="183">
        <f>_xll.qlDayCounterYearFraction(DayCounter,R101,S101,,,Trigger)</f>
        <v>0.25555555555555554</v>
      </c>
      <c r="U101" s="21">
        <f>_xll.qlInterpolationInterpolate(B3Minterpolation,R101,TRUE)</f>
        <v>7.7458238566169854E-4</v>
      </c>
      <c r="V101" s="184">
        <f>_xll.qlYieldTSDiscount(Discounting,R101,,AllTriggers)</f>
        <v>1.0011152499455795</v>
      </c>
      <c r="W101" s="184">
        <f>_xll.qlYieldTSDiscount(Discounting,S101,,AllTriggers)</f>
        <v>1.0018814902710287</v>
      </c>
      <c r="X101" s="21">
        <f t="shared" si="7"/>
        <v>-2.9927009705192813E-3</v>
      </c>
      <c r="Y101" s="359">
        <f t="shared" si="8"/>
        <v>1.9808072001892171E-4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42321</v>
      </c>
      <c r="S102" s="133">
        <f>_xll.qlCalendarAdvance(Calendar,R102,$F$1,"mf",,Trigger)</f>
        <v>42415</v>
      </c>
      <c r="T102" s="183">
        <f>_xll.qlDayCounterYearFraction(DayCounter,R102,S102,,,Trigger)</f>
        <v>0.26111111111111113</v>
      </c>
      <c r="U102" s="21">
        <f>_xll.qlInterpolationInterpolate(B3Minterpolation,R102,TRUE)</f>
        <v>7.784529730119141E-4</v>
      </c>
      <c r="V102" s="184">
        <f>_xll.qlYieldTSDiscount(Discounting,R102,,AllTriggers)</f>
        <v>1.0011234399695257</v>
      </c>
      <c r="W102" s="184">
        <f>_xll.qlYieldTSDiscount(Discounting,S102,,AllTriggers)</f>
        <v>1.0019062204803095</v>
      </c>
      <c r="X102" s="21">
        <f t="shared" si="7"/>
        <v>-2.9921790542631011E-3</v>
      </c>
      <c r="Y102" s="359">
        <f t="shared" si="8"/>
        <v>2.0340096489842118E-4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42324</v>
      </c>
      <c r="S103" s="133">
        <f>_xll.qlCalendarAdvance(Calendar,R103,$F$1,"mf",,Trigger)</f>
        <v>42416</v>
      </c>
      <c r="T103" s="183">
        <f>_xll.qlDayCounterYearFraction(DayCounter,R103,S103,,,Trigger)</f>
        <v>0.25555555555555554</v>
      </c>
      <c r="U103" s="21">
        <f>_xll.qlInterpolationInterpolate(B3Minterpolation,R103,TRUE)</f>
        <v>7.9035662495214091E-4</v>
      </c>
      <c r="V103" s="184">
        <f>_xll.qlYieldTSDiscount(Discounting,R103,,AllTriggers)</f>
        <v>1.0011480325260032</v>
      </c>
      <c r="W103" s="184">
        <f>_xll.qlYieldTSDiscount(Discounting,S103,,AllTriggers)</f>
        <v>1.001914457851695</v>
      </c>
      <c r="X103" s="21">
        <f t="shared" si="7"/>
        <v>-2.9933250276704538E-3</v>
      </c>
      <c r="Y103" s="359">
        <f t="shared" si="8"/>
        <v>2.0211422501345311E-4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42325</v>
      </c>
      <c r="S104" s="133">
        <f>_xll.qlCalendarAdvance(Calendar,R104,$F$1,"mf",,Trigger)</f>
        <v>42417</v>
      </c>
      <c r="T104" s="183">
        <f>_xll.qlDayCounterYearFraction(DayCounter,R104,S104,,,Trigger)</f>
        <v>0.25555555555555554</v>
      </c>
      <c r="U104" s="21">
        <f>_xll.qlInterpolationInterpolate(B3Minterpolation,R104,TRUE)</f>
        <v>7.9441907061862953E-4</v>
      </c>
      <c r="V104" s="184">
        <f>_xll.qlYieldTSDiscount(Discounting,R104,,AllTriggers)</f>
        <v>1.001156238917831</v>
      </c>
      <c r="W104" s="184">
        <f>_xll.qlYieldTSDiscount(Discounting,S104,,AllTriggers)</f>
        <v>1.0019226922399229</v>
      </c>
      <c r="X104" s="21">
        <f t="shared" si="7"/>
        <v>-2.9934097676719913E-3</v>
      </c>
      <c r="Y104" s="359">
        <f t="shared" si="8"/>
        <v>2.0315299424036713E-4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42326</v>
      </c>
      <c r="S105" s="133">
        <f>_xll.qlCalendarAdvance(Calendar,R105,$F$1,"mf",,Trigger)</f>
        <v>42418</v>
      </c>
      <c r="T105" s="183">
        <f>_xll.qlDayCounterYearFraction(DayCounter,R105,S105,,,Trigger)</f>
        <v>0.25555555555555554</v>
      </c>
      <c r="U105" s="21">
        <f>_xll.qlInterpolationInterpolate(B3Minterpolation,R105,TRUE)</f>
        <v>7.9852742965660114E-4</v>
      </c>
      <c r="V105" s="184">
        <f>_xll.qlYieldTSDiscount(Discounting,R105,,AllTriggers)</f>
        <v>1.0011644504352553</v>
      </c>
      <c r="W105" s="184">
        <f>_xll.qlYieldTSDiscount(Discounting,S105,,AllTriggers)</f>
        <v>1.0019309236646119</v>
      </c>
      <c r="X105" s="21">
        <f t="shared" si="7"/>
        <v>-2.9934629229982192E-3</v>
      </c>
      <c r="Y105" s="359">
        <f t="shared" si="8"/>
        <v>2.0420350078671185E-4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42327</v>
      </c>
      <c r="S106" s="133">
        <f>_xll.qlCalendarAdvance(Calendar,R106,$F$1,"mf",,Trigger)</f>
        <v>42419</v>
      </c>
      <c r="T106" s="183">
        <f>_xll.qlDayCounterYearFraction(DayCounter,R106,S106,,,Trigger)</f>
        <v>0.25555555555555554</v>
      </c>
      <c r="U106" s="21">
        <f>_xll.qlInterpolationInterpolate(B3Minterpolation,R106,TRUE)</f>
        <v>8.026808815830217E-4</v>
      </c>
      <c r="V106" s="184">
        <f>_xll.qlYieldTSDiscount(Discounting,R106,,AllTriggers)</f>
        <v>1.0011726674917534</v>
      </c>
      <c r="W106" s="184">
        <f>_xll.qlYieldTSDiscount(Discounting,S106,,AllTriggers)</f>
        <v>1.0019391521453818</v>
      </c>
      <c r="X106" s="21">
        <f t="shared" si="7"/>
        <v>-2.9934829561711657E-3</v>
      </c>
      <c r="Y106" s="359">
        <f t="shared" si="8"/>
        <v>2.0526553471296956E-4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42328</v>
      </c>
      <c r="S107" s="133">
        <f>_xll.qlCalendarAdvance(Calendar,R107,$F$1,"mf",,Trigger)</f>
        <v>42422</v>
      </c>
      <c r="T107" s="183">
        <f>_xll.qlDayCounterYearFraction(DayCounter,R107,S107,,,Trigger)</f>
        <v>0.26111111111111113</v>
      </c>
      <c r="U107" s="21">
        <f>_xll.qlInterpolationInterpolate(B3Minterpolation,R107,TRUE)</f>
        <v>8.0687860591485726E-4</v>
      </c>
      <c r="V107" s="184">
        <f>_xll.qlYieldTSDiscount(Discounting,R107,,AllTriggers)</f>
        <v>1.0011808905008164</v>
      </c>
      <c r="W107" s="184">
        <f>_xll.qlYieldTSDiscount(Discounting,S107,,AllTriggers)</f>
        <v>1.001963820120382</v>
      </c>
      <c r="X107" s="21">
        <f t="shared" si="7"/>
        <v>-2.9925769792824193E-3</v>
      </c>
      <c r="Y107" s="359">
        <f t="shared" si="8"/>
        <v>2.1082750058576974E-4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42331</v>
      </c>
      <c r="S108" s="133">
        <f>_xll.qlCalendarAdvance(Calendar,R108,$F$1,"mf",,Trigger)</f>
        <v>42423</v>
      </c>
      <c r="T108" s="183">
        <f>_xll.qlDayCounterYearFraction(DayCounter,R108,S108,,,Trigger)</f>
        <v>0.25555555555555554</v>
      </c>
      <c r="U108" s="21">
        <f>_xll.qlInterpolationInterpolate(B3Minterpolation,R108,TRUE)</f>
        <v>8.1972920851251232E-4</v>
      </c>
      <c r="V108" s="184">
        <f>_xll.qlYieldTSDiscount(Discounting,R108,,AllTriggers)</f>
        <v>1.0012055993785141</v>
      </c>
      <c r="W108" s="184">
        <f>_xll.qlYieldTSDiscount(Discounting,S108,,AllTriggers)</f>
        <v>1.0019720370216842</v>
      </c>
      <c r="X108" s="21">
        <f t="shared" si="7"/>
        <v>-2.9932011176834004E-3</v>
      </c>
      <c r="Y108" s="359">
        <f t="shared" si="8"/>
        <v>2.0962474537532304E-4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42332</v>
      </c>
      <c r="S109" s="133">
        <f>_xll.qlCalendarAdvance(Calendar,R109,$F$1,"mf",,Trigger)</f>
        <v>42424</v>
      </c>
      <c r="T109" s="183">
        <f>_xll.qlDayCounterYearFraction(DayCounter,R109,S109,,,Trigger)</f>
        <v>0.25555555555555554</v>
      </c>
      <c r="U109" s="21">
        <f>_xll.qlInterpolationInterpolate(B3Minterpolation,R109,TRUE)</f>
        <v>8.2409581763566659E-4</v>
      </c>
      <c r="V109" s="184">
        <f>_xll.qlYieldTSDiscount(Discounting,R109,,AllTriggers)</f>
        <v>1.0012138503330241</v>
      </c>
      <c r="W109" s="184">
        <f>_xll.qlYieldTSDiscount(Discounting,S109,,AllTriggers)</f>
        <v>1.0019802510771751</v>
      </c>
      <c r="X109" s="21">
        <f t="shared" si="7"/>
        <v>-2.9930324778460883E-3</v>
      </c>
      <c r="Y109" s="359">
        <f t="shared" si="8"/>
        <v>2.1074126705348292E-4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42333</v>
      </c>
      <c r="S110" s="133">
        <f>_xll.qlCalendarAdvance(Calendar,R110,$F$1,"mf",,Trigger)</f>
        <v>42425</v>
      </c>
      <c r="T110" s="183">
        <f>_xll.qlDayCounterYearFraction(DayCounter,R110,S110,,,Trigger)</f>
        <v>0.25555555555555554</v>
      </c>
      <c r="U110" s="21">
        <f>_xll.qlInterpolationInterpolate(B3Minterpolation,R110,TRUE)</f>
        <v>8.2850259674906548E-4</v>
      </c>
      <c r="V110" s="184">
        <f>_xll.qlYieldTSDiscount(Discounting,R110,,AllTriggers)</f>
        <v>1.0012221093077611</v>
      </c>
      <c r="W110" s="184">
        <f>_xll.qlYieldTSDiscount(Discounting,S110,,AllTriggers)</f>
        <v>1.0019884623064783</v>
      </c>
      <c r="X110" s="21">
        <f t="shared" si="7"/>
        <v>-2.9928214909511765E-3</v>
      </c>
      <c r="Y110" s="359">
        <f t="shared" si="8"/>
        <v>2.1186805643979499E-4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42334</v>
      </c>
      <c r="S111" s="133">
        <f>_xll.qlCalendarAdvance(Calendar,R111,$F$1,"mf",,Trigger)</f>
        <v>42426</v>
      </c>
      <c r="T111" s="183">
        <f>_xll.qlDayCounterYearFraction(DayCounter,R111,S111,,,Trigger)</f>
        <v>0.25555555555555554</v>
      </c>
      <c r="U111" s="21">
        <f>_xll.qlInterpolationInterpolate(B3Minterpolation,R111,TRUE)</f>
        <v>8.3294872536967472E-4</v>
      </c>
      <c r="V111" s="184">
        <f>_xll.qlYieldTSDiscount(Discounting,R111,,AllTriggers)</f>
        <v>1.0012303767162987</v>
      </c>
      <c r="W111" s="184">
        <f>_xll.qlYieldTSDiscount(Discounting,S111,,AllTriggers)</f>
        <v>1.0019966707292181</v>
      </c>
      <c r="X111" s="21">
        <f t="shared" si="7"/>
        <v>-2.9925666195102676E-3</v>
      </c>
      <c r="Y111" s="359">
        <f t="shared" si="8"/>
        <v>2.1300490358266367E-4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42335</v>
      </c>
      <c r="S112" s="133">
        <f>_xll.qlCalendarAdvance(Calendar,R112,$F$1,"mf",,Trigger)</f>
        <v>42429</v>
      </c>
      <c r="T112" s="183">
        <f>_xll.qlDayCounterYearFraction(DayCounter,R112,S112,,,Trigger)</f>
        <v>0.26111111111111113</v>
      </c>
      <c r="U112" s="21">
        <f>_xll.qlInterpolationInterpolate(B3Minterpolation,R112,TRUE)</f>
        <v>8.3743338301446027E-4</v>
      </c>
      <c r="V112" s="184">
        <f>_xll.qlYieldTSDiscount(Discounting,R112,,AllTriggers)</f>
        <v>1.0012386529722248</v>
      </c>
      <c r="W112" s="184">
        <f>_xll.qlYieldTSDiscount(Discounting,S112,,AllTriggers)</f>
        <v>1.0020212793543091</v>
      </c>
      <c r="X112" s="21">
        <f t="shared" si="7"/>
        <v>-2.9912463825742847E-3</v>
      </c>
      <c r="Y112" s="359">
        <f t="shared" si="8"/>
        <v>2.1881014028391974E-4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42338</v>
      </c>
      <c r="S113" s="133">
        <f>_xll.qlCalendarAdvance(Calendar,R113,$F$1,"mf",,Trigger)</f>
        <v>42429</v>
      </c>
      <c r="T113" s="183">
        <f>_xll.qlDayCounterYearFraction(DayCounter,R113,S113,,,Trigger)</f>
        <v>0.25277777777777777</v>
      </c>
      <c r="U113" s="21">
        <f>_xll.qlInterpolationInterpolate(B3Minterpolation,R113,TRUE)</f>
        <v>8.511103252635344E-4</v>
      </c>
      <c r="V113" s="184">
        <f>_xll.qlYieldTSDiscount(Discounting,R113,,AllTriggers)</f>
        <v>1.0012635389604183</v>
      </c>
      <c r="W113" s="184">
        <f>_xll.qlYieldTSDiscount(Discounting,S113,,AllTriggers)</f>
        <v>1.0020212793543091</v>
      </c>
      <c r="X113" s="21">
        <f t="shared" si="7"/>
        <v>-2.9916074311652722E-3</v>
      </c>
      <c r="Y113" s="359">
        <f t="shared" si="8"/>
        <v>2.1528141784671098E-4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42339</v>
      </c>
      <c r="S114" s="133">
        <f>_xll.qlCalendarAdvance(Calendar,R114,$F$1,"mf",,Trigger)</f>
        <v>42430</v>
      </c>
      <c r="T114" s="183">
        <f>_xll.qlDayCounterYearFraction(DayCounter,R114,S114,,,Trigger)</f>
        <v>0.25277777777777777</v>
      </c>
      <c r="U114" s="21">
        <f>_xll.qlInterpolationInterpolate(B3Minterpolation,R114,TRUE)</f>
        <v>8.5574089417468451E-4</v>
      </c>
      <c r="V114" s="184">
        <f>_xll.qlYieldTSDiscount(Discounting,R114,,AllTriggers)</f>
        <v>1.0012718545901291</v>
      </c>
      <c r="W114" s="184">
        <f>_xll.qlYieldTSDiscount(Discounting,S114,,AllTriggers)</f>
        <v>1.0020294767470508</v>
      </c>
      <c r="X114" s="21">
        <f t="shared" si="7"/>
        <v>-2.9911161541721198E-3</v>
      </c>
      <c r="Y114" s="359">
        <f t="shared" si="8"/>
        <v>2.1645252885094078E-4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42340</v>
      </c>
      <c r="S115" s="133">
        <f>_xll.qlCalendarAdvance(Calendar,R115,$F$1,"mf",,Trigger)</f>
        <v>42431</v>
      </c>
      <c r="T115" s="183">
        <f>_xll.qlDayCounterYearFraction(DayCounter,R115,S115,,,Trigger)</f>
        <v>0.25277777777777777</v>
      </c>
      <c r="U115" s="21">
        <f>_xll.qlInterpolationInterpolate(B3Minterpolation,R115,TRUE)</f>
        <v>8.6040588969484065E-4</v>
      </c>
      <c r="V115" s="184">
        <f>_xll.qlYieldTSDiscount(Discounting,R115,,AllTriggers)</f>
        <v>1.001280180223826</v>
      </c>
      <c r="W115" s="184">
        <f>_xll.qlYieldTSDiscount(Discounting,S115,,AllTriggers)</f>
        <v>1.0020376714313606</v>
      </c>
      <c r="X115" s="21">
        <f t="shared" si="7"/>
        <v>-2.9905747046842369E-3</v>
      </c>
      <c r="Y115" s="359">
        <f t="shared" si="8"/>
        <v>2.1763234240087623E-4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42341</v>
      </c>
      <c r="S116" s="133">
        <f>_xll.qlCalendarAdvance(Calendar,R116,$F$1,"mf",,Trigger)</f>
        <v>42432</v>
      </c>
      <c r="T116" s="183">
        <f>_xll.qlDayCounterYearFraction(DayCounter,R116,S116,,,Trigger)</f>
        <v>0.25277777777777777</v>
      </c>
      <c r="U116" s="21">
        <f>_xll.qlInterpolationInterpolate(B3Minterpolation,R116,TRUE)</f>
        <v>8.6510449134096878E-4</v>
      </c>
      <c r="V116" s="184">
        <f>_xll.qlYieldTSDiscount(Discounting,R116,,AllTriggers)</f>
        <v>1.0012885153636026</v>
      </c>
      <c r="W116" s="184">
        <f>_xll.qlYieldTSDiscount(Discounting,S116,,AllTriggers)</f>
        <v>1.0020458634268665</v>
      </c>
      <c r="X116" s="21">
        <f t="shared" si="7"/>
        <v>-2.9899851270781602E-3</v>
      </c>
      <c r="Y116" s="359">
        <f t="shared" si="8"/>
        <v>2.188206510188666E-4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42342</v>
      </c>
      <c r="S117" s="133">
        <f>_xll.qlCalendarAdvance(Calendar,R117,$F$1,"mf",,Trigger)</f>
        <v>42433</v>
      </c>
      <c r="T117" s="183">
        <f>_xll.qlDayCounterYearFraction(DayCounter,R117,S117,,,Trigger)</f>
        <v>0.25277777777777777</v>
      </c>
      <c r="U117" s="21">
        <f>_xll.qlInterpolationInterpolate(B3Minterpolation,R117,TRUE)</f>
        <v>8.6983587863003462E-4</v>
      </c>
      <c r="V117" s="184">
        <f>_xll.qlYieldTSDiscount(Discounting,R117,,AllTriggers)</f>
        <v>1.0012968595115368</v>
      </c>
      <c r="W117" s="184">
        <f>_xll.qlYieldTSDiscount(Discounting,S117,,AllTriggers)</f>
        <v>1.0020540527531974</v>
      </c>
      <c r="X117" s="21">
        <f t="shared" si="7"/>
        <v>-2.9893494657282299E-3</v>
      </c>
      <c r="Y117" s="359">
        <f t="shared" si="8"/>
        <v>2.2001724723046923E-4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42345</v>
      </c>
      <c r="S118" s="133">
        <f>_xll.qlCalendarAdvance(Calendar,R118,$F$1,"mf",,Trigger)</f>
        <v>42436</v>
      </c>
      <c r="T118" s="183">
        <f>_xll.qlDayCounterYearFraction(DayCounter,R118,S118,,,Trigger)</f>
        <v>0.25277777777777777</v>
      </c>
      <c r="U118" s="21">
        <f>_xll.qlInterpolationInterpolate(B3Minterpolation,R118,TRUE)</f>
        <v>8.8421854952451821E-4</v>
      </c>
      <c r="V118" s="184">
        <f>_xll.qlYieldTSDiscount(Discounting,R118,,AllTriggers)</f>
        <v>1.0013219410248164</v>
      </c>
      <c r="W118" s="184">
        <f>_xll.qlYieldTSDiscount(Discounting,S118,,AllTriggers)</f>
        <v>1.0020786049134398</v>
      </c>
      <c r="X118" s="21">
        <f t="shared" si="7"/>
        <v>-2.987186422969257E-3</v>
      </c>
      <c r="Y118" s="359">
        <f t="shared" si="8"/>
        <v>2.236546867207941E-4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42346</v>
      </c>
      <c r="S119" s="133">
        <f>_xll.qlCalendarAdvance(Calendar,R119,$F$1,"mf",,Trigger)</f>
        <v>42437</v>
      </c>
      <c r="T119" s="183">
        <f>_xll.qlDayCounterYearFraction(DayCounter,R119,S119,,,Trigger)</f>
        <v>0.25277777777777777</v>
      </c>
      <c r="U119" s="21">
        <f>_xll.qlInterpolationInterpolate(B3Minterpolation,R119,TRUE)</f>
        <v>8.8907287455499448E-4</v>
      </c>
      <c r="V119" s="184">
        <f>_xll.qlYieldTSDiscount(Discounting,R119,,AllTriggers)</f>
        <v>1.00133031622583</v>
      </c>
      <c r="W119" s="184">
        <f>_xll.qlYieldTSDiscount(Discounting,S119,,AllTriggers)</f>
        <v>1.0020867837593737</v>
      </c>
      <c r="X119" s="21">
        <f t="shared" si="7"/>
        <v>-2.9863868703982922E-3</v>
      </c>
      <c r="Y119" s="359">
        <f t="shared" si="8"/>
        <v>2.2488235861563481E-4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42347</v>
      </c>
      <c r="S120" s="133">
        <f>_xll.qlCalendarAdvance(Calendar,R120,$F$1,"mf",,Trigger)</f>
        <v>42438</v>
      </c>
      <c r="T120" s="183">
        <f>_xll.qlDayCounterYearFraction(DayCounter,R120,S120,,,Trigger)</f>
        <v>0.25277777777777777</v>
      </c>
      <c r="U120" s="21">
        <f>_xll.qlInterpolationInterpolate(B3Minterpolation,R120,TRUE)</f>
        <v>8.9395588281323819E-4</v>
      </c>
      <c r="V120" s="184">
        <f>_xll.qlYieldTSDiscount(Discounting,R120,,AllTriggers)</f>
        <v>1.0013386979451435</v>
      </c>
      <c r="W120" s="184">
        <f>_xll.qlYieldTSDiscount(Discounting,S120,,AllTriggers)</f>
        <v>1.0020949600342872</v>
      </c>
      <c r="X120" s="21">
        <f t="shared" si="7"/>
        <v>-2.9855514559617626E-3</v>
      </c>
      <c r="Y120" s="359">
        <f t="shared" si="8"/>
        <v>2.261172807737062E-4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42348</v>
      </c>
      <c r="S121" s="133">
        <f>_xll.qlCalendarAdvance(Calendar,R121,$F$1,"mf",,Trigger)</f>
        <v>42439</v>
      </c>
      <c r="T121" s="183">
        <f>_xll.qlDayCounterYearFraction(DayCounter,R121,S121,,,Trigger)</f>
        <v>0.25277777777777777</v>
      </c>
      <c r="U121" s="21">
        <f>_xll.qlInterpolationInterpolate(B3Minterpolation,R121,TRUE)</f>
        <v>8.988667538162153E-4</v>
      </c>
      <c r="V121" s="184">
        <f>_xll.qlYieldTSDiscount(Discounting,R121,,AllTriggers)</f>
        <v>1.0013470856847362</v>
      </c>
      <c r="W121" s="184">
        <f>_xll.qlYieldTSDiscount(Discounting,S121,,AllTriggers)</f>
        <v>1.0021031337578132</v>
      </c>
      <c r="X121" s="21">
        <f t="shared" si="7"/>
        <v>-2.9846822240335688E-3</v>
      </c>
      <c r="Y121" s="359">
        <f t="shared" si="8"/>
        <v>2.2735924573838781E-4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42349</v>
      </c>
      <c r="S122" s="133">
        <f>_xll.qlCalendarAdvance(Calendar,R122,$F$1,"mf",,Trigger)</f>
        <v>42440</v>
      </c>
      <c r="T122" s="183">
        <f>_xll.qlDayCounterYearFraction(DayCounter,R122,S122,,,Trigger)</f>
        <v>0.25277777777777777</v>
      </c>
      <c r="U122" s="21">
        <f>_xll.qlInterpolationInterpolate(B3Minterpolation,R122,TRUE)</f>
        <v>9.0380466708089152E-4</v>
      </c>
      <c r="V122" s="184">
        <f>_xll.qlYieldTSDiscount(Discounting,R122,,AllTriggers)</f>
        <v>1.0013554789465697</v>
      </c>
      <c r="W122" s="184">
        <f>_xll.qlYieldTSDiscount(Discounting,S122,,AllTriggers)</f>
        <v>1.0021113049495856</v>
      </c>
      <c r="X122" s="21">
        <f t="shared" si="7"/>
        <v>-2.9837812189955175E-3</v>
      </c>
      <c r="Y122" s="359">
        <f t="shared" si="8"/>
        <v>2.2860804605571397E-4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42352</v>
      </c>
      <c r="S123" s="133">
        <f>_xll.qlCalendarAdvance(Calendar,R123,$F$1,"mf",,Trigger)</f>
        <v>42443</v>
      </c>
      <c r="T123" s="183">
        <f>_xll.qlDayCounterYearFraction(DayCounter,R123,S123,,,Trigger)</f>
        <v>0.25277777777777777</v>
      </c>
      <c r="U123" s="21">
        <f>_xll.qlInterpolationInterpolate(B3Minterpolation,R123,TRUE)</f>
        <v>9.1877245561477528E-4</v>
      </c>
      <c r="V123" s="184">
        <f>_xll.qlYieldTSDiscount(Discounting,R123,,AllTriggers)</f>
        <v>1.0013806868848933</v>
      </c>
      <c r="W123" s="184">
        <f>_xll.qlYieldTSDiscount(Discounting,S123,,AllTriggers)</f>
        <v>1.0021358035307251</v>
      </c>
      <c r="X123" s="21">
        <f t="shared" si="7"/>
        <v>-2.9809080090003183E-3</v>
      </c>
      <c r="Y123" s="359">
        <f t="shared" si="8"/>
        <v>2.3239338464022802E-4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42353</v>
      </c>
      <c r="S124" s="133">
        <f>_xll.qlCalendarAdvance(Calendar,R124,$F$1,"mf",,Trigger)</f>
        <v>42444</v>
      </c>
      <c r="T124" s="183">
        <f>_xll.qlDayCounterYearFraction(DayCounter,R124,S124,,,Trigger)</f>
        <v>0.25277777777777777</v>
      </c>
      <c r="U124" s="21">
        <f>_xll.qlInterpolationInterpolate(B3Minterpolation,R124,TRUE)</f>
        <v>9.238103330959079E-4</v>
      </c>
      <c r="V124" s="184">
        <f>_xll.qlYieldTSDiscount(Discounting,R124,,AllTriggers)</f>
        <v>1.0013890972549835</v>
      </c>
      <c r="W124" s="184">
        <f>_xll.qlYieldTSDiscount(Discounting,S124,,AllTriggers)</f>
        <v>1.0021439647918311</v>
      </c>
      <c r="X124" s="21">
        <f t="shared" si="7"/>
        <v>-2.9799003553149911E-3</v>
      </c>
      <c r="Y124" s="359">
        <f t="shared" si="8"/>
        <v>2.3366745190137749E-4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42354</v>
      </c>
      <c r="S125" s="133">
        <f>_xll.qlCalendarAdvance(Calendar,R125,$F$1,"mf",,Trigger)</f>
        <v>42445</v>
      </c>
      <c r="T125" s="183">
        <f>_xll.qlDayCounterYearFraction(DayCounter,R125,S125,,,Trigger)</f>
        <v>0.25277777777777777</v>
      </c>
      <c r="U125" s="21">
        <f>_xll.qlInterpolationInterpolate(B3Minterpolation,R125,TRUE)</f>
        <v>9.2887115042356938E-4</v>
      </c>
      <c r="V125" s="184">
        <f>_xll.qlYieldTSDiscount(Discounting,R125,,AllTriggers)</f>
        <v>1.0013975106568773</v>
      </c>
      <c r="W125" s="184">
        <f>_xll.qlYieldTSDiscount(Discounting,S125,,AllTriggers)</f>
        <v>1.0021521236193609</v>
      </c>
      <c r="X125" s="21">
        <f t="shared" si="7"/>
        <v>-2.9788711504235696E-3</v>
      </c>
      <c r="Y125" s="359">
        <f t="shared" si="8"/>
        <v>2.3494731729897171E-4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42355</v>
      </c>
      <c r="S126" s="133">
        <f>_xll.qlCalendarAdvance(Calendar,R126,$F$1,"mf",,Trigger)</f>
        <v>42446</v>
      </c>
      <c r="T126" s="183">
        <f>_xll.qlDayCounterYearFraction(DayCounter,R126,S126,,,Trigger)</f>
        <v>0.25277777777777777</v>
      </c>
      <c r="U126" s="21">
        <f>_xll.qlInterpolationInterpolate(B3Minterpolation,R126,TRUE)</f>
        <v>9.3397141829799511E-4</v>
      </c>
      <c r="V126" s="184">
        <f>_xll.qlYieldTSDiscount(Discounting,R126,,AllTriggers)</f>
        <v>1.0014059265924373</v>
      </c>
      <c r="W126" s="184">
        <f>_xll.qlYieldTSDiscount(Discounting,S126,,AllTriggers)</f>
        <v>1.0021602800329525</v>
      </c>
      <c r="X126" s="21">
        <f t="shared" si="7"/>
        <v>-2.9778224387153264E-3</v>
      </c>
      <c r="Y126" s="359">
        <f t="shared" si="8"/>
        <v>2.3623715660263969E-4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42356</v>
      </c>
      <c r="S127" s="133">
        <f>_xll.qlCalendarAdvance(Calendar,R127,$F$1,"mf",,Trigger)</f>
        <v>42447</v>
      </c>
      <c r="T127" s="183">
        <f>_xll.qlDayCounterYearFraction(DayCounter,R127,S127,,,Trigger)</f>
        <v>0.25277777777777777</v>
      </c>
      <c r="U127" s="21">
        <f>_xll.qlInterpolationInterpolate(B3Minterpolation,R127,TRUE)</f>
        <v>9.3912669175106169E-4</v>
      </c>
      <c r="V127" s="184">
        <f>_xll.qlYieldTSDiscount(Discounting,R127,,AllTriggers)</f>
        <v>1.0014143445635091</v>
      </c>
      <c r="W127" s="184">
        <f>_xll.qlYieldTSDiscount(Discounting,S127,,AllTriggers)</f>
        <v>1.0021684340522437</v>
      </c>
      <c r="X127" s="21">
        <f t="shared" si="7"/>
        <v>-2.9767562645751436E-3</v>
      </c>
      <c r="Y127" s="359">
        <f t="shared" si="8"/>
        <v>2.3754090386259315E-4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42359</v>
      </c>
      <c r="S128" s="133">
        <f>_xll.qlCalendarAdvance(Calendar,R128,$F$1,"mf",,Trigger)</f>
        <v>42450</v>
      </c>
      <c r="T128" s="183">
        <f>_xll.qlDayCounterYearFraction(DayCounter,R128,S128,,,Trigger)</f>
        <v>0.25277777777777777</v>
      </c>
      <c r="U128" s="21">
        <f>_xll.qlInterpolationInterpolate(B3Minterpolation,R128,TRUE)</f>
        <v>9.5490000572638297E-4</v>
      </c>
      <c r="V128" s="184">
        <f>_xll.qlYieldTSDiscount(Discounting,R128,,AllTriggers)</f>
        <v>1.0014396057080006</v>
      </c>
      <c r="W128" s="184">
        <f>_xll.qlYieldTSDiscount(Discounting,S128,,AllTriggers)</f>
        <v>1.0021928819407075</v>
      </c>
      <c r="X128" s="21">
        <f t="shared" si="7"/>
        <v>-2.9734734114864325E-3</v>
      </c>
      <c r="Y128" s="359">
        <f t="shared" si="8"/>
        <v>2.4152989331075004E-4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42360</v>
      </c>
      <c r="S129" s="133">
        <f>_xll.qlCalendarAdvance(Calendar,R129,$F$1,"mf",,Trigger)</f>
        <v>42451</v>
      </c>
      <c r="T129" s="183">
        <f>_xll.qlDayCounterYearFraction(DayCounter,R129,S129,,,Trigger)</f>
        <v>0.25277777777777777</v>
      </c>
      <c r="U129" s="21">
        <f>_xll.qlInterpolationInterpolate(B3Minterpolation,R129,TRUE)</f>
        <v>9.6025276163828942E-4</v>
      </c>
      <c r="V129" s="184">
        <f>_xll.qlYieldTSDiscount(Discounting,R129,,AllTriggers)</f>
        <v>1.0014480268392414</v>
      </c>
      <c r="W129" s="184">
        <f>_xll.qlYieldTSDiscount(Discounting,S129,,AllTriggers)</f>
        <v>1.0022010265791927</v>
      </c>
      <c r="X129" s="21">
        <f t="shared" si="7"/>
        <v>-2.972357831547237E-3</v>
      </c>
      <c r="Y129" s="359">
        <f t="shared" si="8"/>
        <v>2.4288357235475287E-4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42361</v>
      </c>
      <c r="S130" s="133">
        <f>_xll.qlCalendarAdvance(Calendar,R130,$F$1,"mf",,Trigger)</f>
        <v>42452</v>
      </c>
      <c r="T130" s="183">
        <f>_xll.qlDayCounterYearFraction(DayCounter,R130,S130,,,Trigger)</f>
        <v>0.25277777777777777</v>
      </c>
      <c r="U130" s="21">
        <f>_xll.qlInterpolationInterpolate(B3Minterpolation,R130,TRUE)</f>
        <v>9.656492532009749E-4</v>
      </c>
      <c r="V130" s="184">
        <f>_xll.qlYieldTSDiscount(Discounting,R130,,AllTriggers)</f>
        <v>1.001456447514971</v>
      </c>
      <c r="W130" s="184">
        <f>_xll.qlYieldTSDiscount(Discounting,S130,,AllTriggers)</f>
        <v>1.0022091689215786</v>
      </c>
      <c r="X130" s="21">
        <f t="shared" si="7"/>
        <v>-2.9712350111496992E-3</v>
      </c>
      <c r="Y130" s="359">
        <f t="shared" si="8"/>
        <v>2.4424830936340059E-4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42366</v>
      </c>
      <c r="S131" s="133">
        <f>_xll.qlCalendarAdvance(Calendar,R131,$F$1,"mf",,Trigger)</f>
        <v>42458</v>
      </c>
      <c r="T131" s="183">
        <f>_xll.qlDayCounterYearFraction(DayCounter,R131,S131,,,Trigger)</f>
        <v>0.25555555555555554</v>
      </c>
      <c r="U131" s="21">
        <f>_xll.qlInterpolationInterpolate(B3Minterpolation,R131,TRUE)</f>
        <v>9.9320885628105689E-4</v>
      </c>
      <c r="V131" s="184">
        <f>_xll.qlYieldTSDiscount(Discounting,R131,,AllTriggers)</f>
        <v>1.0014985266214498</v>
      </c>
      <c r="W131" s="184">
        <f>_xll.qlYieldTSDiscount(Discounting,S131,,AllTriggers)</f>
        <v>1.0022579758578118</v>
      </c>
      <c r="X131" s="21">
        <f t="shared" si="7"/>
        <v>-2.9650628411046296E-3</v>
      </c>
      <c r="Y131" s="359">
        <f t="shared" si="8"/>
        <v>2.5398026034002092E-4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42367</v>
      </c>
      <c r="S132" s="133">
        <f>_xll.qlCalendarAdvance(Calendar,R132,$F$1,"mf",,Trigger)</f>
        <v>42458</v>
      </c>
      <c r="T132" s="183">
        <f>_xll.qlDayCounterYearFraction(DayCounter,R132,S132,,,Trigger)</f>
        <v>0.25277777777777777</v>
      </c>
      <c r="U132" s="21">
        <f>_xll.qlInterpolationInterpolate(B3Minterpolation,R132,TRUE)</f>
        <v>9.9882042805139759E-4</v>
      </c>
      <c r="V132" s="184">
        <f>_xll.qlYieldTSDiscount(Discounting,R132,,AllTriggers)</f>
        <v>1.0015069341001761</v>
      </c>
      <c r="W132" s="184">
        <f>_xll.qlYieldTSDiscount(Discounting,S132,,AllTriggers)</f>
        <v>1.0022579758578118</v>
      </c>
      <c r="X132" s="21">
        <f t="shared" ref="X132:X195" si="9">(V132/W132-1)/T132</f>
        <v>-2.9644605257331045E-3</v>
      </c>
      <c r="Y132" s="359">
        <f t="shared" ref="Y132:Y195" si="10">LN((1+(U132+X132)*T132)/(1+X132*T132))</f>
        <v>2.5263703018936208E-4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42368</v>
      </c>
      <c r="S133" s="133">
        <f>_xll.qlCalendarAdvance(Calendar,R133,$F$1,"mf",,Trigger)</f>
        <v>42459</v>
      </c>
      <c r="T133" s="183">
        <f>_xll.qlDayCounterYearFraction(DayCounter,R133,S133,,,Trigger)</f>
        <v>0.25277777777777777</v>
      </c>
      <c r="U133" s="21">
        <f>_xll.qlInterpolationInterpolate(B3Minterpolation,R133,TRUE)</f>
        <v>1.0044599575735112E-3</v>
      </c>
      <c r="V133" s="184">
        <f>_xll.qlYieldTSDiscount(Discounting,R133,,AllTriggers)</f>
        <v>1.0015153377215815</v>
      </c>
      <c r="W133" s="184">
        <f>_xll.qlYieldTSDiscount(Discounting,S133,,AllTriggers)</f>
        <v>1.0022661026234825</v>
      </c>
      <c r="X133" s="21">
        <f t="shared" si="9"/>
        <v>-2.963343711615875E-3</v>
      </c>
      <c r="Y133" s="359">
        <f t="shared" si="10"/>
        <v>2.5406321380859638E-4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42373</v>
      </c>
      <c r="S134" s="133">
        <f>_xll.qlCalendarAdvance(Calendar,R134,$F$1,"mf",,Trigger)</f>
        <v>42464</v>
      </c>
      <c r="T134" s="183">
        <f>_xll.qlDayCounterYearFraction(DayCounter,R134,S134,,,Trigger)</f>
        <v>0.25277777777777777</v>
      </c>
      <c r="U134" s="21">
        <f>_xll.qlInterpolationInterpolate(B3Minterpolation,R134,TRUE)</f>
        <v>1.0329980819656364E-3</v>
      </c>
      <c r="V134" s="184">
        <f>_xll.qlYieldTSDiscount(Discounting,R134,,AllTriggers)</f>
        <v>1.0015572973594395</v>
      </c>
      <c r="W134" s="184">
        <f>_xll.qlYieldTSDiscount(Discounting,S134,,AllTriggers)</f>
        <v>1.0023066934126037</v>
      </c>
      <c r="X134" s="21">
        <f t="shared" si="9"/>
        <v>-2.9578209407233992E-3</v>
      </c>
      <c r="Y134" s="359">
        <f t="shared" si="10"/>
        <v>2.61280200220745E-4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42374</v>
      </c>
      <c r="S135" s="133">
        <f>_xll.qlCalendarAdvance(Calendar,R135,$F$1,"mf",,Trigger)</f>
        <v>42465</v>
      </c>
      <c r="T135" s="183">
        <f>_xll.qlDayCounterYearFraction(DayCounter,R135,S135,,,Trigger)</f>
        <v>0.25277777777777777</v>
      </c>
      <c r="U135" s="21">
        <f>_xll.qlInterpolationInterpolate(B3Minterpolation,R135,TRUE)</f>
        <v>1.0387580243013666E-3</v>
      </c>
      <c r="V135" s="184">
        <f>_xll.qlYieldTSDiscount(Discounting,R135,,AllTriggers)</f>
        <v>1.0015656777302877</v>
      </c>
      <c r="W135" s="184">
        <f>_xll.qlYieldTSDiscount(Discounting,S135,,AllTriggers)</f>
        <v>1.0023148008303719</v>
      </c>
      <c r="X135" s="21">
        <f t="shared" si="9"/>
        <v>-2.9567196952154282E-3</v>
      </c>
      <c r="Y135" s="359">
        <f t="shared" si="10"/>
        <v>2.6273682015837618E-4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42376</v>
      </c>
      <c r="S136" s="133">
        <f>_xll.qlCalendarAdvance(Calendar,R136,$F$1,"mf",,Trigger)</f>
        <v>42467</v>
      </c>
      <c r="T136" s="183">
        <f>_xll.qlDayCounterYearFraction(DayCounter,R136,S136,,,Trigger)</f>
        <v>0.25277777777777777</v>
      </c>
      <c r="U136" s="21">
        <f>_xll.qlInterpolationInterpolate(B3Minterpolation,R136,TRUE)</f>
        <v>1.0503121945455534E-3</v>
      </c>
      <c r="V136" s="184">
        <f>_xll.qlYieldTSDiscount(Discounting,R136,,AllTriggers)</f>
        <v>1.0015824270719709</v>
      </c>
      <c r="W136" s="184">
        <f>_xll.qlYieldTSDiscount(Discounting,S136,,AllTriggers)</f>
        <v>1.0023310024888648</v>
      </c>
      <c r="X136" s="21">
        <f t="shared" si="9"/>
        <v>-2.9545102828234869E-3</v>
      </c>
      <c r="Y136" s="359">
        <f t="shared" si="10"/>
        <v>2.6565872157311929E-4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42377</v>
      </c>
      <c r="S137" s="133">
        <f>_xll.qlCalendarAdvance(Calendar,R137,$F$1,"mf",,Trigger)</f>
        <v>42468</v>
      </c>
      <c r="T137" s="183">
        <f>_xll.qlDayCounterYearFraction(DayCounter,R137,S137,,,Trigger)</f>
        <v>0.25277777777777777</v>
      </c>
      <c r="U137" s="21">
        <f>_xll.qlInterpolationInterpolate(B3Minterpolation,R137,TRUE)</f>
        <v>1.0561019144828651E-3</v>
      </c>
      <c r="V137" s="184">
        <f>_xll.qlYieldTSDiscount(Discounting,R137,,AllTriggers)</f>
        <v>1.0015907960819868</v>
      </c>
      <c r="W137" s="184">
        <f>_xll.qlYieldTSDiscount(Discounting,S137,,AllTriggers)</f>
        <v>1.0023390961202985</v>
      </c>
      <c r="X137" s="21">
        <f t="shared" si="9"/>
        <v>-2.9533995584218021E-3</v>
      </c>
      <c r="Y137" s="359">
        <f t="shared" si="10"/>
        <v>2.6712286278055491E-4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42380</v>
      </c>
      <c r="S138" s="133">
        <f>_xll.qlCalendarAdvance(Calendar,R138,$F$1,"mf",,Trigger)</f>
        <v>42471</v>
      </c>
      <c r="T138" s="183">
        <f>_xll.qlDayCounterYearFraction(DayCounter,R138,S138,,,Trigger)</f>
        <v>0.25277777777777777</v>
      </c>
      <c r="U138" s="21">
        <f>_xll.qlInterpolationInterpolate(B3Minterpolation,R138,TRUE)</f>
        <v>1.0734945657288064E-3</v>
      </c>
      <c r="V138" s="184">
        <f>_xll.qlYieldTSDiscount(Discounting,R138,,AllTriggers)</f>
        <v>1.0016158807038298</v>
      </c>
      <c r="W138" s="184">
        <f>_xll.qlYieldTSDiscount(Discounting,S138,,AllTriggers)</f>
        <v>1.0023633445673963</v>
      </c>
      <c r="X138" s="21">
        <f t="shared" si="9"/>
        <v>-2.9500279672533495E-3</v>
      </c>
      <c r="Y138" s="359">
        <f t="shared" si="10"/>
        <v>2.7152120682756304E-4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42381</v>
      </c>
      <c r="S139" s="133">
        <f>_xll.qlCalendarAdvance(Calendar,R139,$F$1,"mf",,Trigger)</f>
        <v>42472</v>
      </c>
      <c r="T139" s="183">
        <f>_xll.qlDayCounterYearFraction(DayCounter,R139,S139,,,Trigger)</f>
        <v>0.25277777777777777</v>
      </c>
      <c r="U139" s="21">
        <f>_xll.qlInterpolationInterpolate(B3Minterpolation,R139,TRUE)</f>
        <v>1.0792924333368811E-3</v>
      </c>
      <c r="V139" s="184">
        <f>_xll.qlYieldTSDiscount(Discounting,R139,,AllTriggers)</f>
        <v>1.0016242348403523</v>
      </c>
      <c r="W139" s="184">
        <f>_xll.qlYieldTSDiscount(Discounting,S139,,AllTriggers)</f>
        <v>1.0023714155517627</v>
      </c>
      <c r="X139" s="21">
        <f t="shared" si="9"/>
        <v>-2.9488867016627461E-3</v>
      </c>
      <c r="Y139" s="359">
        <f t="shared" si="10"/>
        <v>2.7298739455939924E-4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42382</v>
      </c>
      <c r="S140" s="133">
        <f>_xll.qlCalendarAdvance(Calendar,R140,$F$1,"mf",,Trigger)</f>
        <v>42473</v>
      </c>
      <c r="T140" s="183">
        <f>_xll.qlDayCounterYearFraction(DayCounter,R140,S140,,,Trigger)</f>
        <v>0.25277777777777777</v>
      </c>
      <c r="U140" s="21">
        <f>_xll.qlInterpolationInterpolate(B3Minterpolation,R140,TRUE)</f>
        <v>1.0850867028987154E-3</v>
      </c>
      <c r="V140" s="184">
        <f>_xll.qlYieldTSDiscount(Discounting,R140,,AllTriggers)</f>
        <v>1.0016325853074852</v>
      </c>
      <c r="W140" s="184">
        <f>_xll.qlYieldTSDiscount(Discounting,S140,,AllTriggers)</f>
        <v>1.0023794801126387</v>
      </c>
      <c r="X140" s="21">
        <f t="shared" si="9"/>
        <v>-2.9477346038605315E-3</v>
      </c>
      <c r="Y140" s="359">
        <f t="shared" si="10"/>
        <v>2.7445266860820207E-4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42383</v>
      </c>
      <c r="S141" s="133">
        <f>_xll.qlCalendarAdvance(Calendar,R141,$F$1,"mf",,Trigger)</f>
        <v>42474</v>
      </c>
      <c r="T141" s="183">
        <f>_xll.qlDayCounterYearFraction(DayCounter,R141,S141,,,Trigger)</f>
        <v>0.25277777777777777</v>
      </c>
      <c r="U141" s="21">
        <f>_xll.qlInterpolationInterpolate(B3Minterpolation,R141,TRUE)</f>
        <v>1.0908751204287371E-3</v>
      </c>
      <c r="V141" s="184">
        <f>_xll.qlYieldTSDiscount(Discounting,R141,,AllTriggers)</f>
        <v>1.0016409321248236</v>
      </c>
      <c r="W141" s="184">
        <f>_xll.qlYieldTSDiscount(Discounting,S141,,AllTriggers)</f>
        <v>1.0023875379453155</v>
      </c>
      <c r="X141" s="21">
        <f t="shared" si="9"/>
        <v>-2.9465703950775275E-3</v>
      </c>
      <c r="Y141" s="359">
        <f t="shared" si="10"/>
        <v>2.7591645885304765E-4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42384</v>
      </c>
      <c r="S142" s="133">
        <f>_xll.qlCalendarAdvance(Calendar,R142,$F$1,"mf",,Trigger)</f>
        <v>42475</v>
      </c>
      <c r="T142" s="183">
        <f>_xll.qlDayCounterYearFraction(DayCounter,R142,S142,,,Trigger)</f>
        <v>0.25277777777777777</v>
      </c>
      <c r="U142" s="21">
        <f>_xll.qlInterpolationInterpolate(B3Minterpolation,R142,TRUE)</f>
        <v>1.0966554319413741E-3</v>
      </c>
      <c r="V142" s="184">
        <f>_xll.qlYieldTSDiscount(Discounting,R142,,AllTriggers)</f>
        <v>1.001649275311963</v>
      </c>
      <c r="W142" s="184">
        <f>_xll.qlYieldTSDiscount(Discounting,S142,,AllTriggers)</f>
        <v>1.0023955887450748</v>
      </c>
      <c r="X142" s="21">
        <f t="shared" si="9"/>
        <v>-2.9453927965432379E-3</v>
      </c>
      <c r="Y142" s="359">
        <f t="shared" si="10"/>
        <v>2.7737819517434712E-4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42387</v>
      </c>
      <c r="S143" s="133">
        <f>_xll.qlCalendarAdvance(Calendar,R143,$F$1,"mf",,Trigger)</f>
        <v>42478</v>
      </c>
      <c r="T143" s="183">
        <f>_xll.qlDayCounterYearFraction(DayCounter,R143,S143,,,Trigger)</f>
        <v>0.25277777777777777</v>
      </c>
      <c r="U143" s="21">
        <f>_xll.qlInterpolationInterpolate(B3Minterpolation,R143,TRUE)</f>
        <v>1.1139251905192521E-3</v>
      </c>
      <c r="V143" s="184">
        <f>_xll.qlYieldTSDiscount(Discounting,R143,,AllTriggers)</f>
        <v>1.0016742832881536</v>
      </c>
      <c r="W143" s="184">
        <f>_xll.qlYieldTSDiscount(Discounting,S143,,AllTriggers)</f>
        <v>1.00241969589952</v>
      </c>
      <c r="X143" s="21">
        <f t="shared" si="9"/>
        <v>-2.941766874711003E-3</v>
      </c>
      <c r="Y143" s="359">
        <f t="shared" si="10"/>
        <v>2.8174537943929679E-4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42388</v>
      </c>
      <c r="S144" s="133">
        <f>_xll.qlCalendarAdvance(Calendar,R144,$F$1,"mf",,Trigger)</f>
        <v>42479</v>
      </c>
      <c r="T144" s="183">
        <f>_xll.qlDayCounterYearFraction(DayCounter,R144,S144,,,Trigger)</f>
        <v>0.25277777777777777</v>
      </c>
      <c r="U144" s="21">
        <f>_xll.qlInterpolationInterpolate(B3Minterpolation,R144,TRUE)</f>
        <v>1.1196505381066259E-3</v>
      </c>
      <c r="V144" s="184">
        <f>_xll.qlYieldTSDiscount(Discounting,R144,,AllTriggers)</f>
        <v>1.0016826121504669</v>
      </c>
      <c r="W144" s="184">
        <f>_xll.qlYieldTSDiscount(Discounting,S144,,AllTriggers)</f>
        <v>1.0024277155202328</v>
      </c>
      <c r="X144" s="21">
        <f t="shared" si="9"/>
        <v>-2.9405229294367429E-3</v>
      </c>
      <c r="Y144" s="359">
        <f t="shared" si="10"/>
        <v>2.8319319891878005E-4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42389</v>
      </c>
      <c r="S145" s="133">
        <f>_xll.qlCalendarAdvance(Calendar,R145,$F$1,"mf",,Trigger)</f>
        <v>42480</v>
      </c>
      <c r="T145" s="183">
        <f>_xll.qlDayCounterYearFraction(DayCounter,R145,S145,,,Trigger)</f>
        <v>0.25277777777777777</v>
      </c>
      <c r="U145" s="21">
        <f>_xll.qlInterpolationInterpolate(B3Minterpolation,R145,TRUE)</f>
        <v>1.1253565097487533E-3</v>
      </c>
      <c r="V145" s="184">
        <f>_xll.qlYieldTSDiscount(Discounting,R145,,AllTriggers)</f>
        <v>1.0016909374805698</v>
      </c>
      <c r="W145" s="184">
        <f>_xll.qlYieldTSDiscount(Discounting,S145,,AllTriggers)</f>
        <v>1.002435726584292</v>
      </c>
      <c r="X145" s="21">
        <f t="shared" si="9"/>
        <v>-2.9392592005349997E-3</v>
      </c>
      <c r="Y145" s="359">
        <f t="shared" si="10"/>
        <v>2.8463611391142728E-4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42390</v>
      </c>
      <c r="S146" s="133">
        <f>_xll.qlCalendarAdvance(Calendar,R146,$F$1,"mf",,Trigger)</f>
        <v>42481</v>
      </c>
      <c r="T146" s="183">
        <f>_xll.qlDayCounterYearFraction(DayCounter,R146,S146,,,Trigger)</f>
        <v>0.25277777777777777</v>
      </c>
      <c r="U146" s="21">
        <f>_xll.qlInterpolationInterpolate(B3Minterpolation,R146,TRUE)</f>
        <v>1.1310408514600616E-3</v>
      </c>
      <c r="V146" s="184">
        <f>_xll.qlYieldTSDiscount(Discounting,R146,,AllTriggers)</f>
        <v>1.001699259298062</v>
      </c>
      <c r="W146" s="184">
        <f>_xll.qlYieldTSDiscount(Discounting,S146,,AllTriggers)</f>
        <v>1.0024437287869217</v>
      </c>
      <c r="X146" s="21">
        <f t="shared" si="9"/>
        <v>-2.9379744092234181E-3</v>
      </c>
      <c r="Y146" s="359">
        <f t="shared" si="10"/>
        <v>2.8607355431132793E-4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42391</v>
      </c>
      <c r="S147" s="133">
        <f>_xll.qlCalendarAdvance(Calendar,R147,$F$1,"mf",,Trigger)</f>
        <v>42482</v>
      </c>
      <c r="T147" s="183">
        <f>_xll.qlDayCounterYearFraction(DayCounter,R147,S147,,,Trigger)</f>
        <v>0.25277777777777777</v>
      </c>
      <c r="U147" s="21">
        <f>_xll.qlInterpolationInterpolate(B3Minterpolation,R147,TRUE)</f>
        <v>1.1367013092549783E-3</v>
      </c>
      <c r="V147" s="184">
        <f>_xll.qlYieldTSDiscount(Discounting,R147,,AllTriggers)</f>
        <v>1.0017075776225439</v>
      </c>
      <c r="W147" s="184">
        <f>_xll.qlYieldTSDiscount(Discounting,S147,,AllTriggers)</f>
        <v>1.0024517218233362</v>
      </c>
      <c r="X147" s="21">
        <f t="shared" si="9"/>
        <v>-2.936667276719204E-3</v>
      </c>
      <c r="Y147" s="359">
        <f t="shared" si="10"/>
        <v>2.8750495001443372E-4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42394</v>
      </c>
      <c r="S148" s="133">
        <f>_xll.qlCalendarAdvance(Calendar,R148,$F$1,"mf",,Trigger)</f>
        <v>42485</v>
      </c>
      <c r="T148" s="183">
        <f>_xll.qlDayCounterYearFraction(DayCounter,R148,S148,,,Trigger)</f>
        <v>0.25277777777777777</v>
      </c>
      <c r="U148" s="21">
        <f>_xll.qlInterpolationInterpolate(B3Minterpolation,R148,TRUE)</f>
        <v>1.1535168392856582E-3</v>
      </c>
      <c r="V148" s="184">
        <f>_xll.qlYieldTSDiscount(Discounting,R148,,AllTriggers)</f>
        <v>1.0017325118339429</v>
      </c>
      <c r="W148" s="184">
        <f>_xll.qlYieldTSDiscount(Discounting,S148,,AllTriggers)</f>
        <v>1.0024756428872932</v>
      </c>
      <c r="X148" s="21">
        <f t="shared" si="9"/>
        <v>-2.9325990441903291E-3</v>
      </c>
      <c r="Y148" s="359">
        <f t="shared" si="10"/>
        <v>2.9175716793882026E-4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42395</v>
      </c>
      <c r="S149" s="133">
        <f>_xll.qlCalendarAdvance(Calendar,R149,$F$1,"mf",,Trigger)</f>
        <v>42486</v>
      </c>
      <c r="T149" s="183">
        <f>_xll.qlDayCounterYearFraction(DayCounter,R149,S149,,,Trigger)</f>
        <v>0.25277777777777777</v>
      </c>
      <c r="U149" s="21">
        <f>_xll.qlInterpolationInterpolate(B3Minterpolation,R149,TRUE)</f>
        <v>1.1590592215592862E-3</v>
      </c>
      <c r="V149" s="184">
        <f>_xll.qlYieldTSDiscount(Discounting,R149,,AllTriggers)</f>
        <v>1.0017408163824022</v>
      </c>
      <c r="W149" s="184">
        <f>_xll.qlYieldTSDiscount(Discounting,S149,,AllTriggers)</f>
        <v>1.0024835962108045</v>
      </c>
      <c r="X149" s="21">
        <f t="shared" si="9"/>
        <v>-2.9311897590437262E-3</v>
      </c>
      <c r="Y149" s="359">
        <f t="shared" si="10"/>
        <v>2.9315868386205408E-4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42396</v>
      </c>
      <c r="S150" s="133">
        <f>_xll.qlCalendarAdvance(Calendar,R150,$F$1,"mf",,Trigger)</f>
        <v>42487</v>
      </c>
      <c r="T150" s="183">
        <f>_xll.qlDayCounterYearFraction(DayCounter,R150,S150,,,Trigger)</f>
        <v>0.25277777777777777</v>
      </c>
      <c r="U150" s="21">
        <f>_xll.qlInterpolationInterpolate(B3Minterpolation,R150,TRUE)</f>
        <v>1.1645664499886615E-3</v>
      </c>
      <c r="V150" s="184">
        <f>_xll.qlYieldTSDiscount(Discounting,R150,,AllTriggers)</f>
        <v>1.0017491175358639</v>
      </c>
      <c r="W150" s="184">
        <f>_xll.qlYieldTSDiscount(Discounting,S150,,AllTriggers)</f>
        <v>1.0024915388440321</v>
      </c>
      <c r="X150" s="21">
        <f t="shared" si="9"/>
        <v>-2.9297517387562632E-3</v>
      </c>
      <c r="Y150" s="359">
        <f t="shared" si="10"/>
        <v>2.9455130460357792E-4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42397</v>
      </c>
      <c r="S151" s="133">
        <f>_xll.qlCalendarAdvance(Calendar,R151,$F$1,"mf",,Trigger)</f>
        <v>42488</v>
      </c>
      <c r="T151" s="183">
        <f>_xll.qlDayCounterYearFraction(DayCounter,R151,S151,,,Trigger)</f>
        <v>0.25277777777777777</v>
      </c>
      <c r="U151" s="21">
        <f>_xll.qlInterpolationInterpolate(B3Minterpolation,R151,TRUE)</f>
        <v>1.1700362705882113E-3</v>
      </c>
      <c r="V151" s="184">
        <f>_xll.qlYieldTSDiscount(Discounting,R151,,AllTriggers)</f>
        <v>1.0017574153139326</v>
      </c>
      <c r="W151" s="184">
        <f>_xll.qlYieldTSDiscount(Discounting,S151,,AllTriggers)</f>
        <v>1.0024994704821344</v>
      </c>
      <c r="X151" s="21">
        <f t="shared" si="9"/>
        <v>-2.9282837045332875E-3</v>
      </c>
      <c r="Y151" s="359">
        <f t="shared" si="10"/>
        <v>2.9593446007326462E-4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42398</v>
      </c>
      <c r="S152" s="133">
        <f>_xll.qlCalendarAdvance(Calendar,R152,$F$1,"mf",,Trigger)</f>
        <v>42489</v>
      </c>
      <c r="T152" s="183">
        <f>_xll.qlDayCounterYearFraction(DayCounter,R152,S152,,,Trigger)</f>
        <v>0.25277777777777777</v>
      </c>
      <c r="U152" s="21">
        <f>_xll.qlInterpolationInterpolate(B3Minterpolation,R152,TRUE)</f>
        <v>1.1754664293723632E-3</v>
      </c>
      <c r="V152" s="184">
        <f>_xll.qlYieldTSDiscount(Discounting,R152,,AllTriggers)</f>
        <v>1.0017657097362136</v>
      </c>
      <c r="W152" s="184">
        <f>_xll.qlYieldTSDiscount(Discounting,S152,,AllTriggers)</f>
        <v>1.0025073908202602</v>
      </c>
      <c r="X152" s="21">
        <f t="shared" si="9"/>
        <v>-2.9267843775735583E-3</v>
      </c>
      <c r="Y152" s="359">
        <f t="shared" si="10"/>
        <v>2.9730758018366106E-4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42401</v>
      </c>
      <c r="S153" s="133">
        <f>_xll.qlCalendarAdvance(Calendar,R153,$F$1,"mf",,Trigger)</f>
        <v>42492</v>
      </c>
      <c r="T153" s="183">
        <f>_xll.qlDayCounterYearFraction(DayCounter,R153,S153,,,Trigger)</f>
        <v>0.25277777777777777</v>
      </c>
      <c r="U153" s="21">
        <f>_xll.qlInterpolationInterpolate(B3Minterpolation,R153,TRUE)</f>
        <v>1.1914963949767093E-3</v>
      </c>
      <c r="V153" s="184">
        <f>_xll.qlYieldTSDiscount(Discounting,R153,,AllTriggers)</f>
        <v>1.0017905730643935</v>
      </c>
      <c r="W153" s="184">
        <f>_xll.qlYieldTSDiscount(Discounting,S153,,AllTriggers)</f>
        <v>1.0025310809861301</v>
      </c>
      <c r="X153" s="21">
        <f t="shared" si="9"/>
        <v>-2.9220858522482664E-3</v>
      </c>
      <c r="Y153" s="359">
        <f t="shared" si="10"/>
        <v>3.0136102751816742E-4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42402</v>
      </c>
      <c r="S154" s="133">
        <f>_xll.qlCalendarAdvance(Calendar,R154,$F$1,"mf",,Trigger)</f>
        <v>42492</v>
      </c>
      <c r="T154" s="183">
        <f>_xll.qlDayCounterYearFraction(DayCounter,R154,S154,,,Trigger)</f>
        <v>0.25</v>
      </c>
      <c r="U154" s="21">
        <f>_xll.qlInterpolationInterpolate(B3Minterpolation,R154,TRUE)</f>
        <v>1.196745366643547E-3</v>
      </c>
      <c r="V154" s="184">
        <f>_xll.qlYieldTSDiscount(Discounting,R154,,AllTriggers)</f>
        <v>1.0017988542595904</v>
      </c>
      <c r="W154" s="184">
        <f>_xll.qlYieldTSDiscount(Discounting,S154,,AllTriggers)</f>
        <v>1.0025310809861301</v>
      </c>
      <c r="X154" s="21">
        <f t="shared" si="9"/>
        <v>-2.9215123218704342E-3</v>
      </c>
      <c r="Y154" s="359">
        <f t="shared" si="10"/>
        <v>2.993602077865591E-4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42403</v>
      </c>
      <c r="S155" s="133">
        <f>_xll.qlCalendarAdvance(Calendar,R155,$F$1,"mf",,Trigger)</f>
        <v>42493</v>
      </c>
      <c r="T155" s="183">
        <f>_xll.qlDayCounterYearFraction(DayCounter,R155,S155,,,Trigger)</f>
        <v>0.25</v>
      </c>
      <c r="U155" s="21">
        <f>_xll.qlInterpolationInterpolate(B3Minterpolation,R155,TRUE)</f>
        <v>1.201943406567125E-3</v>
      </c>
      <c r="V155" s="184">
        <f>_xll.qlYieldTSDiscount(Discounting,R155,,AllTriggers)</f>
        <v>1.0018071321970361</v>
      </c>
      <c r="W155" s="184">
        <f>_xll.qlYieldTSDiscount(Discounting,S155,,AllTriggers)</f>
        <v>1.002538953075655</v>
      </c>
      <c r="X155" s="21">
        <f t="shared" si="9"/>
        <v>-2.9198701013015693E-3</v>
      </c>
      <c r="Y155" s="359">
        <f t="shared" si="10"/>
        <v>3.0066015399273324E-4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42404</v>
      </c>
      <c r="S156" s="133">
        <f>_xll.qlCalendarAdvance(Calendar,R156,$F$1,"mf",,Trigger)</f>
        <v>42494</v>
      </c>
      <c r="T156" s="183">
        <f>_xll.qlDayCounterYearFraction(DayCounter,R156,S156,,,Trigger)</f>
        <v>0.25</v>
      </c>
      <c r="U156" s="21">
        <f>_xll.qlInterpolationInterpolate(B3Minterpolation,R156,TRUE)</f>
        <v>1.2070882607618711E-3</v>
      </c>
      <c r="V156" s="184">
        <f>_xll.qlYieldTSDiscount(Discounting,R156,,AllTriggers)</f>
        <v>1.0018154068963403</v>
      </c>
      <c r="W156" s="184">
        <f>_xll.qlYieldTSDiscount(Discounting,S156,,AllTriggers)</f>
        <v>1.0025468123408103</v>
      </c>
      <c r="X156" s="21">
        <f t="shared" si="9"/>
        <v>-2.9181896963486054E-3</v>
      </c>
      <c r="Y156" s="359">
        <f t="shared" si="10"/>
        <v>3.0194679243422142E-4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42405</v>
      </c>
      <c r="S157" s="133">
        <f>_xll.qlCalendarAdvance(Calendar,R157,$F$1,"mf",,Trigger)</f>
        <v>42496</v>
      </c>
      <c r="T157" s="183">
        <f>_xll.qlDayCounterYearFraction(DayCounter,R157,S157,,,Trigger)</f>
        <v>0.25277777777777777</v>
      </c>
      <c r="U157" s="21">
        <f>_xll.qlInterpolationInterpolate(B3Minterpolation,R157,TRUE)</f>
        <v>1.2121776752422133E-3</v>
      </c>
      <c r="V157" s="184">
        <f>_xll.qlYieldTSDiscount(Discounting,R157,,AllTriggers)</f>
        <v>1.0018236783771131</v>
      </c>
      <c r="W157" s="184">
        <f>_xll.qlYieldTSDiscount(Discounting,S157,,AllTriggers)</f>
        <v>1.0025624911783784</v>
      </c>
      <c r="X157" s="21">
        <f t="shared" si="9"/>
        <v>-2.9153054725378274E-3</v>
      </c>
      <c r="Y157" s="359">
        <f t="shared" si="10"/>
        <v>3.0659054403795805E-4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42408</v>
      </c>
      <c r="S158" s="133">
        <f>_xll.qlCalendarAdvance(Calendar,R158,$F$1,"mf",,Trigger)</f>
        <v>42499</v>
      </c>
      <c r="T158" s="183">
        <f>_xll.qlDayCounterYearFraction(DayCounter,R158,S158,,,Trigger)</f>
        <v>0.25277777777777777</v>
      </c>
      <c r="U158" s="21">
        <f>_xll.qlInterpolationInterpolate(B3Minterpolation,R158,TRUE)</f>
        <v>1.227090740541091E-3</v>
      </c>
      <c r="V158" s="184">
        <f>_xll.qlYieldTSDiscount(Discounting,R158,,AllTriggers)</f>
        <v>1.0018484737043529</v>
      </c>
      <c r="W158" s="184">
        <f>_xll.qlYieldTSDiscount(Discounting,S158,,AllTriggers)</f>
        <v>1.0025859056290141</v>
      </c>
      <c r="X158" s="21">
        <f t="shared" si="9"/>
        <v>-2.9097886696494647E-3</v>
      </c>
      <c r="Y158" s="359">
        <f t="shared" si="10"/>
        <v>3.103614189736328E-4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42409</v>
      </c>
      <c r="S159" s="133">
        <f>_xll.qlCalendarAdvance(Calendar,R159,$F$1,"mf",,Trigger)</f>
        <v>42499</v>
      </c>
      <c r="T159" s="183">
        <f>_xll.qlDayCounterYearFraction(DayCounter,R159,S159,,,Trigger)</f>
        <v>0.25</v>
      </c>
      <c r="U159" s="21">
        <f>_xll.qlInterpolationInterpolate(B3Minterpolation,R159,TRUE)</f>
        <v>1.231935856308093E-3</v>
      </c>
      <c r="V159" s="184">
        <f>_xll.qlYieldTSDiscount(Discounting,R159,,AllTriggers)</f>
        <v>1.0018567325071139</v>
      </c>
      <c r="W159" s="184">
        <f>_xll.qlYieldTSDiscount(Discounting,S159,,AllTriggers)</f>
        <v>1.0025859056290141</v>
      </c>
      <c r="X159" s="21">
        <f t="shared" si="9"/>
        <v>-2.9091696494281116E-3</v>
      </c>
      <c r="Y159" s="359">
        <f t="shared" si="10"/>
        <v>3.0816063513912882E-4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42410</v>
      </c>
      <c r="S160" s="133">
        <f>_xll.qlCalendarAdvance(Calendar,R160,$F$1,"mf",,Trigger)</f>
        <v>42500</v>
      </c>
      <c r="T160" s="183">
        <f>_xll.qlDayCounterYearFraction(DayCounter,R160,S160,,,Trigger)</f>
        <v>0.25</v>
      </c>
      <c r="U160" s="21">
        <f>_xll.qlInterpolationInterpolate(B3Minterpolation,R160,TRUE)</f>
        <v>1.2367142624328288E-3</v>
      </c>
      <c r="V160" s="184">
        <f>_xll.qlYieldTSDiscount(Discounting,R160,,AllTriggers)</f>
        <v>1.0018649881894042</v>
      </c>
      <c r="W160" s="184">
        <f>_xll.qlYieldTSDiscount(Discounting,S160,,AllTriggers)</f>
        <v>1.0025936815446095</v>
      </c>
      <c r="X160" s="21">
        <f t="shared" si="9"/>
        <v>-2.9072329842838585E-3</v>
      </c>
      <c r="Y160" s="359">
        <f t="shared" si="10"/>
        <v>3.0935558720736263E-4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42411</v>
      </c>
      <c r="S161" s="133">
        <f>_xll.qlCalendarAdvance(Calendar,R161,$F$1,"mf",,Trigger)</f>
        <v>42501</v>
      </c>
      <c r="T161" s="183">
        <f>_xll.qlDayCounterYearFraction(DayCounter,R161,S161,,,Trigger)</f>
        <v>0.25</v>
      </c>
      <c r="U161" s="21">
        <f>_xll.qlInterpolationInterpolate(B3Minterpolation,R161,TRUE)</f>
        <v>1.2414237049297265E-3</v>
      </c>
      <c r="V161" s="184">
        <f>_xll.qlYieldTSDiscount(Discounting,R161,,AllTriggers)</f>
        <v>1.0018732407708373</v>
      </c>
      <c r="W161" s="184">
        <f>_xll.qlYieldTSDiscount(Discounting,S161,,AllTriggers)</f>
        <v>1.002601442501305</v>
      </c>
      <c r="X161" s="21">
        <f t="shared" si="9"/>
        <v>-2.9052490834282629E-3</v>
      </c>
      <c r="Y161" s="359">
        <f t="shared" si="10"/>
        <v>3.1053328493923311E-4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42412</v>
      </c>
      <c r="S162" s="133">
        <f>_xll.qlCalendarAdvance(Calendar,R162,$F$1,"mf",,Trigger)</f>
        <v>42502</v>
      </c>
      <c r="T162" s="183">
        <f>_xll.qlDayCounterYearFraction(DayCounter,R162,S162,,,Trigger)</f>
        <v>0.25</v>
      </c>
      <c r="U162" s="21">
        <f>_xll.qlInterpolationInterpolate(B3Minterpolation,R162,TRUE)</f>
        <v>1.2460619298132135E-3</v>
      </c>
      <c r="V162" s="184">
        <f>_xll.qlYieldTSDiscount(Discounting,R162,,AllTriggers)</f>
        <v>1.0018814902710287</v>
      </c>
      <c r="W162" s="184">
        <f>_xll.qlYieldTSDiscount(Discounting,S162,,AllTriggers)</f>
        <v>1.0026091881941321</v>
      </c>
      <c r="X162" s="21">
        <f t="shared" si="9"/>
        <v>-2.9032166537956705E-3</v>
      </c>
      <c r="Y162" s="359">
        <f t="shared" si="10"/>
        <v>3.1169316454864618E-4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42415</v>
      </c>
      <c r="S163" s="133">
        <f>_xll.qlCalendarAdvance(Calendar,R163,$F$1,"mf",,Trigger)</f>
        <v>42507</v>
      </c>
      <c r="T163" s="183">
        <f>_xll.qlDayCounterYearFraction(DayCounter,R163,S163,,,Trigger)</f>
        <v>0.25555555555555554</v>
      </c>
      <c r="U163" s="21">
        <f>_xll.qlInterpolationInterpolate(B3Minterpolation,R163,TRUE)</f>
        <v>1.2595267589274879E-3</v>
      </c>
      <c r="V163" s="184">
        <f>_xll.qlYieldTSDiscount(Discounting,R163,,AllTriggers)</f>
        <v>1.0019062204803095</v>
      </c>
      <c r="W163" s="184">
        <f>_xll.qlYieldTSDiscount(Discounting,S163,,AllTriggers)</f>
        <v>1.0026476770257409</v>
      </c>
      <c r="X163" s="21">
        <f t="shared" si="9"/>
        <v>-2.8936901426037378E-3</v>
      </c>
      <c r="Y163" s="359">
        <f t="shared" si="10"/>
        <v>3.2206539725111743E-4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42416</v>
      </c>
      <c r="S164" s="133">
        <f>_xll.qlCalendarAdvance(Calendar,R164,$F$1,"mf",,Trigger)</f>
        <v>42507</v>
      </c>
      <c r="T164" s="183">
        <f>_xll.qlDayCounterYearFraction(DayCounter,R164,S164,,,Trigger)</f>
        <v>0.25277777777777777</v>
      </c>
      <c r="U164" s="21">
        <f>_xll.qlInterpolationInterpolate(B3Minterpolation,R164,TRUE)</f>
        <v>1.263857573501609E-3</v>
      </c>
      <c r="V164" s="184">
        <f>_xll.qlYieldTSDiscount(Discounting,R164,,AllTriggers)</f>
        <v>1.001914457851695</v>
      </c>
      <c r="W164" s="184">
        <f>_xll.qlYieldTSDiscount(Discounting,S164,,AllTriggers)</f>
        <v>1.0026476770257409</v>
      </c>
      <c r="X164" s="21">
        <f t="shared" si="9"/>
        <v>-2.8929875851745959E-3</v>
      </c>
      <c r="Y164" s="359">
        <f t="shared" si="10"/>
        <v>3.1965781053480127E-4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42417</v>
      </c>
      <c r="S165" s="133">
        <f>_xll.qlCalendarAdvance(Calendar,R165,$F$1,"mf",,Trigger)</f>
        <v>42507</v>
      </c>
      <c r="T165" s="183">
        <f>_xll.qlDayCounterYearFraction(DayCounter,R165,S165,,,Trigger)</f>
        <v>0.25</v>
      </c>
      <c r="U165" s="21">
        <f>_xll.qlInterpolationInterpolate(B3Minterpolation,R165,TRUE)</f>
        <v>1.2681059005344578E-3</v>
      </c>
      <c r="V165" s="184">
        <f>_xll.qlYieldTSDiscount(Discounting,R165,,AllTriggers)</f>
        <v>1.0019226922399229</v>
      </c>
      <c r="W165" s="184">
        <f>_xll.qlYieldTSDiscount(Discounting,S165,,AllTriggers)</f>
        <v>1.0026476770257409</v>
      </c>
      <c r="X165" s="21">
        <f t="shared" si="9"/>
        <v>-2.8922813164782291E-3</v>
      </c>
      <c r="Y165" s="359">
        <f t="shared" si="10"/>
        <v>3.1720555843947878E-4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42418</v>
      </c>
      <c r="S166" s="133">
        <f>_xll.qlCalendarAdvance(Calendar,R166,$F$1,"mf",,Trigger)</f>
        <v>42508</v>
      </c>
      <c r="T166" s="183">
        <f>_xll.qlDayCounterYearFraction(DayCounter,R166,S166,,,Trigger)</f>
        <v>0.25</v>
      </c>
      <c r="U166" s="21">
        <f>_xll.qlInterpolationInterpolate(B3Minterpolation,R166,TRUE)</f>
        <v>1.2722694860404621E-3</v>
      </c>
      <c r="V166" s="184">
        <f>_xll.qlYieldTSDiscount(Discounting,R166,,AllTriggers)</f>
        <v>1.0019309236646119</v>
      </c>
      <c r="W166" s="184">
        <f>_xll.qlYieldTSDiscount(Discounting,S166,,AllTriggers)</f>
        <v>1.0026553247305368</v>
      </c>
      <c r="X166" s="21">
        <f t="shared" si="9"/>
        <v>-2.8899305596148395E-3</v>
      </c>
      <c r="Y166" s="359">
        <f t="shared" si="10"/>
        <v>3.1824668995925249E-4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42419</v>
      </c>
      <c r="S167" s="133">
        <f>_xll.qlCalendarAdvance(Calendar,R167,$F$1,"mf",,Trigger)</f>
        <v>42509</v>
      </c>
      <c r="T167" s="183">
        <f>_xll.qlDayCounterYearFraction(DayCounter,R167,S167,,,Trigger)</f>
        <v>0.25</v>
      </c>
      <c r="U167" s="21">
        <f>_xll.qlInterpolationInterpolate(B3Minterpolation,R167,TRUE)</f>
        <v>1.2763460760340491E-3</v>
      </c>
      <c r="V167" s="184">
        <f>_xll.qlYieldTSDiscount(Discounting,R167,,AllTriggers)</f>
        <v>1.0019391521453818</v>
      </c>
      <c r="W167" s="184">
        <f>_xll.qlYieldTSDiscount(Discounting,S167,,AllTriggers)</f>
        <v>1.0026629550364445</v>
      </c>
      <c r="X167" s="21">
        <f t="shared" si="9"/>
        <v>-2.8875222224060693E-3</v>
      </c>
      <c r="Y167" s="359">
        <f t="shared" si="10"/>
        <v>3.1926605692995019E-4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42422</v>
      </c>
      <c r="S168" s="133">
        <f>_xll.qlCalendarAdvance(Calendar,R168,$F$1,"mf",,Trigger)</f>
        <v>42513</v>
      </c>
      <c r="T168" s="183">
        <f>_xll.qlDayCounterYearFraction(DayCounter,R168,S168,,,Trigger)</f>
        <v>0.25277777777777777</v>
      </c>
      <c r="U168" s="21">
        <f>_xll.qlInterpolationInterpolate(B3Minterpolation,R168,TRUE)</f>
        <v>1.2880313330845849E-3</v>
      </c>
      <c r="V168" s="184">
        <f>_xll.qlYieldTSDiscount(Discounting,R168,,AllTriggers)</f>
        <v>1.001963820120382</v>
      </c>
      <c r="W168" s="184">
        <f>_xll.qlYieldTSDiscount(Discounting,S168,,AllTriggers)</f>
        <v>1.002693296170331</v>
      </c>
      <c r="X168" s="21">
        <f t="shared" si="9"/>
        <v>-2.8780877756951905E-3</v>
      </c>
      <c r="Y168" s="359">
        <f t="shared" si="10"/>
        <v>3.2576967084572045E-4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42423</v>
      </c>
      <c r="S169" s="133">
        <f>_xll.qlCalendarAdvance(Calendar,R169,$F$1,"mf",,Trigger)</f>
        <v>42513</v>
      </c>
      <c r="T169" s="183">
        <f>_xll.qlDayCounterYearFraction(DayCounter,R169,S169,,,Trigger)</f>
        <v>0.25</v>
      </c>
      <c r="U169" s="21">
        <f>_xll.qlInterpolationInterpolate(B3Minterpolation,R169,TRUE)</f>
        <v>1.2917374011727802E-3</v>
      </c>
      <c r="V169" s="184">
        <f>_xll.qlYieldTSDiscount(Discounting,R169,,AllTriggers)</f>
        <v>1.0019720370216842</v>
      </c>
      <c r="W169" s="184">
        <f>_xll.qlYieldTSDiscount(Discounting,S169,,AllTriggers)</f>
        <v>1.002693296170331</v>
      </c>
      <c r="X169" s="21">
        <f t="shared" si="9"/>
        <v>-2.8772872079687595E-3</v>
      </c>
      <c r="Y169" s="359">
        <f t="shared" si="10"/>
        <v>3.2311460407974147E-4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42424</v>
      </c>
      <c r="S170" s="133">
        <f>_xll.qlCalendarAdvance(Calendar,R170,$F$1,"mf",,Trigger)</f>
        <v>42514</v>
      </c>
      <c r="T170" s="183">
        <f>_xll.qlDayCounterYearFraction(DayCounter,R170,S170,,,Trigger)</f>
        <v>0.25</v>
      </c>
      <c r="U170" s="21">
        <f>_xll.qlInterpolationInterpolate(B3Minterpolation,R170,TRUE)</f>
        <v>1.2953452038206971E-3</v>
      </c>
      <c r="V170" s="184">
        <f>_xll.qlYieldTSDiscount(Discounting,R170,,AllTriggers)</f>
        <v>1.0019802510771751</v>
      </c>
      <c r="W170" s="184">
        <f>_xll.qlYieldTSDiscount(Discounting,S170,,AllTriggers)</f>
        <v>1.0027008349060791</v>
      </c>
      <c r="X170" s="21">
        <f t="shared" si="9"/>
        <v>-2.8745715723732523E-3</v>
      </c>
      <c r="Y170" s="359">
        <f t="shared" si="10"/>
        <v>3.2401669189791905E-4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42425</v>
      </c>
      <c r="S171" s="133">
        <f>_xll.qlCalendarAdvance(Calendar,R171,$F$1,"mf",,Trigger)</f>
        <v>42515</v>
      </c>
      <c r="T171" s="183">
        <f>_xll.qlDayCounterYearFraction(DayCounter,R171,S171,,,Trigger)</f>
        <v>0.25</v>
      </c>
      <c r="U171" s="21">
        <f>_xll.qlInterpolationInterpolate(B3Minterpolation,R171,TRUE)</f>
        <v>1.2988524870427625E-3</v>
      </c>
      <c r="V171" s="184">
        <f>_xll.qlYieldTSDiscount(Discounting,R171,,AllTriggers)</f>
        <v>1.0019884623064783</v>
      </c>
      <c r="W171" s="184">
        <f>_xll.qlYieldTSDiscount(Discounting,S171,,AllTriggers)</f>
        <v>1.0027083544125945</v>
      </c>
      <c r="X171" s="21">
        <f t="shared" si="9"/>
        <v>-2.8717905977275748E-3</v>
      </c>
      <c r="Y171" s="359">
        <f t="shared" si="10"/>
        <v>3.2489363262398779E-4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42426</v>
      </c>
      <c r="S172" s="133">
        <f>_xll.qlCalendarAdvance(Calendar,R172,$F$1,"mf",,Trigger)</f>
        <v>42516</v>
      </c>
      <c r="T172" s="183">
        <f>_xll.qlDayCounterYearFraction(DayCounter,R172,S172,,,Trigger)</f>
        <v>0.25</v>
      </c>
      <c r="U172" s="21">
        <f>_xll.qlInterpolationInterpolate(B3Minterpolation,R172,TRUE)</f>
        <v>1.3022569968534048E-3</v>
      </c>
      <c r="V172" s="184">
        <f>_xll.qlYieldTSDiscount(Discounting,R172,,AllTriggers)</f>
        <v>1.0019966707292181</v>
      </c>
      <c r="W172" s="184">
        <f>_xll.qlYieldTSDiscount(Discounting,S172,,AllTriggers)</f>
        <v>1.0027158543847914</v>
      </c>
      <c r="X172" s="21">
        <f t="shared" si="9"/>
        <v>-2.8689429908919095E-3</v>
      </c>
      <c r="Y172" s="359">
        <f t="shared" si="10"/>
        <v>3.2574486251138858E-4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42429</v>
      </c>
      <c r="S173" s="133">
        <f>_xll.qlCalendarAdvance(Calendar,R173,$F$1,"mf",,Trigger)</f>
        <v>42520</v>
      </c>
      <c r="T173" s="183">
        <f>_xll.qlDayCounterYearFraction(DayCounter,R173,S173,,,Trigger)</f>
        <v>0.25277777777777777</v>
      </c>
      <c r="U173" s="21">
        <f>_xll.qlInterpolationInterpolate(B3Minterpolation,R173,TRUE)</f>
        <v>1.3118313459610669E-3</v>
      </c>
      <c r="V173" s="184">
        <f>_xll.qlYieldTSDiscount(Discounting,R173,,AllTriggers)</f>
        <v>1.0020212793543091</v>
      </c>
      <c r="W173" s="184">
        <f>_xll.qlYieldTSDiscount(Discounting,S173,,AllTriggers)</f>
        <v>1.0027456528283947</v>
      </c>
      <c r="X173" s="21">
        <f t="shared" si="9"/>
        <v>-2.8578067588644188E-3</v>
      </c>
      <c r="Y173" s="359">
        <f t="shared" si="10"/>
        <v>3.3178648424566422E-4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42430</v>
      </c>
      <c r="S174" s="133">
        <f>_xll.qlCalendarAdvance(Calendar,R174,$F$1,"mf",,Trigger)</f>
        <v>42522</v>
      </c>
      <c r="T174" s="183">
        <f>_xll.qlDayCounterYearFraction(DayCounter,R174,S174,,,Trigger)</f>
        <v>0.25555555555555554</v>
      </c>
      <c r="U174" s="21">
        <f>_xll.qlInterpolationInterpolate(B3Minterpolation,R174,TRUE)</f>
        <v>1.3148022222702917E-3</v>
      </c>
      <c r="V174" s="184">
        <f>_xll.qlYieldTSDiscount(Discounting,R174,,AllTriggers)</f>
        <v>1.0020294767470508</v>
      </c>
      <c r="W174" s="184">
        <f>_xll.qlYieldTSDiscount(Discounting,S174,,AllTriggers)</f>
        <v>1.0027604269114696</v>
      </c>
      <c r="X174" s="21">
        <f t="shared" si="9"/>
        <v>-2.8523660258734751E-3</v>
      </c>
      <c r="Y174" s="359">
        <f t="shared" si="10"/>
        <v>3.3619359843976035E-4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42431</v>
      </c>
      <c r="S175" s="133">
        <f>_xll.qlCalendarAdvance(Calendar,R175,$F$1,"mf",,Trigger)</f>
        <v>42523</v>
      </c>
      <c r="T175" s="183">
        <f>_xll.qlDayCounterYearFraction(DayCounter,R175,S175,,,Trigger)</f>
        <v>0.25555555555555554</v>
      </c>
      <c r="U175" s="21">
        <f>_xll.qlInterpolationInterpolate(B3Minterpolation,R175,TRUE)</f>
        <v>1.3176590552402313E-3</v>
      </c>
      <c r="V175" s="184">
        <f>_xll.qlYieldTSDiscount(Discounting,R175,,AllTriggers)</f>
        <v>1.0020376714313606</v>
      </c>
      <c r="W175" s="184">
        <f>_xll.qlYieldTSDiscount(Discounting,S175,,AllTriggers)</f>
        <v>1.0027677816003671</v>
      </c>
      <c r="X175" s="21">
        <f t="shared" si="9"/>
        <v>-2.8490672393595251E-3</v>
      </c>
      <c r="Y175" s="359">
        <f t="shared" si="10"/>
        <v>3.3692368050098096E-4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42432</v>
      </c>
      <c r="S176" s="133">
        <f>_xll.qlCalendarAdvance(Calendar,R176,$F$1,"mf",,Trigger)</f>
        <v>42524</v>
      </c>
      <c r="T176" s="183">
        <f>_xll.qlDayCounterYearFraction(DayCounter,R176,S176,,,Trigger)</f>
        <v>0.25555555555555554</v>
      </c>
      <c r="U176" s="21">
        <f>_xll.qlInterpolationInterpolate(B3Minterpolation,R176,TRUE)</f>
        <v>1.3203995908853132E-3</v>
      </c>
      <c r="V176" s="184">
        <f>_xll.qlYieldTSDiscount(Discounting,R176,,AllTriggers)</f>
        <v>1.0020458634268665</v>
      </c>
      <c r="W176" s="184">
        <f>_xll.qlYieldTSDiscount(Discounting,S176,,AllTriggers)</f>
        <v>1.0027751143139763</v>
      </c>
      <c r="X176" s="21">
        <f t="shared" si="9"/>
        <v>-2.8456933036004875E-3</v>
      </c>
      <c r="Y176" s="359">
        <f t="shared" si="10"/>
        <v>3.376240222928624E-4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42433</v>
      </c>
      <c r="S177" s="133">
        <f>_xll.qlCalendarAdvance(Calendar,R177,$F$1,"mf",,Trigger)</f>
        <v>42527</v>
      </c>
      <c r="T177" s="183">
        <f>_xll.qlDayCounterYearFraction(DayCounter,R177,S177,,,Trigger)</f>
        <v>0.26111111111111113</v>
      </c>
      <c r="U177" s="21">
        <f>_xll.qlInterpolationInterpolate(B3Minterpolation,R177,TRUE)</f>
        <v>1.3230215752199654E-3</v>
      </c>
      <c r="V177" s="184">
        <f>_xll.qlYieldTSDiscount(Discounting,R177,,AllTriggers)</f>
        <v>1.0020540527531974</v>
      </c>
      <c r="W177" s="184">
        <f>_xll.qlYieldTSDiscount(Discounting,S177,,AllTriggers)</f>
        <v>1.0027969775514829</v>
      </c>
      <c r="X177" s="21">
        <f t="shared" si="9"/>
        <v>-2.8373080214849867E-3</v>
      </c>
      <c r="Y177" s="359">
        <f t="shared" si="10"/>
        <v>3.456520104598467E-4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42436</v>
      </c>
      <c r="S178" s="133">
        <f>_xll.qlCalendarAdvance(Calendar,R178,$F$1,"mf",,Trigger)</f>
        <v>42528</v>
      </c>
      <c r="T178" s="183">
        <f>_xll.qlDayCounterYearFraction(DayCounter,R178,S178,,,Trigger)</f>
        <v>0.25555555555555554</v>
      </c>
      <c r="U178" s="21">
        <f>_xll.qlInterpolationInterpolate(B3Minterpolation,R178,TRUE)</f>
        <v>1.330153680505619E-3</v>
      </c>
      <c r="V178" s="184">
        <f>_xll.qlYieldTSDiscount(Discounting,R178,,AllTriggers)</f>
        <v>1.0020786049134398</v>
      </c>
      <c r="W178" s="184">
        <f>_xll.qlYieldTSDiscount(Discounting,S178,,AllTriggers)</f>
        <v>1.0028042193123106</v>
      </c>
      <c r="X178" s="21">
        <f t="shared" si="9"/>
        <v>-2.8314207664387916E-3</v>
      </c>
      <c r="Y178" s="359">
        <f t="shared" si="10"/>
        <v>3.4011646176524817E-4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42437</v>
      </c>
      <c r="S179" s="133">
        <f>_xll.qlCalendarAdvance(Calendar,R179,$F$1,"mf",,Trigger)</f>
        <v>42529</v>
      </c>
      <c r="T179" s="183">
        <f>_xll.qlDayCounterYearFraction(DayCounter,R179,S179,,,Trigger)</f>
        <v>0.25555555555555554</v>
      </c>
      <c r="U179" s="21">
        <f>_xll.qlInterpolationInterpolate(B3Minterpolation,R179,TRUE)</f>
        <v>1.332278919742828E-3</v>
      </c>
      <c r="V179" s="184">
        <f>_xll.qlYieldTSDiscount(Discounting,R179,,AllTriggers)</f>
        <v>1.0020867837593737</v>
      </c>
      <c r="W179" s="184">
        <f>_xll.qlYieldTSDiscount(Discounting,S179,,AllTriggers)</f>
        <v>1.002811437571999</v>
      </c>
      <c r="X179" s="21">
        <f t="shared" si="9"/>
        <v>-2.8276521081129482E-3</v>
      </c>
      <c r="Y179" s="359">
        <f t="shared" si="10"/>
        <v>3.4065945849083855E-4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42438</v>
      </c>
      <c r="S180" s="133">
        <f>_xll.qlCalendarAdvance(Calendar,R180,$F$1,"mf",,Trigger)</f>
        <v>42530</v>
      </c>
      <c r="T180" s="183">
        <f>_xll.qlDayCounterYearFraction(DayCounter,R180,S180,,,Trigger)</f>
        <v>0.25555555555555554</v>
      </c>
      <c r="U180" s="21">
        <f>_xll.qlInterpolationInterpolate(B3Minterpolation,R180,TRUE)</f>
        <v>1.3342743377417455E-3</v>
      </c>
      <c r="V180" s="184">
        <f>_xll.qlYieldTSDiscount(Discounting,R180,,AllTriggers)</f>
        <v>1.0020949600342872</v>
      </c>
      <c r="W180" s="184">
        <f>_xll.qlYieldTSDiscount(Discounting,S180,,AllTriggers)</f>
        <v>1.0028186320253563</v>
      </c>
      <c r="X180" s="21">
        <f t="shared" si="9"/>
        <v>-2.8238007099386534E-3</v>
      </c>
      <c r="Y180" s="359">
        <f t="shared" si="10"/>
        <v>3.4116925748449683E-4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42439</v>
      </c>
      <c r="S181" s="133">
        <f>_xll.qlCalendarAdvance(Calendar,R181,$F$1,"mf",,Trigger)</f>
        <v>42531</v>
      </c>
      <c r="T181" s="183">
        <f>_xll.qlDayCounterYearFraction(DayCounter,R181,S181,,,Trigger)</f>
        <v>0.25555555555555554</v>
      </c>
      <c r="U181" s="21">
        <f>_xll.qlInterpolationInterpolate(B3Minterpolation,R181,TRUE)</f>
        <v>1.3361376805167988E-3</v>
      </c>
      <c r="V181" s="184">
        <f>_xll.qlYieldTSDiscount(Discounting,R181,,AllTriggers)</f>
        <v>1.0021031337578132</v>
      </c>
      <c r="W181" s="184">
        <f>_xll.qlYieldTSDiscount(Discounting,S181,,AllTriggers)</f>
        <v>1.0028258023671832</v>
      </c>
      <c r="X181" s="21">
        <f t="shared" si="9"/>
        <v>-2.8198653067800857E-3</v>
      </c>
      <c r="Y181" s="359">
        <f t="shared" si="10"/>
        <v>3.4164528251527041E-4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42440</v>
      </c>
      <c r="S182" s="133">
        <f>_xll.qlCalendarAdvance(Calendar,R182,$F$1,"mf",,Trigger)</f>
        <v>42534</v>
      </c>
      <c r="T182" s="183">
        <f>_xll.qlDayCounterYearFraction(DayCounter,R182,S182,,,Trigger)</f>
        <v>0.26111111111111113</v>
      </c>
      <c r="U182" s="21">
        <f>_xll.qlInterpolationInterpolate(B3Minterpolation,R182,TRUE)</f>
        <v>1.3378666940824159E-3</v>
      </c>
      <c r="V182" s="184">
        <f>_xll.qlYieldTSDiscount(Discounting,R182,,AllTriggers)</f>
        <v>1.0021113049495856</v>
      </c>
      <c r="W182" s="184">
        <f>_xll.qlYieldTSDiscount(Discounting,S182,,AllTriggers)</f>
        <v>1.0028471656713902</v>
      </c>
      <c r="X182" s="21">
        <f t="shared" si="9"/>
        <v>-2.8101889249633736E-3</v>
      </c>
      <c r="Y182" s="359">
        <f t="shared" si="10"/>
        <v>3.4952728523749305E-4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42443</v>
      </c>
      <c r="S183" s="133">
        <f>_xll.qlCalendarAdvance(Calendar,R183,$F$1,"mf",,Trigger)</f>
        <v>42535</v>
      </c>
      <c r="T183" s="183">
        <f>_xll.qlDayCounterYearFraction(DayCounter,R183,S183,,,Trigger)</f>
        <v>0.25555555555555554</v>
      </c>
      <c r="U183" s="21">
        <f>_xll.qlInterpolationInterpolate(B3Minterpolation,R183,TRUE)</f>
        <v>1.342225219666926E-3</v>
      </c>
      <c r="V183" s="184">
        <f>_xll.qlYieldTSDiscount(Discounting,R183,,AllTriggers)</f>
        <v>1.0021358035307251</v>
      </c>
      <c r="W183" s="184">
        <f>_xll.qlYieldTSDiscount(Discounting,S183,,AllTriggers)</f>
        <v>1.0028542365149689</v>
      </c>
      <c r="X183" s="21">
        <f t="shared" si="9"/>
        <v>-2.8032583412443053E-3</v>
      </c>
      <c r="Y183" s="359">
        <f t="shared" si="10"/>
        <v>3.4320011851917369E-4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42444</v>
      </c>
      <c r="S184" s="133">
        <f>_xll.qlCalendarAdvance(Calendar,R184,$F$1,"mf",,Trigger)</f>
        <v>42536</v>
      </c>
      <c r="T184" s="183">
        <f>_xll.qlDayCounterYearFraction(DayCounter,R184,S184,,,Trigger)</f>
        <v>0.25555555555555554</v>
      </c>
      <c r="U184" s="21">
        <f>_xll.qlInterpolationInterpolate(B3Minterpolation,R184,TRUE)</f>
        <v>1.3433943765390742E-3</v>
      </c>
      <c r="V184" s="184">
        <f>_xll.qlYieldTSDiscount(Discounting,R184,,AllTriggers)</f>
        <v>1.0021439647918311</v>
      </c>
      <c r="W184" s="184">
        <f>_xll.qlYieldTSDiscount(Discounting,S184,,AllTriggers)</f>
        <v>1.002861281720919</v>
      </c>
      <c r="X184" s="21">
        <f t="shared" si="9"/>
        <v>-2.7988839357694991E-3</v>
      </c>
      <c r="Y184" s="359">
        <f t="shared" si="10"/>
        <v>3.4349863040114282E-4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42445</v>
      </c>
      <c r="S185" s="133">
        <f>_xll.qlCalendarAdvance(Calendar,R185,$F$1,"mf",,Trigger)</f>
        <v>42537</v>
      </c>
      <c r="T185" s="183">
        <f>_xll.qlDayCounterYearFraction(DayCounter,R185,S185,,,Trigger)</f>
        <v>0.25555555555555554</v>
      </c>
      <c r="U185" s="21">
        <f>_xll.qlInterpolationInterpolate(B3Minterpolation,R185,TRUE)</f>
        <v>1.3444179342739246E-3</v>
      </c>
      <c r="V185" s="184">
        <f>_xll.qlYieldTSDiscount(Discounting,R185,,AllTriggers)</f>
        <v>1.0021521236193609</v>
      </c>
      <c r="W185" s="184">
        <f>_xll.qlYieldTSDiscount(Discounting,S185,,AllTriggers)</f>
        <v>1.0028683009840014</v>
      </c>
      <c r="X185" s="21">
        <f t="shared" si="9"/>
        <v>-2.7944179342739247E-3</v>
      </c>
      <c r="Y185" s="359">
        <f t="shared" si="10"/>
        <v>3.4375991101358479E-4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42446</v>
      </c>
      <c r="S186" s="133">
        <f>_xll.qlCalendarAdvance(Calendar,R186,$F$1,"mf",,Trigger)</f>
        <v>42538</v>
      </c>
      <c r="T186" s="183">
        <f>_xll.qlDayCounterYearFraction(DayCounter,R186,S186,,,Trigger)</f>
        <v>0.25555555555555554</v>
      </c>
      <c r="U186" s="21">
        <f>_xll.qlInterpolationInterpolate(B3Minterpolation,R186,TRUE)</f>
        <v>1.345357510877519E-3</v>
      </c>
      <c r="V186" s="184">
        <f>_xll.qlYieldTSDiscount(Discounting,R186,,AllTriggers)</f>
        <v>1.0021602800329525</v>
      </c>
      <c r="W186" s="184">
        <f>_xll.qlYieldTSDiscount(Discounting,S186,,AllTriggers)</f>
        <v>1.0028752939989696</v>
      </c>
      <c r="X186" s="21">
        <f t="shared" si="9"/>
        <v>-2.7898590715418241E-3</v>
      </c>
      <c r="Y186" s="359">
        <f t="shared" si="10"/>
        <v>3.4399971302238771E-4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42447</v>
      </c>
      <c r="S187" s="133">
        <f>_xll.qlCalendarAdvance(Calendar,R187,$F$1,"mf",,Trigger)</f>
        <v>42541</v>
      </c>
      <c r="T187" s="183">
        <f>_xll.qlDayCounterYearFraction(DayCounter,R187,S187,,,Trigger)</f>
        <v>0.26111111111111113</v>
      </c>
      <c r="U187" s="21">
        <f>_xll.qlInterpolationInterpolate(B3Minterpolation,R187,TRUE)</f>
        <v>1.346276264618932E-3</v>
      </c>
      <c r="V187" s="184">
        <f>_xll.qlYieldTSDiscount(Discounting,R187,,AllTriggers)</f>
        <v>1.0021684340522437</v>
      </c>
      <c r="W187" s="184">
        <f>_xll.qlYieldTSDiscount(Discounting,S187,,AllTriggers)</f>
        <v>1.0028961125026286</v>
      </c>
      <c r="X187" s="21">
        <f t="shared" si="9"/>
        <v>-2.7788059052472353E-3</v>
      </c>
      <c r="Y187" s="359">
        <f t="shared" si="10"/>
        <v>3.5172107584947263E-4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42450</v>
      </c>
      <c r="S188" s="133">
        <f>_xll.qlCalendarAdvance(Calendar,R188,$F$1,"mf",,Trigger)</f>
        <v>42542</v>
      </c>
      <c r="T188" s="183">
        <f>_xll.qlDayCounterYearFraction(DayCounter,R188,S188,,,Trigger)</f>
        <v>0.25555555555555554</v>
      </c>
      <c r="U188" s="21">
        <f>_xll.qlInterpolationInterpolate(B3Minterpolation,R188,TRUE)</f>
        <v>1.348908152759849E-3</v>
      </c>
      <c r="V188" s="184">
        <f>_xll.qlYieldTSDiscount(Discounting,R188,,AllTriggers)</f>
        <v>1.0021928819407075</v>
      </c>
      <c r="W188" s="184">
        <f>_xll.qlYieldTSDiscount(Discounting,S188,,AllTriggers)</f>
        <v>1.0029029974725485</v>
      </c>
      <c r="X188" s="21">
        <f t="shared" si="9"/>
        <v>-2.7706697035354846E-3</v>
      </c>
      <c r="Y188" s="359">
        <f t="shared" si="10"/>
        <v>3.449057416394957E-4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42451</v>
      </c>
      <c r="S189" s="133">
        <f>_xll.qlCalendarAdvance(Calendar,R189,$F$1,"mf",,Trigger)</f>
        <v>42543</v>
      </c>
      <c r="T189" s="183">
        <f>_xll.qlDayCounterYearFraction(DayCounter,R189,S189,,,Trigger)</f>
        <v>0.25555555555555554</v>
      </c>
      <c r="U189" s="21">
        <f>_xll.qlInterpolationInterpolate(B3Minterpolation,R189,TRUE)</f>
        <v>1.3497441791423023E-3</v>
      </c>
      <c r="V189" s="184">
        <f>_xll.qlYieldTSDiscount(Discounting,R189,,AllTriggers)</f>
        <v>1.0022010265791927</v>
      </c>
      <c r="W189" s="184">
        <f>_xll.qlYieldTSDiscount(Discounting,S189,,AllTriggers)</f>
        <v>1.0029098546680273</v>
      </c>
      <c r="X189" s="21">
        <f t="shared" si="9"/>
        <v>-2.7656275559681896E-3</v>
      </c>
      <c r="Y189" s="359">
        <f t="shared" si="10"/>
        <v>3.4511902551846198E-4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42452</v>
      </c>
      <c r="S190" s="133">
        <f>_xll.qlCalendarAdvance(Calendar,R190,$F$1,"mf",,Trigger)</f>
        <v>42544</v>
      </c>
      <c r="T190" s="183">
        <f>_xll.qlDayCounterYearFraction(DayCounter,R190,S190,,,Trigger)</f>
        <v>0.25555555555555554</v>
      </c>
      <c r="U190" s="21">
        <f>_xll.qlInterpolationInterpolate(B3Minterpolation,R190,TRUE)</f>
        <v>1.3505596647074569E-3</v>
      </c>
      <c r="V190" s="184">
        <f>_xll.qlYieldTSDiscount(Discounting,R190,,AllTriggers)</f>
        <v>1.0022091689215786</v>
      </c>
      <c r="W190" s="184">
        <f>_xll.qlYieldTSDiscount(Discounting,S190,,AllTriggers)</f>
        <v>1.0029166837837815</v>
      </c>
      <c r="X190" s="21">
        <f t="shared" si="9"/>
        <v>-2.7604849556100266E-3</v>
      </c>
      <c r="Y190" s="359">
        <f t="shared" si="10"/>
        <v>3.4532704871976123E-4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42453</v>
      </c>
      <c r="S191" s="133">
        <f>_xll.qlCalendarAdvance(Calendar,R191,$F$1,"mf",,Trigger)</f>
        <v>42548</v>
      </c>
      <c r="T191" s="183">
        <f>_xll.qlDayCounterYearFraction(DayCounter,R191,S191,,,Trigger)</f>
        <v>0.2638888888888889</v>
      </c>
      <c r="U191" s="21">
        <f>_xll.qlInterpolationInterpolate(B3Minterpolation,R191,TRUE)</f>
        <v>1.3513546658642894E-3</v>
      </c>
      <c r="V191" s="184">
        <f>_xll.qlYieldTSDiscount(Discounting,R191,,AllTriggers)</f>
        <v>1.0022173089875073</v>
      </c>
      <c r="W191" s="184">
        <f>_xll.qlYieldTSDiscount(Discounting,S191,,AllTriggers)</f>
        <v>1.0029437133436676</v>
      </c>
      <c r="X191" s="21">
        <f t="shared" si="9"/>
        <v>-2.7446108442002021E-3</v>
      </c>
      <c r="Y191" s="359">
        <f t="shared" si="10"/>
        <v>3.5680228788637265E-4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42458</v>
      </c>
      <c r="S192" s="133">
        <f>_xll.qlCalendarAdvance(Calendar,R192,$F$1,"mf",,Trigger)</f>
        <v>42550</v>
      </c>
      <c r="T192" s="183">
        <f>_xll.qlDayCounterYearFraction(DayCounter,R192,S192,,,Trigger)</f>
        <v>0.25555555555555554</v>
      </c>
      <c r="U192" s="21">
        <f>_xll.qlInterpolationInterpolate(B3Minterpolation,R192,TRUE)</f>
        <v>1.3550243798377967E-3</v>
      </c>
      <c r="V192" s="184">
        <f>_xll.qlYieldTSDiscount(Discounting,R192,,AllTriggers)</f>
        <v>1.0022579758578118</v>
      </c>
      <c r="W192" s="184">
        <f>_xll.qlYieldTSDiscount(Discounting,S192,,AllTriggers)</f>
        <v>1.0029570517074533</v>
      </c>
      <c r="X192" s="21">
        <f t="shared" si="9"/>
        <v>-2.7274489865666226E-3</v>
      </c>
      <c r="Y192" s="359">
        <f t="shared" si="10"/>
        <v>3.4646551548270102E-4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42459</v>
      </c>
      <c r="S193" s="133">
        <f>_xll.qlCalendarAdvance(Calendar,R193,$F$1,"mf",,Trigger)</f>
        <v>42551</v>
      </c>
      <c r="T193" s="183">
        <f>_xll.qlDayCounterYearFraction(DayCounter,R193,S193,,,Trigger)</f>
        <v>0.25555555555555554</v>
      </c>
      <c r="U193" s="21">
        <f>_xll.qlInterpolationInterpolate(B3Minterpolation,R193,TRUE)</f>
        <v>1.3556976591332028E-3</v>
      </c>
      <c r="V193" s="184">
        <f>_xll.qlYieldTSDiscount(Discounting,R193,,AllTriggers)</f>
        <v>1.0022661026234825</v>
      </c>
      <c r="W193" s="184">
        <f>_xll.qlYieldTSDiscount(Discounting,S193,,AllTriggers)</f>
        <v>1.0029636757632159</v>
      </c>
      <c r="X193" s="21">
        <f t="shared" si="9"/>
        <v>-2.7215681793923492E-3</v>
      </c>
      <c r="Y193" s="359">
        <f t="shared" si="10"/>
        <v>3.466371148755178E-4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42460</v>
      </c>
      <c r="S194" s="133">
        <f>_xll.qlCalendarAdvance(Calendar,R194,$F$1,"mf",,Trigger)</f>
        <v>42551</v>
      </c>
      <c r="T194" s="183">
        <f>_xll.qlDayCounterYearFraction(DayCounter,R194,S194,,,Trigger)</f>
        <v>0.25277777777777777</v>
      </c>
      <c r="U194" s="21">
        <f>_xll.qlInterpolationInterpolate(B3Minterpolation,R194,TRUE)</f>
        <v>1.3563508488831223E-3</v>
      </c>
      <c r="V194" s="184">
        <f>_xll.qlYieldTSDiscount(Discounting,R194,,AllTriggers)</f>
        <v>1.0022742269259897</v>
      </c>
      <c r="W194" s="184">
        <f>_xll.qlYieldTSDiscount(Discounting,S194,,AllTriggers)</f>
        <v>1.0029636757632159</v>
      </c>
      <c r="X194" s="21">
        <f t="shared" si="9"/>
        <v>-2.7194303955572537E-3</v>
      </c>
      <c r="Y194" s="359">
        <f t="shared" si="10"/>
        <v>3.4303235600104722E-4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42461</v>
      </c>
      <c r="S195" s="133">
        <f>_xll.qlCalendarAdvance(Calendar,R195,$F$1,"mf",,Trigger)</f>
        <v>42552</v>
      </c>
      <c r="T195" s="183">
        <f>_xll.qlDayCounterYearFraction(DayCounter,R195,S195,,,Trigger)</f>
        <v>0.25277777777777777</v>
      </c>
      <c r="U195" s="21">
        <f>_xll.qlInterpolationInterpolate(B3Minterpolation,R195,TRUE)</f>
        <v>1.3569840054965315E-3</v>
      </c>
      <c r="V195" s="184">
        <f>_xll.qlYieldTSDiscount(Discounting,R195,,AllTriggers)</f>
        <v>1.0022823484607519</v>
      </c>
      <c r="W195" s="184">
        <f>_xll.qlYieldTSDiscount(Discounting,S195,,AllTriggers)</f>
        <v>1.0029702695758862</v>
      </c>
      <c r="X195" s="21">
        <f t="shared" si="9"/>
        <v>-2.713386679859243E-3</v>
      </c>
      <c r="Y195" s="359">
        <f t="shared" si="10"/>
        <v>3.4319193450360369E-4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42464</v>
      </c>
      <c r="S196" s="133">
        <f>_xll.qlCalendarAdvance(Calendar,R196,$F$1,"mf",,Trigger)</f>
        <v>42555</v>
      </c>
      <c r="T196" s="183">
        <f>_xll.qlDayCounterYearFraction(DayCounter,R196,S196,,,Trigger)</f>
        <v>0.25277777777777777</v>
      </c>
      <c r="U196" s="21">
        <f>_xll.qlInterpolationInterpolate(B3Minterpolation,R196,TRUE)</f>
        <v>1.3587638406074641E-3</v>
      </c>
      <c r="V196" s="184">
        <f>_xll.qlYieldTSDiscount(Discounting,R196,,AllTriggers)</f>
        <v>1.0023066934126037</v>
      </c>
      <c r="W196" s="184">
        <f>_xll.qlYieldTSDiscount(Discounting,S196,,AllTriggers)</f>
        <v>1.0029898692931796</v>
      </c>
      <c r="X196" s="21">
        <f t="shared" ref="X196:X259" si="11">(V196/W196-1)/T196</f>
        <v>-2.694617259865183E-3</v>
      </c>
      <c r="Y196" s="359">
        <f t="shared" ref="Y196:Y259" si="12">LN((1+(U196+X196)*T196)/(1+X196*T196))</f>
        <v>3.4364036023919143E-4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42465</v>
      </c>
      <c r="S197" s="133">
        <f>_xll.qlCalendarAdvance(Calendar,R197,$F$1,"mf",,Trigger)</f>
        <v>42556</v>
      </c>
      <c r="T197" s="183">
        <f>_xll.qlDayCounterYearFraction(DayCounter,R197,S197,,,Trigger)</f>
        <v>0.25277777777777777</v>
      </c>
      <c r="U197" s="21">
        <f>_xll.qlInterpolationInterpolate(B3Minterpolation,R197,TRUE)</f>
        <v>1.3593174287645981E-3</v>
      </c>
      <c r="V197" s="184">
        <f>_xll.qlYieldTSDiscount(Discounting,R197,,AllTriggers)</f>
        <v>1.0023148008303719</v>
      </c>
      <c r="W197" s="184">
        <f>_xll.qlYieldTSDiscount(Discounting,S197,,AllTriggers)</f>
        <v>1.0029963418713272</v>
      </c>
      <c r="X197" s="21">
        <f t="shared" si="11"/>
        <v>-2.6881516943887663E-3</v>
      </c>
      <c r="Y197" s="359">
        <f t="shared" si="12"/>
        <v>3.4377978013866287E-4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42466</v>
      </c>
      <c r="S198" s="133">
        <f>_xll.qlCalendarAdvance(Calendar,R198,$F$1,"mf",,Trigger)</f>
        <v>42557</v>
      </c>
      <c r="T198" s="183">
        <f>_xll.qlDayCounterYearFraction(DayCounter,R198,S198,,,Trigger)</f>
        <v>0.25277777777777777</v>
      </c>
      <c r="U198" s="21">
        <f>_xll.qlInterpolationInterpolate(B3Minterpolation,R198,TRUE)</f>
        <v>1.3598512658301047E-3</v>
      </c>
      <c r="V198" s="184">
        <f>_xll.qlYieldTSDiscount(Discounting,R198,,AllTriggers)</f>
        <v>1.0023229039573391</v>
      </c>
      <c r="W198" s="184">
        <f>_xll.qlYieldTSDiscount(Discounting,S198,,AllTriggers)</f>
        <v>1.003002784075316</v>
      </c>
      <c r="X198" s="21">
        <f t="shared" si="11"/>
        <v>-2.6815834155795655E-3</v>
      </c>
      <c r="Y198" s="359">
        <f t="shared" si="12"/>
        <v>3.4391419632287708E-4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42467</v>
      </c>
      <c r="S199" s="133">
        <f>_xll.qlCalendarAdvance(Calendar,R199,$F$1,"mf",,Trigger)</f>
        <v>42558</v>
      </c>
      <c r="T199" s="183">
        <f>_xll.qlDayCounterYearFraction(DayCounter,R199,S199,,,Trigger)</f>
        <v>0.25277777777777777</v>
      </c>
      <c r="U199" s="21">
        <f>_xll.qlInterpolationInterpolate(B3Minterpolation,R199,TRUE)</f>
        <v>1.3603654082129601E-3</v>
      </c>
      <c r="V199" s="184">
        <f>_xll.qlYieldTSDiscount(Discounting,R199,,AllTriggers)</f>
        <v>1.0023310024888648</v>
      </c>
      <c r="W199" s="184">
        <f>_xll.qlYieldTSDiscount(Discounting,S199,,AllTriggers)</f>
        <v>1.0030091958789389</v>
      </c>
      <c r="X199" s="21">
        <f t="shared" si="11"/>
        <v>-2.6749135230814728E-3</v>
      </c>
      <c r="Y199" s="359">
        <f t="shared" si="12"/>
        <v>3.4404362316807014E-4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42468</v>
      </c>
      <c r="S200" s="133">
        <f>_xll.qlCalendarAdvance(Calendar,R200,$F$1,"mf",,Trigger)</f>
        <v>42559</v>
      </c>
      <c r="T200" s="183">
        <f>_xll.qlDayCounterYearFraction(DayCounter,R200,S200,,,Trigger)</f>
        <v>0.25277777777777777</v>
      </c>
      <c r="U200" s="21">
        <f>_xll.qlInterpolationInterpolate(B3Minterpolation,R200,TRUE)</f>
        <v>1.3608599123221411E-3</v>
      </c>
      <c r="V200" s="184">
        <f>_xll.qlYieldTSDiscount(Discounting,R200,,AllTriggers)</f>
        <v>1.0023390961202985</v>
      </c>
      <c r="W200" s="184">
        <f>_xll.qlYieldTSDiscount(Discounting,S200,,AllTriggers)</f>
        <v>1.003015577255991</v>
      </c>
      <c r="X200" s="21">
        <f t="shared" si="11"/>
        <v>-2.6681431165361852E-3</v>
      </c>
      <c r="Y200" s="359">
        <f t="shared" si="12"/>
        <v>3.4416807505061785E-4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42471</v>
      </c>
      <c r="S201" s="133">
        <f>_xll.qlCalendarAdvance(Calendar,R201,$F$1,"mf",,Trigger)</f>
        <v>42562</v>
      </c>
      <c r="T201" s="183">
        <f>_xll.qlDayCounterYearFraction(DayCounter,R201,S201,,,Trigger)</f>
        <v>0.25277777777777777</v>
      </c>
      <c r="U201" s="21">
        <f>_xll.qlInterpolationInterpolate(B3Minterpolation,R201,TRUE)</f>
        <v>1.3622261590974017E-3</v>
      </c>
      <c r="V201" s="184">
        <f>_xll.qlYieldTSDiscount(Discounting,R201,,AllTriggers)</f>
        <v>1.0023633445673963</v>
      </c>
      <c r="W201" s="184">
        <f>_xll.qlYieldTSDiscount(Discounting,S201,,AllTriggers)</f>
        <v>1.0030345385657056</v>
      </c>
      <c r="X201" s="21">
        <f t="shared" si="11"/>
        <v>-2.6472398090512422E-3</v>
      </c>
      <c r="Y201" s="359">
        <f t="shared" si="12"/>
        <v>3.4451172469891111E-4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42472</v>
      </c>
      <c r="S202" s="133">
        <f>_xll.qlCalendarAdvance(Calendar,R202,$F$1,"mf",,Trigger)</f>
        <v>42563</v>
      </c>
      <c r="T202" s="183">
        <f>_xll.qlDayCounterYearFraction(DayCounter,R202,S202,,,Trigger)</f>
        <v>0.25277777777777777</v>
      </c>
      <c r="U202" s="21">
        <f>_xll.qlInterpolationInterpolate(B3Minterpolation,R202,TRUE)</f>
        <v>1.3626426742016494E-3</v>
      </c>
      <c r="V202" s="184">
        <f>_xll.qlYieldTSDiscount(Discounting,R202,,AllTriggers)</f>
        <v>1.0023714155517627</v>
      </c>
      <c r="W202" s="184">
        <f>_xll.qlYieldTSDiscount(Discounting,S202,,AllTriggers)</f>
        <v>1.0030407979744678</v>
      </c>
      <c r="X202" s="21">
        <f t="shared" si="11"/>
        <v>-2.6400783427473129E-3</v>
      </c>
      <c r="Y202" s="359">
        <f t="shared" si="12"/>
        <v>3.4461642051077194E-4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42473</v>
      </c>
      <c r="S203" s="133">
        <f>_xll.qlCalendarAdvance(Calendar,R203,$F$1,"mf",,Trigger)</f>
        <v>42564</v>
      </c>
      <c r="T203" s="183">
        <f>_xll.qlDayCounterYearFraction(DayCounter,R203,S203,,,Trigger)</f>
        <v>0.25277777777777777</v>
      </c>
      <c r="U203" s="21">
        <f>_xll.qlInterpolationInterpolate(B3Minterpolation,R203,TRUE)</f>
        <v>1.3630398330771053E-3</v>
      </c>
      <c r="V203" s="184">
        <f>_xll.qlYieldTSDiscount(Discounting,R203,,AllTriggers)</f>
        <v>1.0023794801126387</v>
      </c>
      <c r="W203" s="184">
        <f>_xll.qlYieldTSDiscount(Discounting,S203,,AllTriggers)</f>
        <v>1.0030470268256666</v>
      </c>
      <c r="X203" s="21">
        <f t="shared" si="11"/>
        <v>-2.6328218606147718E-3</v>
      </c>
      <c r="Y203" s="359">
        <f t="shared" si="12"/>
        <v>3.4471621325330934E-4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42474</v>
      </c>
      <c r="S204" s="133">
        <f>_xll.qlCalendarAdvance(Calendar,R204,$F$1,"mf",,Trigger)</f>
        <v>42565</v>
      </c>
      <c r="T204" s="183">
        <f>_xll.qlDayCounterYearFraction(DayCounter,R204,S204,,,Trigger)</f>
        <v>0.25277777777777777</v>
      </c>
      <c r="U204" s="21">
        <f>_xll.qlInterpolationInterpolate(B3Minterpolation,R204,TRUE)</f>
        <v>1.3634176921327457E-3</v>
      </c>
      <c r="V204" s="184">
        <f>_xll.qlYieldTSDiscount(Discounting,R204,,AllTriggers)</f>
        <v>1.0023875379453155</v>
      </c>
      <c r="W204" s="184">
        <f>_xll.qlYieldTSDiscount(Discounting,S204,,AllTriggers)</f>
        <v>1.0030532250931097</v>
      </c>
      <c r="X204" s="21">
        <f t="shared" si="11"/>
        <v>-2.6254714622970725E-3</v>
      </c>
      <c r="Y204" s="359">
        <f t="shared" si="12"/>
        <v>3.4481111730730373E-4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42475</v>
      </c>
      <c r="S205" s="133">
        <f>_xll.qlCalendarAdvance(Calendar,R205,$F$1,"mf",,Trigger)</f>
        <v>42566</v>
      </c>
      <c r="T205" s="183">
        <f>_xll.qlDayCounterYearFraction(DayCounter,R205,S205,,,Trigger)</f>
        <v>0.25277777777777777</v>
      </c>
      <c r="U205" s="21">
        <f>_xll.qlInterpolationInterpolate(B3Minterpolation,R205,TRUE)</f>
        <v>1.3637763077775471E-3</v>
      </c>
      <c r="V205" s="184">
        <f>_xll.qlYieldTSDiscount(Discounting,R205,,AllTriggers)</f>
        <v>1.0023955887450748</v>
      </c>
      <c r="W205" s="184">
        <f>_xll.qlYieldTSDiscount(Discounting,S205,,AllTriggers)</f>
        <v>1.0030593927506073</v>
      </c>
      <c r="X205" s="21">
        <f t="shared" si="11"/>
        <v>-2.618028247443378E-3</v>
      </c>
      <c r="Y205" s="359">
        <f t="shared" si="12"/>
        <v>3.4490114705412408E-4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42478</v>
      </c>
      <c r="S206" s="133">
        <f>_xll.qlCalendarAdvance(Calendar,R206,$F$1,"mf",,Trigger)</f>
        <v>42569</v>
      </c>
      <c r="T206" s="183">
        <f>_xll.qlDayCounterYearFraction(DayCounter,R206,S206,,,Trigger)</f>
        <v>0.25277777777777777</v>
      </c>
      <c r="U206" s="21">
        <f>_xll.qlInterpolationInterpolate(B3Minterpolation,R206,TRUE)</f>
        <v>1.3647372583366825E-3</v>
      </c>
      <c r="V206" s="184">
        <f>_xll.qlYieldTSDiscount(Discounting,R206,,AllTriggers)</f>
        <v>1.00241969589952</v>
      </c>
      <c r="W206" s="184">
        <f>_xll.qlYieldTSDiscount(Discounting,S206,,AllTriggers)</f>
        <v>1.0030777118015597</v>
      </c>
      <c r="X206" s="21">
        <f t="shared" si="11"/>
        <v>-2.5951527001531185E-3</v>
      </c>
      <c r="Y206" s="359">
        <f t="shared" si="12"/>
        <v>3.4514213427141186E-4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42479</v>
      </c>
      <c r="S207" s="133">
        <f>_xll.qlCalendarAdvance(Calendar,R207,$F$1,"mf",,Trigger)</f>
        <v>42570</v>
      </c>
      <c r="T207" s="183">
        <f>_xll.qlDayCounterYearFraction(DayCounter,R207,S207,,,Trigger)</f>
        <v>0.25277777777777777</v>
      </c>
      <c r="U207" s="21">
        <f>_xll.qlInterpolationInterpolate(B3Minterpolation,R207,TRUE)</f>
        <v>1.3650194644278931E-3</v>
      </c>
      <c r="V207" s="184">
        <f>_xll.qlYieldTSDiscount(Discounting,R207,,AllTriggers)</f>
        <v>1.0024277155202328</v>
      </c>
      <c r="W207" s="184">
        <f>_xll.qlYieldTSDiscount(Discounting,S207,,AllTriggers)</f>
        <v>1.0030837567574189</v>
      </c>
      <c r="X207" s="21">
        <f t="shared" si="11"/>
        <v>-2.5873492156580514E-3</v>
      </c>
      <c r="Y207" s="359">
        <f t="shared" si="12"/>
        <v>3.4521281061324749E-4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42480</v>
      </c>
      <c r="S208" s="133">
        <f>_xll.qlCalendarAdvance(Calendar,R208,$F$1,"mf",,Trigger)</f>
        <v>42571</v>
      </c>
      <c r="T208" s="183">
        <f>_xll.qlDayCounterYearFraction(DayCounter,R208,S208,,,Trigger)</f>
        <v>0.25277777777777777</v>
      </c>
      <c r="U208" s="21">
        <f>_xll.qlInterpolationInterpolate(B3Minterpolation,R208,TRUE)</f>
        <v>1.3652827091531474E-3</v>
      </c>
      <c r="V208" s="184">
        <f>_xll.qlYieldTSDiscount(Discounting,R208,,AllTriggers)</f>
        <v>1.002435726584292</v>
      </c>
      <c r="W208" s="184">
        <f>_xll.qlYieldTSDiscount(Discounting,S208,,AllTriggers)</f>
        <v>1.0030897709724154</v>
      </c>
      <c r="X208" s="21">
        <f t="shared" si="11"/>
        <v>-2.5794584128912505E-3</v>
      </c>
      <c r="Y208" s="359">
        <f t="shared" si="12"/>
        <v>3.4527868456272001E-4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42481</v>
      </c>
      <c r="S209" s="133">
        <f>_xll.qlCalendarAdvance(Calendar,R209,$F$1,"mf",,Trigger)</f>
        <v>42572</v>
      </c>
      <c r="T209" s="183">
        <f>_xll.qlDayCounterYearFraction(DayCounter,R209,S209,,,Trigger)</f>
        <v>0.25277777777777777</v>
      </c>
      <c r="U209" s="21">
        <f>_xll.qlInterpolationInterpolate(B3Minterpolation,R209,TRUE)</f>
        <v>1.3655270489214217E-3</v>
      </c>
      <c r="V209" s="184">
        <f>_xll.qlYieldTSDiscount(Discounting,R209,,AllTriggers)</f>
        <v>1.0024437287869217</v>
      </c>
      <c r="W209" s="184">
        <f>_xll.qlYieldTSDiscount(Discounting,S209,,AllTriggers)</f>
        <v>1.0030957544203725</v>
      </c>
      <c r="X209" s="21">
        <f t="shared" si="11"/>
        <v>-2.5714813915141757E-3</v>
      </c>
      <c r="Y209" s="359">
        <f t="shared" si="12"/>
        <v>3.4533977050496664E-4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42482</v>
      </c>
      <c r="S210" s="133">
        <f>_xll.qlCalendarAdvance(Calendar,R210,$F$1,"mf",,Trigger)</f>
        <v>42573</v>
      </c>
      <c r="T210" s="183">
        <f>_xll.qlDayCounterYearFraction(DayCounter,R210,S210,,,Trigger)</f>
        <v>0.25277777777777777</v>
      </c>
      <c r="U210" s="21">
        <f>_xll.qlInterpolationInterpolate(B3Minterpolation,R210,TRUE)</f>
        <v>1.3657525401416925E-3</v>
      </c>
      <c r="V210" s="184">
        <f>_xll.qlYieldTSDiscount(Discounting,R210,,AllTriggers)</f>
        <v>1.0024517218233362</v>
      </c>
      <c r="W210" s="184">
        <f>_xll.qlYieldTSDiscount(Discounting,S210,,AllTriggers)</f>
        <v>1.0031017070751154</v>
      </c>
      <c r="X210" s="21">
        <f t="shared" si="11"/>
        <v>-2.5634192511909243E-3</v>
      </c>
      <c r="Y210" s="359">
        <f t="shared" si="12"/>
        <v>3.4539608282438649E-4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42485</v>
      </c>
      <c r="S211" s="133">
        <f>_xll.qlCalendarAdvance(Calendar,R211,$F$1,"mf",,Trigger)</f>
        <v>42576</v>
      </c>
      <c r="T211" s="183">
        <f>_xll.qlDayCounterYearFraction(DayCounter,R211,S211,,,Trigger)</f>
        <v>0.25277777777777777</v>
      </c>
      <c r="U211" s="21">
        <f>_xll.qlInterpolationInterpolate(B3Minterpolation,R211,TRUE)</f>
        <v>1.3663164866042497E-3</v>
      </c>
      <c r="V211" s="184">
        <f>_xll.qlYieldTSDiscount(Discounting,R211,,AllTriggers)</f>
        <v>1.0024756428872932</v>
      </c>
      <c r="W211" s="184">
        <f>_xll.qlYieldTSDiscount(Discounting,S211,,AllTriggers)</f>
        <v>1.0031193800183476</v>
      </c>
      <c r="X211" s="21">
        <f t="shared" si="11"/>
        <v>-2.5387331132434819E-3</v>
      </c>
      <c r="Y211" s="359">
        <f t="shared" si="12"/>
        <v>3.4553652190769167E-4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42486</v>
      </c>
      <c r="S212" s="133">
        <f>_xll.qlCalendarAdvance(Calendar,R212,$F$1,"mf",,Trigger)</f>
        <v>42577</v>
      </c>
      <c r="T212" s="183">
        <f>_xll.qlDayCounterYearFraction(DayCounter,R212,S212,,,Trigger)</f>
        <v>0.25277777777777777</v>
      </c>
      <c r="U212" s="21">
        <f>_xll.qlInterpolationInterpolate(B3Minterpolation,R212,TRUE)</f>
        <v>1.366467147722272E-3</v>
      </c>
      <c r="V212" s="184">
        <f>_xll.qlYieldTSDiscount(Discounting,R212,,AllTriggers)</f>
        <v>1.0024835962108045</v>
      </c>
      <c r="W212" s="184">
        <f>_xll.qlYieldTSDiscount(Discounting,S212,,AllTriggers)</f>
        <v>1.003125209238533</v>
      </c>
      <c r="X212" s="21">
        <f t="shared" si="11"/>
        <v>-2.5303414938511477E-3</v>
      </c>
      <c r="Y212" s="359">
        <f t="shared" si="12"/>
        <v>3.4557388359901222E-4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42487</v>
      </c>
      <c r="S213" s="133">
        <f>_xll.qlCalendarAdvance(Calendar,R213,$F$1,"mf",,Trigger)</f>
        <v>42578</v>
      </c>
      <c r="T213" s="183">
        <f>_xll.qlDayCounterYearFraction(DayCounter,R213,S213,,,Trigger)</f>
        <v>0.25277777777777777</v>
      </c>
      <c r="U213" s="21">
        <f>_xll.qlInterpolationInterpolate(B3Minterpolation,R213,TRUE)</f>
        <v>1.3665992423371736E-3</v>
      </c>
      <c r="V213" s="184">
        <f>_xll.qlYieldTSDiscount(Discounting,R213,,AllTriggers)</f>
        <v>1.0024915388440321</v>
      </c>
      <c r="W213" s="184">
        <f>_xll.qlYieldTSDiscount(Discounting,S213,,AllTriggers)</f>
        <v>1.0031310075346649</v>
      </c>
      <c r="X213" s="21">
        <f t="shared" si="11"/>
        <v>-2.5218702538906527E-3</v>
      </c>
      <c r="Y213" s="359">
        <f t="shared" si="12"/>
        <v>3.4560654360086851E-4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42488</v>
      </c>
      <c r="S214" s="133">
        <f>_xll.qlCalendarAdvance(Calendar,R214,$F$1,"mf",,Trigger)</f>
        <v>42579</v>
      </c>
      <c r="T214" s="183">
        <f>_xll.qlDayCounterYearFraction(DayCounter,R214,S214,,,Trigger)</f>
        <v>0.25277777777777777</v>
      </c>
      <c r="U214" s="21">
        <f>_xll.qlInterpolationInterpolate(B3Minterpolation,R214,TRUE)</f>
        <v>1.3667128268579306E-3</v>
      </c>
      <c r="V214" s="184">
        <f>_xll.qlYieldTSDiscount(Discounting,R214,,AllTriggers)</f>
        <v>1.0024994704821344</v>
      </c>
      <c r="W214" s="184">
        <f>_xll.qlYieldTSDiscount(Discounting,S214,,AllTriggers)</f>
        <v>1.0031367748805822</v>
      </c>
      <c r="X214" s="21">
        <f t="shared" si="11"/>
        <v>-2.5133204930502498E-3</v>
      </c>
      <c r="Y214" s="359">
        <f t="shared" si="12"/>
        <v>3.4563451630123478E-4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42489</v>
      </c>
      <c r="S215" s="133">
        <f>_xll.qlCalendarAdvance(Calendar,R215,$F$1,"mf",,Trigger)</f>
        <v>42580</v>
      </c>
      <c r="T215" s="183">
        <f>_xll.qlDayCounterYearFraction(DayCounter,R215,S215,,,Trigger)</f>
        <v>0.25277777777777777</v>
      </c>
      <c r="U215" s="21">
        <f>_xll.qlInterpolationInterpolate(B3Minterpolation,R215,TRUE)</f>
        <v>1.3668079576935198E-3</v>
      </c>
      <c r="V215" s="184">
        <f>_xll.qlYieldTSDiscount(Discounting,R215,,AllTriggers)</f>
        <v>1.0025073908202602</v>
      </c>
      <c r="W215" s="184">
        <f>_xll.qlYieldTSDiscount(Discounting,S215,,AllTriggers)</f>
        <v>1.003142511250126</v>
      </c>
      <c r="X215" s="21">
        <f t="shared" si="11"/>
        <v>-2.5046933110225837E-3</v>
      </c>
      <c r="Y215" s="359">
        <f t="shared" si="12"/>
        <v>3.4565781608823949E-4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42492</v>
      </c>
      <c r="S216" s="133">
        <f>_xll.qlCalendarAdvance(Calendar,R216,$F$1,"mf",,Trigger)</f>
        <v>42584</v>
      </c>
      <c r="T216" s="183">
        <f>_xll.qlDayCounterYearFraction(DayCounter,R216,S216,,,Trigger)</f>
        <v>0.25555555555555554</v>
      </c>
      <c r="U216" s="21">
        <f>_xll.qlInterpolationInterpolate(B3Minterpolation,R216,TRUE)</f>
        <v>1.3669831921790457E-3</v>
      </c>
      <c r="V216" s="184">
        <f>_xll.qlYieldTSDiscount(Discounting,R216,,AllTriggers)</f>
        <v>1.0025310809861301</v>
      </c>
      <c r="W216" s="184">
        <f>_xll.qlYieldTSDiscount(Discounting,S216,,AllTriggers)</f>
        <v>1.0031651464414699</v>
      </c>
      <c r="X216" s="21">
        <f t="shared" si="11"/>
        <v>-2.4732973465132432E-3</v>
      </c>
      <c r="Y216" s="359">
        <f t="shared" si="12"/>
        <v>3.4950001215774897E-4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42493</v>
      </c>
      <c r="S217" s="133">
        <f>_xll.qlCalendarAdvance(Calendar,R217,$F$1,"mf",,Trigger)</f>
        <v>42585</v>
      </c>
      <c r="T217" s="183">
        <f>_xll.qlDayCounterYearFraction(DayCounter,R217,S217,,,Trigger)</f>
        <v>0.25555555555555554</v>
      </c>
      <c r="U217" s="21">
        <f>_xll.qlInterpolationInterpolate(B3Minterpolation,R217,TRUE)</f>
        <v>1.3670050723637286E-3</v>
      </c>
      <c r="V217" s="184">
        <f>_xll.qlYieldTSDiscount(Discounting,R217,,AllTriggers)</f>
        <v>1.002538953075655</v>
      </c>
      <c r="W217" s="184">
        <f>_xll.qlYieldTSDiscount(Discounting,S217,,AllTriggers)</f>
        <v>1.0031707275368438</v>
      </c>
      <c r="X217" s="21">
        <f t="shared" si="11"/>
        <v>-2.4643471616808449E-3</v>
      </c>
      <c r="Y217" s="359">
        <f t="shared" si="12"/>
        <v>3.495048055642582E-4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42494</v>
      </c>
      <c r="S218" s="133">
        <f>_xll.qlCalendarAdvance(Calendar,R218,$F$1,"mf",,Trigger)</f>
        <v>42586</v>
      </c>
      <c r="T218" s="183">
        <f>_xll.qlDayCounterYearFraction(DayCounter,R218,S218,,,Trigger)</f>
        <v>0.25555555555555554</v>
      </c>
      <c r="U218" s="21">
        <f>_xll.qlInterpolationInterpolate(B3Minterpolation,R218,TRUE)</f>
        <v>1.3670087809081264E-3</v>
      </c>
      <c r="V218" s="184">
        <f>_xll.qlYieldTSDiscount(Discounting,R218,,AllTriggers)</f>
        <v>1.0025468123408103</v>
      </c>
      <c r="W218" s="184">
        <f>_xll.qlYieldTSDiscount(Discounting,S218,,AllTriggers)</f>
        <v>1.0031762774989395</v>
      </c>
      <c r="X218" s="21">
        <f t="shared" si="11"/>
        <v>-2.45532573592181E-3</v>
      </c>
      <c r="Y218" s="359">
        <f t="shared" si="12"/>
        <v>3.4950494742714953E-4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42496</v>
      </c>
      <c r="S219" s="133">
        <f>_xll.qlCalendarAdvance(Calendar,R219,$F$1,"mf",,Trigger)</f>
        <v>42590</v>
      </c>
      <c r="T219" s="183">
        <f>_xll.qlDayCounterYearFraction(DayCounter,R219,S219,,,Trigger)</f>
        <v>0.26111111111111113</v>
      </c>
      <c r="U219" s="21">
        <f>_xll.qlInterpolationInterpolate(B3Minterpolation,R219,TRUE)</f>
        <v>1.3669619087119719E-3</v>
      </c>
      <c r="V219" s="184">
        <f>_xll.qlYieldTSDiscount(Discounting,R219,,AllTriggers)</f>
        <v>1.0025624911783784</v>
      </c>
      <c r="W219" s="184">
        <f>_xll.qlYieldTSDiscount(Discounting,S219,,AllTriggers)</f>
        <v>1.0031981654917193</v>
      </c>
      <c r="X219" s="21">
        <f t="shared" si="11"/>
        <v>-2.4267362660581036E-3</v>
      </c>
      <c r="Y219" s="359">
        <f t="shared" si="12"/>
        <v>3.570914887166375E-4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42499</v>
      </c>
      <c r="S220" s="133">
        <f>_xll.qlCalendarAdvance(Calendar,R220,$F$1,"mf",,Trigger)</f>
        <v>42591</v>
      </c>
      <c r="T220" s="183">
        <f>_xll.qlDayCounterYearFraction(DayCounter,R220,S220,,,Trigger)</f>
        <v>0.25555555555555554</v>
      </c>
      <c r="U220" s="21">
        <f>_xll.qlInterpolationInterpolate(B3Minterpolation,R220,TRUE)</f>
        <v>1.3667567233400131E-3</v>
      </c>
      <c r="V220" s="184">
        <f>_xll.qlYieldTSDiscount(Discounting,R220,,AllTriggers)</f>
        <v>1.0025859056290141</v>
      </c>
      <c r="W220" s="184">
        <f>_xll.qlYieldTSDiscount(Discounting,S220,,AllTriggers)</f>
        <v>1.0032035593953295</v>
      </c>
      <c r="X220" s="21">
        <f t="shared" si="11"/>
        <v>-2.4091880650427941E-3</v>
      </c>
      <c r="Y220" s="359">
        <f t="shared" si="12"/>
        <v>3.4943639281323404E-4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42500</v>
      </c>
      <c r="S221" s="133">
        <f>_xll.qlCalendarAdvance(Calendar,R221,$F$1,"mf",,Trigger)</f>
        <v>42592</v>
      </c>
      <c r="T221" s="183">
        <f>_xll.qlDayCounterYearFraction(DayCounter,R221,S221,,,Trigger)</f>
        <v>0.25555555555555554</v>
      </c>
      <c r="U221" s="21">
        <f>_xll.qlInterpolationInterpolate(B3Minterpolation,R221,TRUE)</f>
        <v>1.3666525866312057E-3</v>
      </c>
      <c r="V221" s="184">
        <f>_xll.qlYieldTSDiscount(Discounting,R221,,AllTriggers)</f>
        <v>1.0025936815446095</v>
      </c>
      <c r="W221" s="184">
        <f>_xll.qlYieldTSDiscount(Discounting,S221,,AllTriggers)</f>
        <v>1.0032089220088403</v>
      </c>
      <c r="X221" s="21">
        <f t="shared" si="11"/>
        <v>-2.3997620369043335E-3</v>
      </c>
      <c r="Y221" s="359">
        <f t="shared" si="12"/>
        <v>3.4940893095337575E-4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42501</v>
      </c>
      <c r="S222" s="133">
        <f>_xll.qlCalendarAdvance(Calendar,R222,$F$1,"mf",,Trigger)</f>
        <v>42593</v>
      </c>
      <c r="T222" s="183">
        <f>_xll.qlDayCounterYearFraction(DayCounter,R222,S222,,,Trigger)</f>
        <v>0.25555555555555554</v>
      </c>
      <c r="U222" s="21">
        <f>_xll.qlInterpolationInterpolate(B3Minterpolation,R222,TRUE)</f>
        <v>1.3665306731449486E-3</v>
      </c>
      <c r="V222" s="184">
        <f>_xll.qlYieldTSDiscount(Discounting,R222,,AllTriggers)</f>
        <v>1.002601442501305</v>
      </c>
      <c r="W222" s="184">
        <f>_xll.qlYieldTSDiscount(Discounting,S222,,AllTriggers)</f>
        <v>1.0032142533061232</v>
      </c>
      <c r="X222" s="21">
        <f t="shared" si="11"/>
        <v>-2.3902723822943894E-3</v>
      </c>
      <c r="Y222" s="359">
        <f t="shared" si="12"/>
        <v>3.4937691939881509E-4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42502</v>
      </c>
      <c r="S223" s="133">
        <f>_xll.qlCalendarAdvance(Calendar,R223,$F$1,"mf",,Trigger)</f>
        <v>42594</v>
      </c>
      <c r="T223" s="183">
        <f>_xll.qlDayCounterYearFraction(DayCounter,R223,S223,,,Trigger)</f>
        <v>0.25555555555555554</v>
      </c>
      <c r="U223" s="21">
        <f>_xll.qlInterpolationInterpolate(B3Minterpolation,R223,TRUE)</f>
        <v>1.3663910392902182E-3</v>
      </c>
      <c r="V223" s="184">
        <f>_xll.qlYieldTSDiscount(Discounting,R223,,AllTriggers)</f>
        <v>1.0026091881941321</v>
      </c>
      <c r="W223" s="184">
        <f>_xll.qlYieldTSDiscount(Discounting,S223,,AllTriggers)</f>
        <v>1.0032195532610519</v>
      </c>
      <c r="X223" s="21">
        <f t="shared" si="11"/>
        <v>-2.3807201890206331E-3</v>
      </c>
      <c r="Y223" s="359">
        <f t="shared" si="12"/>
        <v>3.4934037269994319E-4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42503</v>
      </c>
      <c r="S224" s="133">
        <f>_xll.qlCalendarAdvance(Calendar,R224,$F$1,"mf",,Trigger)</f>
        <v>42597</v>
      </c>
      <c r="T224" s="183">
        <f>_xll.qlDayCounterYearFraction(DayCounter,R224,S224,,,Trigger)</f>
        <v>0.26111111111111113</v>
      </c>
      <c r="U224" s="21">
        <f>_xll.qlInterpolationInterpolate(B3Minterpolation,R224,TRUE)</f>
        <v>1.366233741475991E-3</v>
      </c>
      <c r="V224" s="184">
        <f>_xll.qlYieldTSDiscount(Discounting,R224,,AllTriggers)</f>
        <v>1.0026169183181135</v>
      </c>
      <c r="W224" s="184">
        <f>_xll.qlYieldTSDiscount(Discounting,S224,,AllTriggers)</f>
        <v>1.0032352648104883</v>
      </c>
      <c r="X224" s="21">
        <f t="shared" si="11"/>
        <v>-2.3604986644476756E-3</v>
      </c>
      <c r="Y224" s="359">
        <f t="shared" si="12"/>
        <v>3.5689512806826485E-4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42507</v>
      </c>
      <c r="S225" s="133">
        <f>_xll.qlCalendarAdvance(Calendar,R225,$F$1,"mf",,Trigger)</f>
        <v>42599</v>
      </c>
      <c r="T225" s="183">
        <f>_xll.qlDayCounterYearFraction(DayCounter,R225,S225,,,Trigger)</f>
        <v>0.25555555555555554</v>
      </c>
      <c r="U225" s="21">
        <f>_xll.qlInterpolationInterpolate(B3Minterpolation,R225,TRUE)</f>
        <v>1.3654290388036457E-3</v>
      </c>
      <c r="V225" s="184">
        <f>_xll.qlYieldTSDiscount(Discounting,R225,,AllTriggers)</f>
        <v>1.0026476770257409</v>
      </c>
      <c r="W225" s="184">
        <f>_xll.qlYieldTSDiscount(Discounting,S225,,AllTriggers)</f>
        <v>1.0032455819861372</v>
      </c>
      <c r="X225" s="21">
        <f t="shared" si="11"/>
        <v>-2.3320592165148421E-3</v>
      </c>
      <c r="Y225" s="359">
        <f t="shared" si="12"/>
        <v>3.4909012133375227E-4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42508</v>
      </c>
      <c r="S226" s="133">
        <f>_xll.qlCalendarAdvance(Calendar,R226,$F$1,"mf",,Trigger)</f>
        <v>42600</v>
      </c>
      <c r="T226" s="183">
        <f>_xll.qlDayCounterYearFraction(DayCounter,R226,S226,,,Trigger)</f>
        <v>0.25555555555555554</v>
      </c>
      <c r="U226" s="21">
        <f>_xll.qlInterpolationInterpolate(B3Minterpolation,R226,TRUE)</f>
        <v>1.3651842673265827E-3</v>
      </c>
      <c r="V226" s="184">
        <f>_xll.qlYieldTSDiscount(Discounting,R226,,AllTriggers)</f>
        <v>1.0026553247305368</v>
      </c>
      <c r="W226" s="184">
        <f>_xll.qlYieldTSDiscount(Discounting,S226,,AllTriggers)</f>
        <v>1.0032506933384266</v>
      </c>
      <c r="X226" s="21">
        <f t="shared" si="11"/>
        <v>-2.3221546356597968E-3</v>
      </c>
      <c r="Y226" s="359">
        <f t="shared" si="12"/>
        <v>3.4902666934634506E-4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42509</v>
      </c>
      <c r="S227" s="133">
        <f>_xll.qlCalendarAdvance(Calendar,R227,$F$1,"mf",,Trigger)</f>
        <v>42601</v>
      </c>
      <c r="T227" s="183">
        <f>_xll.qlDayCounterYearFraction(DayCounter,R227,S227,,,Trigger)</f>
        <v>0.25555555555555554</v>
      </c>
      <c r="U227" s="21">
        <f>_xll.qlInterpolationInterpolate(B3Minterpolation,R227,TRUE)</f>
        <v>1.364922170343882E-3</v>
      </c>
      <c r="V227" s="184">
        <f>_xll.qlYieldTSDiscount(Discounting,R227,,AllTriggers)</f>
        <v>1.0026629550364445</v>
      </c>
      <c r="W227" s="184">
        <f>_xll.qlYieldTSDiscount(Discounting,S227,,AllTriggers)</f>
        <v>1.0032557731655463</v>
      </c>
      <c r="X227" s="21">
        <f t="shared" si="11"/>
        <v>-2.3121951310153218E-3</v>
      </c>
      <c r="Y227" s="359">
        <f t="shared" si="12"/>
        <v>3.4895878407482938E-4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42510</v>
      </c>
      <c r="S228" s="133">
        <f>_xll.qlCalendarAdvance(Calendar,R228,$F$1,"mf",,Trigger)</f>
        <v>42604</v>
      </c>
      <c r="T228" s="183">
        <f>_xll.qlDayCounterYearFraction(DayCounter,R228,S228,,,Trigger)</f>
        <v>0.26111111111111113</v>
      </c>
      <c r="U228" s="21">
        <f>_xll.qlInterpolationInterpolate(B3Minterpolation,R228,TRUE)</f>
        <v>1.3646428042645201E-3</v>
      </c>
      <c r="V228" s="184">
        <f>_xll.qlYieldTSDiscount(Discounting,R228,,AllTriggers)</f>
        <v>1.0026705676384269</v>
      </c>
      <c r="W228" s="184">
        <f>_xll.qlYieldTSDiscount(Discounting,S228,,AllTriggers)</f>
        <v>1.0032708232348313</v>
      </c>
      <c r="X228" s="21">
        <f t="shared" si="11"/>
        <v>-2.2913565978725406E-3</v>
      </c>
      <c r="Y228" s="359">
        <f t="shared" si="12"/>
        <v>3.5647317022142414E-4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42513</v>
      </c>
      <c r="S229" s="133">
        <f>_xll.qlCalendarAdvance(Calendar,R229,$F$1,"mf",,Trigger)</f>
        <v>42605</v>
      </c>
      <c r="T229" s="183">
        <f>_xll.qlDayCounterYearFraction(DayCounter,R229,S229,,,Trigger)</f>
        <v>0.25555555555555554</v>
      </c>
      <c r="U229" s="21">
        <f>_xll.qlInterpolationInterpolate(B3Minterpolation,R229,TRUE)</f>
        <v>1.3637016555362329E-3</v>
      </c>
      <c r="V229" s="184">
        <f>_xll.qlYieldTSDiscount(Discounting,R229,,AllTriggers)</f>
        <v>1.002693296170331</v>
      </c>
      <c r="W229" s="184">
        <f>_xll.qlYieldTSDiscount(Discounting,S229,,AllTriggers)</f>
        <v>1.0032757767002285</v>
      </c>
      <c r="X229" s="21">
        <f t="shared" si="11"/>
        <v>-2.2718296321536224E-3</v>
      </c>
      <c r="Y229" s="359">
        <f t="shared" si="12"/>
        <v>3.4864320118834093E-4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42514</v>
      </c>
      <c r="S230" s="133">
        <f>_xll.qlCalendarAdvance(Calendar,R230,$F$1,"mf",,Trigger)</f>
        <v>42606</v>
      </c>
      <c r="T230" s="183">
        <f>_xll.qlDayCounterYearFraction(DayCounter,R230,S230,,,Trigger)</f>
        <v>0.25555555555555554</v>
      </c>
      <c r="U230" s="21">
        <f>_xll.qlInterpolationInterpolate(B3Minterpolation,R230,TRUE)</f>
        <v>1.3633537771599914E-3</v>
      </c>
      <c r="V230" s="184">
        <f>_xll.qlYieldTSDiscount(Discounting,R230,,AllTriggers)</f>
        <v>1.0027008349060791</v>
      </c>
      <c r="W230" s="184">
        <f>_xll.qlYieldTSDiscount(Discounting,S230,,AllTriggers)</f>
        <v>1.0032806985099469</v>
      </c>
      <c r="X230" s="21">
        <f t="shared" si="11"/>
        <v>-2.2616118268456806E-3</v>
      </c>
      <c r="Y230" s="359">
        <f t="shared" si="12"/>
        <v>3.4855336777725069E-4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42515</v>
      </c>
      <c r="S231" s="133">
        <f>_xll.qlCalendarAdvance(Calendar,R231,$F$1,"mf",,Trigger)</f>
        <v>42607</v>
      </c>
      <c r="T231" s="183">
        <f>_xll.qlDayCounterYearFraction(DayCounter,R231,S231,,,Trigger)</f>
        <v>0.25555555555555554</v>
      </c>
      <c r="U231" s="21">
        <f>_xll.qlInterpolationInterpolate(B3Minterpolation,R231,TRUE)</f>
        <v>1.3629889117319715E-3</v>
      </c>
      <c r="V231" s="184">
        <f>_xll.qlYieldTSDiscount(Discounting,R231,,AllTriggers)</f>
        <v>1.0027083544125945</v>
      </c>
      <c r="W231" s="184">
        <f>_xll.qlYieldTSDiscount(Discounting,S231,,AllTriggers)</f>
        <v>1.0032855886378917</v>
      </c>
      <c r="X231" s="21">
        <f t="shared" si="11"/>
        <v>-2.2513456251221681E-3</v>
      </c>
      <c r="Y231" s="359">
        <f t="shared" si="12"/>
        <v>3.4845918839459936E-4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42516</v>
      </c>
      <c r="S232" s="133">
        <f>_xll.qlCalendarAdvance(Calendar,R232,$F$1,"mf",,Trigger)</f>
        <v>42608</v>
      </c>
      <c r="T232" s="183">
        <f>_xll.qlDayCounterYearFraction(DayCounter,R232,S232,,,Trigger)</f>
        <v>0.25555555555555554</v>
      </c>
      <c r="U232" s="21">
        <f>_xll.qlInterpolationInterpolate(B3Minterpolation,R232,TRUE)</f>
        <v>1.3626071156611495E-3</v>
      </c>
      <c r="V232" s="184">
        <f>_xll.qlYieldTSDiscount(Discounting,R232,,AllTriggers)</f>
        <v>1.0027158543847914</v>
      </c>
      <c r="W232" s="184">
        <f>_xll.qlYieldTSDiscount(Discounting,S232,,AllTriggers)</f>
        <v>1.0032904470579713</v>
      </c>
      <c r="X232" s="21">
        <f t="shared" si="11"/>
        <v>-2.2410321149136997E-3</v>
      </c>
      <c r="Y232" s="359">
        <f t="shared" si="12"/>
        <v>3.4836067759310888E-4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42517</v>
      </c>
      <c r="S233" s="133">
        <f>_xll.qlCalendarAdvance(Calendar,R233,$F$1,"mf",,Trigger)</f>
        <v>42611</v>
      </c>
      <c r="T233" s="183">
        <f>_xll.qlDayCounterYearFraction(DayCounter,R233,S233,,,Trigger)</f>
        <v>0.26111111111111113</v>
      </c>
      <c r="U233" s="21">
        <f>_xll.qlInterpolationInterpolate(B3Minterpolation,R233,TRUE)</f>
        <v>1.3622084453565018E-3</v>
      </c>
      <c r="V233" s="184">
        <f>_xll.qlYieldTSDiscount(Discounting,R233,,AllTriggers)</f>
        <v>1.0027233345175754</v>
      </c>
      <c r="W233" s="184">
        <f>_xll.qlYieldTSDiscount(Discounting,S233,,AllTriggers)</f>
        <v>1.0033048318101365</v>
      </c>
      <c r="X233" s="21">
        <f t="shared" si="11"/>
        <v>-2.2196752542921454E-3</v>
      </c>
      <c r="Y233" s="359">
        <f t="shared" si="12"/>
        <v>3.5583071520187945E-4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42520</v>
      </c>
      <c r="S234" s="133">
        <f>_xll.qlCalendarAdvance(Calendar,R234,$F$1,"mf",,Trigger)</f>
        <v>42612</v>
      </c>
      <c r="T234" s="183">
        <f>_xll.qlDayCounterYearFraction(DayCounter,R234,S234,,,Trigger)</f>
        <v>0.25555555555555554</v>
      </c>
      <c r="U234" s="21">
        <f>_xll.qlInterpolationInterpolate(B3Minterpolation,R234,TRUE)</f>
        <v>1.3609117531293705E-3</v>
      </c>
      <c r="V234" s="184">
        <f>_xll.qlYieldTSDiscount(Discounting,R234,,AllTriggers)</f>
        <v>1.0027456528283947</v>
      </c>
      <c r="W234" s="184">
        <f>_xll.qlYieldTSDiscount(Discounting,S234,,AllTriggers)</f>
        <v>1.0033095631378857</v>
      </c>
      <c r="X234" s="21">
        <f t="shared" si="11"/>
        <v>-2.1993267481440724E-3</v>
      </c>
      <c r="Y234" s="359">
        <f t="shared" si="12"/>
        <v>3.4792361124011086E-4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42521</v>
      </c>
      <c r="S235" s="133">
        <f>_xll.qlCalendarAdvance(Calendar,R235,$F$1,"mf",,Trigger)</f>
        <v>42613</v>
      </c>
      <c r="T235" s="183">
        <f>_xll.qlDayCounterYearFraction(DayCounter,R235,S235,,,Trigger)</f>
        <v>0.25555555555555554</v>
      </c>
      <c r="U235" s="21">
        <f>_xll.qlInterpolationInterpolate(B3Minterpolation,R235,TRUE)</f>
        <v>1.3604461499791857E-3</v>
      </c>
      <c r="V235" s="184">
        <f>_xll.qlYieldTSDiscount(Discounting,R235,,AllTriggers)</f>
        <v>1.0027530505524318</v>
      </c>
      <c r="W235" s="184">
        <f>_xll.qlYieldTSDiscount(Discounting,S235,,AllTriggers)</f>
        <v>1.0033142626273479</v>
      </c>
      <c r="X235" s="21">
        <f t="shared" si="11"/>
        <v>-2.188793014783716E-3</v>
      </c>
      <c r="Y235" s="359">
        <f t="shared" si="12"/>
        <v>3.4780366162639738E-4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42522</v>
      </c>
      <c r="S236" s="133">
        <f>_xll.qlCalendarAdvance(Calendar,R236,$F$1,"mf",,Trigger)</f>
        <v>42614</v>
      </c>
      <c r="T236" s="183">
        <f>_xll.qlDayCounterYearFraction(DayCounter,R236,S236,,,Trigger)</f>
        <v>0.25555555555555554</v>
      </c>
      <c r="U236" s="21">
        <f>_xll.qlInterpolationInterpolate(B3Minterpolation,R236,TRUE)</f>
        <v>1.3599639546400576E-3</v>
      </c>
      <c r="V236" s="184">
        <f>_xll.qlYieldTSDiscount(Discounting,R236,,AllTriggers)</f>
        <v>1.0027604269114696</v>
      </c>
      <c r="W236" s="184">
        <f>_xll.qlYieldTSDiscount(Discounting,S236,,AllTriggers)</f>
        <v>1.0033189302524463</v>
      </c>
      <c r="X236" s="21">
        <f t="shared" si="11"/>
        <v>-2.1782185007175906E-3</v>
      </c>
      <c r="Y236" s="359">
        <f t="shared" si="12"/>
        <v>3.4767946790646996E-4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42523</v>
      </c>
      <c r="S237" s="133">
        <f>_xll.qlCalendarAdvance(Calendar,R237,$F$1,"mf",,Trigger)</f>
        <v>42615</v>
      </c>
      <c r="T237" s="183">
        <f>_xll.qlDayCounterYearFraction(DayCounter,R237,S237,,,Trigger)</f>
        <v>0.25555555555555554</v>
      </c>
      <c r="U237" s="21">
        <f>_xll.qlInterpolationInterpolate(B3Minterpolation,R237,TRUE)</f>
        <v>1.3594652235209633E-3</v>
      </c>
      <c r="V237" s="184">
        <f>_xll.qlYieldTSDiscount(Discounting,R237,,AllTriggers)</f>
        <v>1.0027677816003671</v>
      </c>
      <c r="W237" s="184">
        <f>_xll.qlYieldTSDiscount(Discounting,S237,,AllTriggers)</f>
        <v>1.0033235659871067</v>
      </c>
      <c r="X237" s="21">
        <f t="shared" si="11"/>
        <v>-2.1676042939458213E-3</v>
      </c>
      <c r="Y237" s="359">
        <f t="shared" si="12"/>
        <v>3.475510446327088E-4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42524</v>
      </c>
      <c r="S238" s="133">
        <f>_xll.qlCalendarAdvance(Calendar,R238,$F$1,"mf",,Trigger)</f>
        <v>42618</v>
      </c>
      <c r="T238" s="183">
        <f>_xll.qlDayCounterYearFraction(DayCounter,R238,S238,,,Trigger)</f>
        <v>0.26111111111111113</v>
      </c>
      <c r="U238" s="21">
        <f>_xll.qlInterpolationInterpolate(B3Minterpolation,R238,TRUE)</f>
        <v>1.3589500130308787E-3</v>
      </c>
      <c r="V238" s="184">
        <f>_xll.qlYieldTSDiscount(Discounting,R238,,AllTriggers)</f>
        <v>1.0027751143139763</v>
      </c>
      <c r="W238" s="184">
        <f>_xll.qlYieldTSDiscount(Discounting,S238,,AllTriggers)</f>
        <v>1.0033372815877561</v>
      </c>
      <c r="X238" s="21">
        <f t="shared" si="11"/>
        <v>-2.1458198434646694E-3</v>
      </c>
      <c r="Y238" s="359">
        <f t="shared" si="12"/>
        <v>3.5497286320290846E-4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42527</v>
      </c>
      <c r="S239" s="133">
        <f>_xll.qlCalendarAdvance(Calendar,R239,$F$1,"mf",,Trigger)</f>
        <v>42619</v>
      </c>
      <c r="T239" s="183">
        <f>_xll.qlDayCounterYearFraction(DayCounter,R239,S239,,,Trigger)</f>
        <v>0.25555555555555554</v>
      </c>
      <c r="U239" s="21">
        <f>_xll.qlInterpolationInterpolate(B3Minterpolation,R239,TRUE)</f>
        <v>1.3573060694244503E-3</v>
      </c>
      <c r="V239" s="184">
        <f>_xll.qlYieldTSDiscount(Discounting,R239,,AllTriggers)</f>
        <v>1.0027969775514829</v>
      </c>
      <c r="W239" s="184">
        <f>_xll.qlYieldTSDiscount(Discounting,S239,,AllTriggers)</f>
        <v>1.0033417894999741</v>
      </c>
      <c r="X239" s="21">
        <f t="shared" si="11"/>
        <v>-2.1247723001597326E-3</v>
      </c>
      <c r="Y239" s="359">
        <f t="shared" si="12"/>
        <v>3.4699534703444779E-4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42528</v>
      </c>
      <c r="S240" s="133">
        <f>_xll.qlCalendarAdvance(Calendar,R240,$F$1,"mf",,Trigger)</f>
        <v>42620</v>
      </c>
      <c r="T240" s="183">
        <f>_xll.qlDayCounterYearFraction(DayCounter,R240,S240,,,Trigger)</f>
        <v>0.25555555555555554</v>
      </c>
      <c r="U240" s="21">
        <f>_xll.qlInterpolationInterpolate(B3Minterpolation,R240,TRUE)</f>
        <v>1.3567255055401707E-3</v>
      </c>
      <c r="V240" s="184">
        <f>_xll.qlYieldTSDiscount(Discounting,R240,,AllTriggers)</f>
        <v>1.0028042193123106</v>
      </c>
      <c r="W240" s="184">
        <f>_xll.qlYieldTSDiscount(Discounting,S240,,AllTriggers)</f>
        <v>1.0033462653914216</v>
      </c>
      <c r="X240" s="21">
        <f t="shared" si="11"/>
        <v>-2.1139759502217612E-3</v>
      </c>
      <c r="Y240" s="359">
        <f t="shared" si="12"/>
        <v>3.4684599426718766E-4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42529</v>
      </c>
      <c r="S241" s="133">
        <f>_xll.qlCalendarAdvance(Calendar,R241,$F$1,"mf",,Trigger)</f>
        <v>42621</v>
      </c>
      <c r="T241" s="183">
        <f>_xll.qlDayCounterYearFraction(DayCounter,R241,S241,,,Trigger)</f>
        <v>0.25555555555555554</v>
      </c>
      <c r="U241" s="21">
        <f>_xll.qlInterpolationInterpolate(B3Minterpolation,R241,TRUE)</f>
        <v>1.3561287443297839E-3</v>
      </c>
      <c r="V241" s="184">
        <f>_xll.qlYieldTSDiscount(Discounting,R241,,AllTriggers)</f>
        <v>1.002811437571999</v>
      </c>
      <c r="W241" s="184">
        <f>_xll.qlYieldTSDiscount(Discounting,S241,,AllTriggers)</f>
        <v>1.0033507092360403</v>
      </c>
      <c r="X241" s="21">
        <f t="shared" si="11"/>
        <v>-2.1031464358004567E-3</v>
      </c>
      <c r="Y241" s="359">
        <f t="shared" si="12"/>
        <v>3.4669249925587271E-4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42530</v>
      </c>
      <c r="S242" s="133">
        <f>_xll.qlCalendarAdvance(Calendar,R242,$F$1,"mf",,Trigger)</f>
        <v>42622</v>
      </c>
      <c r="T242" s="183">
        <f>_xll.qlDayCounterYearFraction(DayCounter,R242,S242,,,Trigger)</f>
        <v>0.25555555555555554</v>
      </c>
      <c r="U242" s="21">
        <f>_xll.qlInterpolationInterpolate(B3Minterpolation,R242,TRUE)</f>
        <v>1.3555158422022659E-3</v>
      </c>
      <c r="V242" s="184">
        <f>_xll.qlYieldTSDiscount(Discounting,R242,,AllTriggers)</f>
        <v>1.0028186320253563</v>
      </c>
      <c r="W242" s="184">
        <f>_xll.qlYieldTSDiscount(Discounting,S242,,AllTriggers)</f>
        <v>1.0033551210077738</v>
      </c>
      <c r="X242" s="21">
        <f t="shared" si="11"/>
        <v>-2.0922848449702316E-3</v>
      </c>
      <c r="Y242" s="359">
        <f t="shared" si="12"/>
        <v>3.4653487655168395E-4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42531</v>
      </c>
      <c r="S243" s="133">
        <f>_xll.qlCalendarAdvance(Calendar,R243,$F$1,"mf",,Trigger)</f>
        <v>42625</v>
      </c>
      <c r="T243" s="183">
        <f>_xll.qlDayCounterYearFraction(DayCounter,R243,S243,,,Trigger)</f>
        <v>0.26111111111111113</v>
      </c>
      <c r="U243" s="21">
        <f>_xll.qlInterpolationInterpolate(B3Minterpolation,R243,TRUE)</f>
        <v>1.3548868555665935E-3</v>
      </c>
      <c r="V243" s="184">
        <f>_xll.qlYieldTSDiscount(Discounting,R243,,AllTriggers)</f>
        <v>1.0028258023671832</v>
      </c>
      <c r="W243" s="184">
        <f>_xll.qlYieldTSDiscount(Discounting,S243,,AllTriggers)</f>
        <v>1.0033681636251437</v>
      </c>
      <c r="X243" s="21">
        <f t="shared" si="11"/>
        <v>-2.0701555991886372E-3</v>
      </c>
      <c r="Y243" s="359">
        <f t="shared" si="12"/>
        <v>3.5390471435691785E-4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42534</v>
      </c>
      <c r="S244" s="133">
        <f>_xll.qlCalendarAdvance(Calendar,R244,$F$1,"mf",,Trigger)</f>
        <v>42626</v>
      </c>
      <c r="T244" s="183">
        <f>_xll.qlDayCounterYearFraction(DayCounter,R244,S244,,,Trigger)</f>
        <v>0.25555555555555554</v>
      </c>
      <c r="U244" s="21">
        <f>_xll.qlInterpolationInterpolate(B3Minterpolation,R244,TRUE)</f>
        <v>1.3529039527004148E-3</v>
      </c>
      <c r="V244" s="184">
        <f>_xll.qlYieldTSDiscount(Discounting,R244,,AllTriggers)</f>
        <v>1.0028471656713902</v>
      </c>
      <c r="W244" s="184">
        <f>_xll.qlYieldTSDiscount(Discounting,S244,,AllTriggers)</f>
        <v>1.0033724468448295</v>
      </c>
      <c r="X244" s="21">
        <f t="shared" si="11"/>
        <v>-2.0485394794758759E-3</v>
      </c>
      <c r="Y244" s="359">
        <f t="shared" si="12"/>
        <v>3.4586339982013893E-4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42535</v>
      </c>
      <c r="S245" s="133">
        <f>_xll.qlCalendarAdvance(Calendar,R245,$F$1,"mf",,Trigger)</f>
        <v>42627</v>
      </c>
      <c r="T245" s="183">
        <f>_xll.qlDayCounterYearFraction(DayCounter,R245,S245,,,Trigger)</f>
        <v>0.25555555555555554</v>
      </c>
      <c r="U245" s="21">
        <f>_xll.qlInterpolationInterpolate(B3Minterpolation,R245,TRUE)</f>
        <v>1.3522111921218897E-3</v>
      </c>
      <c r="V245" s="184">
        <f>_xll.qlYieldTSDiscount(Discounting,R245,,AllTriggers)</f>
        <v>1.0028542365149689</v>
      </c>
      <c r="W245" s="184">
        <f>_xll.qlYieldTSDiscount(Discounting,S245,,AllTriggers)</f>
        <v>1.0033766978613896</v>
      </c>
      <c r="X245" s="21">
        <f t="shared" si="11"/>
        <v>-2.0375338281351735E-3</v>
      </c>
      <c r="Y245" s="359">
        <f t="shared" si="12"/>
        <v>3.4568535691118624E-4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42536</v>
      </c>
      <c r="S246" s="133">
        <f>_xll.qlCalendarAdvance(Calendar,R246,$F$1,"mf",,Trigger)</f>
        <v>42628</v>
      </c>
      <c r="T246" s="183">
        <f>_xll.qlDayCounterYearFraction(DayCounter,R246,S246,,,Trigger)</f>
        <v>0.25555555555555554</v>
      </c>
      <c r="U246" s="21">
        <f>_xll.qlInterpolationInterpolate(B3Minterpolation,R246,TRUE)</f>
        <v>1.3515026290800926E-3</v>
      </c>
      <c r="V246" s="184">
        <f>_xll.qlYieldTSDiscount(Discounting,R246,,AllTriggers)</f>
        <v>1.002861281720919</v>
      </c>
      <c r="W246" s="184">
        <f>_xll.qlYieldTSDiscount(Discounting,S246,,AllTriggers)</f>
        <v>1.0033809166487837</v>
      </c>
      <c r="X246" s="21">
        <f t="shared" si="11"/>
        <v>-2.0265026290800926E-3</v>
      </c>
      <c r="Y246" s="359">
        <f t="shared" si="12"/>
        <v>3.4550327361203195E-4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42537</v>
      </c>
      <c r="S247" s="133">
        <f>_xll.qlCalendarAdvance(Calendar,R247,$F$1,"mf",,Trigger)</f>
        <v>42629</v>
      </c>
      <c r="T247" s="183">
        <f>_xll.qlDayCounterYearFraction(DayCounter,R247,S247,,,Trigger)</f>
        <v>0.25555555555555554</v>
      </c>
      <c r="U247" s="21">
        <f>_xll.qlInterpolationInterpolate(B3Minterpolation,R247,TRUE)</f>
        <v>1.35076802038908E-3</v>
      </c>
      <c r="V247" s="184">
        <f>_xll.qlYieldTSDiscount(Discounting,R247,,AllTriggers)</f>
        <v>1.0028683009840014</v>
      </c>
      <c r="W247" s="184">
        <f>_xll.qlYieldTSDiscount(Discounting,S247,,AllTriggers)</f>
        <v>1.0033851031809744</v>
      </c>
      <c r="X247" s="21">
        <f t="shared" si="11"/>
        <v>-2.0154469704654165E-3</v>
      </c>
      <c r="Y247" s="359">
        <f t="shared" si="12"/>
        <v>3.453145319064735E-4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42538</v>
      </c>
      <c r="S248" s="133">
        <f>_xll.qlCalendarAdvance(Calendar,R248,$F$1,"mf",,Trigger)</f>
        <v>42632</v>
      </c>
      <c r="T248" s="183">
        <f>_xll.qlDayCounterYearFraction(DayCounter,R248,S248,,,Trigger)</f>
        <v>0.26111111111111113</v>
      </c>
      <c r="U248" s="21">
        <f>_xll.qlInterpolationInterpolate(B3Minterpolation,R248,TRUE)</f>
        <v>1.3499976830255432E-3</v>
      </c>
      <c r="V248" s="184">
        <f>_xll.qlYieldTSDiscount(Discounting,R248,,AllTriggers)</f>
        <v>1.0028752939989696</v>
      </c>
      <c r="W248" s="184">
        <f>_xll.qlYieldTSDiscount(Discounting,S248,,AllTriggers)</f>
        <v>1.0033974689859912</v>
      </c>
      <c r="X248" s="21">
        <f t="shared" si="11"/>
        <v>-1.9930477812077764E-3</v>
      </c>
      <c r="Y248" s="359">
        <f t="shared" si="12"/>
        <v>3.5262075564490043E-4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42541</v>
      </c>
      <c r="S249" s="133">
        <f>_xll.qlCalendarAdvance(Calendar,R249,$F$1,"mf",,Trigger)</f>
        <v>42633</v>
      </c>
      <c r="T249" s="183">
        <f>_xll.qlDayCounterYearFraction(DayCounter,R249,S249,,,Trigger)</f>
        <v>0.25555555555555554</v>
      </c>
      <c r="U249" s="21">
        <f>_xll.qlInterpolationInterpolate(B3Minterpolation,R249,TRUE)</f>
        <v>1.3474812654290776E-3</v>
      </c>
      <c r="V249" s="184">
        <f>_xll.qlYieldTSDiscount(Discounting,R249,,AllTriggers)</f>
        <v>1.0028961125026286</v>
      </c>
      <c r="W249" s="184">
        <f>_xll.qlYieldTSDiscount(Discounting,S249,,AllTriggers)</f>
        <v>1.003401526237047</v>
      </c>
      <c r="X249" s="21">
        <f t="shared" si="11"/>
        <v>-1.9710015039608527E-3</v>
      </c>
      <c r="Y249" s="359">
        <f t="shared" si="12"/>
        <v>3.4447052642724445E-4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42542</v>
      </c>
      <c r="S250" s="133">
        <f>_xll.qlCalendarAdvance(Calendar,R250,$F$1,"mf",,Trigger)</f>
        <v>42634</v>
      </c>
      <c r="T250" s="183">
        <f>_xll.qlDayCounterYearFraction(DayCounter,R250,S250,,,Trigger)</f>
        <v>0.25555555555555554</v>
      </c>
      <c r="U250" s="21">
        <f>_xll.qlInterpolationInterpolate(B3Minterpolation,R250,TRUE)</f>
        <v>1.3465769799047335E-3</v>
      </c>
      <c r="V250" s="184">
        <f>_xll.qlYieldTSDiscount(Discounting,R250,,AllTriggers)</f>
        <v>1.0029029974725485</v>
      </c>
      <c r="W250" s="184">
        <f>_xll.qlYieldTSDiscount(Discounting,S250,,AllTriggers)</f>
        <v>1.0034055511027522</v>
      </c>
      <c r="X250" s="21">
        <f t="shared" si="11"/>
        <v>-1.9598398703130795E-3</v>
      </c>
      <c r="Y250" s="359">
        <f t="shared" si="12"/>
        <v>3.4423841214386425E-4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42543</v>
      </c>
      <c r="S251" s="133">
        <f>_xll.qlCalendarAdvance(Calendar,R251,$F$1,"mf",,Trigger)</f>
        <v>42635</v>
      </c>
      <c r="T251" s="183">
        <f>_xll.qlDayCounterYearFraction(DayCounter,R251,S251,,,Trigger)</f>
        <v>0.25555555555555554</v>
      </c>
      <c r="U251" s="21">
        <f>_xll.qlInterpolationInterpolate(B3Minterpolation,R251,TRUE)</f>
        <v>1.3456414489725103E-3</v>
      </c>
      <c r="V251" s="184">
        <f>_xll.qlYieldTSDiscount(Discounting,R251,,AllTriggers)</f>
        <v>1.0029098546680273</v>
      </c>
      <c r="W251" s="184">
        <f>_xll.qlYieldTSDiscount(Discounting,S251,,AllTriggers)</f>
        <v>1.0034095435570856</v>
      </c>
      <c r="X251" s="21">
        <f t="shared" si="11"/>
        <v>-1.9486603062968124E-3</v>
      </c>
      <c r="Y251" s="359">
        <f t="shared" si="12"/>
        <v>3.4399831138665467E-4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42544</v>
      </c>
      <c r="S252" s="133">
        <f>_xll.qlCalendarAdvance(Calendar,R252,$F$1,"mf",,Trigger)</f>
        <v>42636</v>
      </c>
      <c r="T252" s="183">
        <f>_xll.qlDayCounterYearFraction(DayCounter,R252,S252,,,Trigger)</f>
        <v>0.25555555555555554</v>
      </c>
      <c r="U252" s="21">
        <f>_xll.qlInterpolationInterpolate(B3Minterpolation,R252,TRUE)</f>
        <v>1.3446755692853364E-3</v>
      </c>
      <c r="V252" s="184">
        <f>_xll.qlYieldTSDiscount(Discounting,R252,,AllTriggers)</f>
        <v>1.0029166837837815</v>
      </c>
      <c r="W252" s="184">
        <f>_xll.qlYieldTSDiscount(Discounting,S252,,AllTriggers)</f>
        <v>1.0034135035740284</v>
      </c>
      <c r="X252" s="21">
        <f t="shared" si="11"/>
        <v>-1.9374639001485082E-3</v>
      </c>
      <c r="Y252" s="359">
        <f t="shared" si="12"/>
        <v>3.4375045349615722E-4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42548</v>
      </c>
      <c r="S253" s="133">
        <f>_xll.qlCalendarAdvance(Calendar,R253,$F$1,"mf",,Trigger)</f>
        <v>42640</v>
      </c>
      <c r="T253" s="183">
        <f>_xll.qlDayCounterYearFraction(DayCounter,R253,S253,,,Trigger)</f>
        <v>0.25555555555555554</v>
      </c>
      <c r="U253" s="21">
        <f>_xll.qlInterpolationInterpolate(B3Minterpolation,R253,TRUE)</f>
        <v>1.3405264960457161E-3</v>
      </c>
      <c r="V253" s="184">
        <f>_xll.qlYieldTSDiscount(Discounting,R253,,AllTriggers)</f>
        <v>1.0029437133436676</v>
      </c>
      <c r="W253" s="184">
        <f>_xll.qlYieldTSDiscount(Discounting,S253,,AllTriggers)</f>
        <v>1.0034290187476198</v>
      </c>
      <c r="X253" s="21">
        <f t="shared" si="11"/>
        <v>-1.8925316194962555E-3</v>
      </c>
      <c r="Y253" s="359">
        <f t="shared" si="12"/>
        <v>3.4268603733097954E-4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42549</v>
      </c>
      <c r="S254" s="133">
        <f>_xll.qlCalendarAdvance(Calendar,R254,$F$1,"mf",,Trigger)</f>
        <v>42641</v>
      </c>
      <c r="T254" s="183">
        <f>_xll.qlDayCounterYearFraction(DayCounter,R254,S254,,,Trigger)</f>
        <v>0.25555555555555554</v>
      </c>
      <c r="U254" s="21">
        <f>_xll.qlInterpolationInterpolate(B3Minterpolation,R254,TRUE)</f>
        <v>1.3394223223777244E-3</v>
      </c>
      <c r="V254" s="184">
        <f>_xll.qlYieldTSDiscount(Discounting,R254,,AllTriggers)</f>
        <v>1.0029503974813352</v>
      </c>
      <c r="W254" s="184">
        <f>_xll.qlYieldTSDiscount(Discounting,S254,,AllTriggers)</f>
        <v>1.003432816187428</v>
      </c>
      <c r="X254" s="21">
        <f t="shared" si="11"/>
        <v>-1.8812673267350984E-3</v>
      </c>
      <c r="Y254" s="359">
        <f t="shared" si="12"/>
        <v>3.4240283379726897E-4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42550</v>
      </c>
      <c r="S255" s="133">
        <f>_xll.qlCalendarAdvance(Calendar,R255,$F$1,"mf",,Trigger)</f>
        <v>42642</v>
      </c>
      <c r="T255" s="183">
        <f>_xll.qlDayCounterYearFraction(DayCounter,R255,S255,,,Trigger)</f>
        <v>0.25555555555555554</v>
      </c>
      <c r="U255" s="21">
        <f>_xll.qlInterpolationInterpolate(B3Minterpolation,R255,TRUE)</f>
        <v>1.3382931798723559E-3</v>
      </c>
      <c r="V255" s="184">
        <f>_xll.qlYieldTSDiscount(Discounting,R255,,AllTriggers)</f>
        <v>1.0029570517074533</v>
      </c>
      <c r="W255" s="184">
        <f>_xll.qlYieldTSDiscount(Discounting,S255,,AllTriggers)</f>
        <v>1.0034365810337922</v>
      </c>
      <c r="X255" s="21">
        <f t="shared" si="11"/>
        <v>-1.8699927215452045E-3</v>
      </c>
      <c r="Y255" s="359">
        <f t="shared" si="12"/>
        <v>3.4211324912041821E-4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42551</v>
      </c>
      <c r="S256" s="133">
        <f>_xll.qlCalendarAdvance(Calendar,R256,$F$1,"mf",,Trigger)</f>
        <v>42643</v>
      </c>
      <c r="T256" s="183">
        <f>_xll.qlDayCounterYearFraction(DayCounter,R256,S256,,,Trigger)</f>
        <v>0.25555555555555554</v>
      </c>
      <c r="U256" s="21">
        <f>_xll.qlInterpolationInterpolate(B3Minterpolation,R256,TRUE)</f>
        <v>1.3371399651825398E-3</v>
      </c>
      <c r="V256" s="184">
        <f>_xll.qlYieldTSDiscount(Discounting,R256,,AllTriggers)</f>
        <v>1.0029636757632159</v>
      </c>
      <c r="W256" s="184">
        <f>_xll.qlYieldTSDiscount(Discounting,S256,,AllTriggers)</f>
        <v>1.003440313260713</v>
      </c>
      <c r="X256" s="21">
        <f t="shared" si="11"/>
        <v>-1.8587087108502399E-3</v>
      </c>
      <c r="Y256" s="359">
        <f t="shared" si="12"/>
        <v>3.4181751260677204E-4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42552</v>
      </c>
      <c r="S257" s="133">
        <f>_xll.qlCalendarAdvance(Calendar,R257,$F$1,"mf",,Trigger)</f>
        <v>42646</v>
      </c>
      <c r="T257" s="183">
        <f>_xll.qlDayCounterYearFraction(DayCounter,R257,S257,,,Trigger)</f>
        <v>0.26111111111111113</v>
      </c>
      <c r="U257" s="21">
        <f>_xll.qlInterpolationInterpolate(B3Minterpolation,R257,TRUE)</f>
        <v>1.3359635749612049E-3</v>
      </c>
      <c r="V257" s="184">
        <f>_xll.qlYieldTSDiscount(Discounting,R257,,AllTriggers)</f>
        <v>1.0029702695758862</v>
      </c>
      <c r="W257" s="184">
        <f>_xll.qlYieldTSDiscount(Discounting,S257,,AllTriggers)</f>
        <v>1.0034513139648664</v>
      </c>
      <c r="X257" s="21">
        <f t="shared" si="11"/>
        <v>-1.8359611814597744E-3</v>
      </c>
      <c r="Y257" s="359">
        <f t="shared" si="12"/>
        <v>3.4894135448304407E-4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42555</v>
      </c>
      <c r="S258" s="133">
        <f>_xll.qlCalendarAdvance(Calendar,R258,$F$1,"mf",,Trigger)</f>
        <v>42647</v>
      </c>
      <c r="T258" s="183">
        <f>_xll.qlDayCounterYearFraction(DayCounter,R258,S258,,,Trigger)</f>
        <v>0.25555555555555554</v>
      </c>
      <c r="U258" s="21">
        <f>_xll.qlInterpolationInterpolate(B3Minterpolation,R258,TRUE)</f>
        <v>1.332304317637377E-3</v>
      </c>
      <c r="V258" s="184">
        <f>_xll.qlYieldTSDiscount(Discounting,R258,,AllTriggers)</f>
        <v>1.0029898692931796</v>
      </c>
      <c r="W258" s="184">
        <f>_xll.qlYieldTSDiscount(Discounting,S258,,AllTriggers)</f>
        <v>1.0034549154540782</v>
      </c>
      <c r="X258" s="21">
        <f t="shared" si="11"/>
        <v>-1.8134804254468424E-3</v>
      </c>
      <c r="Y258" s="359">
        <f t="shared" si="12"/>
        <v>3.4057763279767852E-4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42556</v>
      </c>
      <c r="S259" s="133">
        <f>_xll.qlCalendarAdvance(Calendar,R259,$F$1,"mf",,Trigger)</f>
        <v>42648</v>
      </c>
      <c r="T259" s="183">
        <f>_xll.qlDayCounterYearFraction(DayCounter,R259,S259,,,Trigger)</f>
        <v>0.25555555555555554</v>
      </c>
      <c r="U259" s="21">
        <f>_xll.qlInterpolationInterpolate(B3Minterpolation,R259,TRUE)</f>
        <v>1.3310441918192564E-3</v>
      </c>
      <c r="V259" s="184">
        <f>_xll.qlYieldTSDiscount(Discounting,R259,,AllTriggers)</f>
        <v>1.0029963418713272</v>
      </c>
      <c r="W259" s="184">
        <f>_xll.qlYieldTSDiscount(Discounting,S259,,AllTriggers)</f>
        <v>1.0034584841938929</v>
      </c>
      <c r="X259" s="21">
        <f t="shared" si="11"/>
        <v>-1.8021502930406449E-3</v>
      </c>
      <c r="Y259" s="359">
        <f t="shared" si="12"/>
        <v>3.4025457549915637E-4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42557</v>
      </c>
      <c r="S260" s="133">
        <f>_xll.qlCalendarAdvance(Calendar,R260,$F$1,"mf",,Trigger)</f>
        <v>42649</v>
      </c>
      <c r="T260" s="183">
        <f>_xll.qlDayCounterYearFraction(DayCounter,R260,S260,,,Trigger)</f>
        <v>0.25555555555555554</v>
      </c>
      <c r="U260" s="21">
        <f>_xll.qlInterpolationInterpolate(B3Minterpolation,R260,TRUE)</f>
        <v>1.329765373734262E-3</v>
      </c>
      <c r="V260" s="184">
        <f>_xll.qlYieldTSDiscount(Discounting,R260,,AllTriggers)</f>
        <v>1.003002784075316</v>
      </c>
      <c r="W260" s="184">
        <f>_xll.qlYieldTSDiscount(Discounting,S260,,AllTriggers)</f>
        <v>1.0034620201583282</v>
      </c>
      <c r="X260" s="21">
        <f t="shared" ref="X260:X261" si="13">(V260/W260-1)/T260</f>
        <v>-1.7908109360529143E-3</v>
      </c>
      <c r="Y260" s="359">
        <f t="shared" ref="Y260:Y261" si="14">LN((1+(U260+X260)*T260)/(1+X260*T260))</f>
        <v>3.3992674169087798E-4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42558</v>
      </c>
      <c r="S261" s="361">
        <f>_xll.qlCalendarAdvance(Calendar,R261,$F$1,"mf",,Trigger)</f>
        <v>42650</v>
      </c>
      <c r="T261" s="362">
        <f>_xll.qlDayCounterYearFraction(DayCounter,R261,S261,,,Trigger)</f>
        <v>0.25555555555555554</v>
      </c>
      <c r="U261" s="363">
        <f>_xll.qlInterpolationInterpolate(B3Minterpolation,R261,TRUE)</f>
        <v>1.3284687600353224E-3</v>
      </c>
      <c r="V261" s="364">
        <f>_xll.qlYieldTSDiscount(Discounting,R261,,AllTriggers)</f>
        <v>1.0030091958789389</v>
      </c>
      <c r="W261" s="364">
        <f>_xll.qlYieldTSDiscount(Discounting,S261,,AllTriggers)</f>
        <v>1.0034655233214045</v>
      </c>
      <c r="X261" s="363">
        <f t="shared" si="13"/>
        <v>-1.7794623544028451E-3</v>
      </c>
      <c r="Y261" s="367">
        <f t="shared" si="14"/>
        <v>3.3959436058287733E-4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E579" s="344"/>
      <c r="F579" s="344"/>
      <c r="G579" s="296"/>
      <c r="K579" s="296"/>
      <c r="L579" s="296"/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343" hidden="1" customWidth="1" outlineLevel="1"/>
    <col min="2" max="3" width="7" style="343" hidden="1" customWidth="1" outlineLevel="1"/>
    <col min="4" max="4" width="3.5" style="343" hidden="1" customWidth="1" outlineLevel="1"/>
    <col min="5" max="5" width="3.5" style="385" hidden="1" customWidth="1" outlineLevel="1"/>
    <col min="6" max="6" width="4.6640625" style="385" hidden="1" customWidth="1" outlineLevel="1"/>
    <col min="7" max="7" width="8.1640625" style="343" hidden="1" customWidth="1" outlineLevel="1"/>
    <col min="8" max="8" width="22.6640625" style="343" hidden="1" customWidth="1" outlineLevel="1"/>
    <col min="9" max="9" width="23.83203125" style="343" hidden="1" customWidth="1" outlineLevel="1"/>
    <col min="10" max="10" width="9.33203125" style="343" hidden="1" customWidth="1" outlineLevel="1"/>
    <col min="11" max="11" width="31.1640625" style="343" hidden="1" customWidth="1" outlineLevel="1"/>
    <col min="12" max="12" width="17.83203125" style="387" hidden="1" customWidth="1" outlineLevel="1"/>
    <col min="13" max="13" width="26.33203125" style="343" hidden="1" customWidth="1" outlineLevel="1"/>
    <col min="14" max="14" width="3.5" style="343" bestFit="1" customWidth="1" collapsed="1"/>
    <col min="15" max="15" width="31.1640625" style="343" bestFit="1" customWidth="1"/>
    <col min="16" max="20" width="20.1640625" style="343" bestFit="1" customWidth="1"/>
    <col min="21" max="21" width="17.83203125" style="343" hidden="1" customWidth="1" outlineLevel="1"/>
    <col min="22" max="22" width="14.1640625" style="343" hidden="1" customWidth="1" outlineLevel="1"/>
    <col min="23" max="23" width="10.5" style="343" bestFit="1" customWidth="1" collapsed="1"/>
    <col min="24" max="24" width="11.6640625" style="343" bestFit="1" customWidth="1"/>
    <col min="25" max="26" width="20.1640625" style="343" bestFit="1" customWidth="1"/>
    <col min="27" max="27" width="9.33203125" style="343" bestFit="1" customWidth="1"/>
    <col min="28" max="28" width="17.83203125" style="343" customWidth="1"/>
    <col min="29" max="30" width="10.5" style="343" bestFit="1" customWidth="1"/>
    <col min="31" max="31" width="11.6640625" style="343" bestFit="1" customWidth="1"/>
    <col min="32" max="32" width="17.83203125" style="343" bestFit="1" customWidth="1"/>
    <col min="33" max="33" width="10.5" style="343" bestFit="1" customWidth="1"/>
    <col min="34" max="16384" width="9.33203125" style="343"/>
  </cols>
  <sheetData>
    <row r="1" spans="1:20" ht="11.25" customHeight="1" x14ac:dyDescent="0.2">
      <c r="E1" s="343"/>
      <c r="F1" s="343"/>
      <c r="K1" s="343" t="s">
        <v>37</v>
      </c>
      <c r="L1" s="343" t="str">
        <f>_xll.qlIborIndex(,IborType,K1,2,Currency,Calendar,"mf",TRUE,'General Settings'!D9,,,Trigger)</f>
        <v>obj_001de#0000</v>
      </c>
      <c r="M1" s="343" t="str">
        <f>_xll.ohRangeRetrieveError(L1)</f>
        <v/>
      </c>
    </row>
    <row r="2" spans="1:20" ht="24" customHeight="1" x14ac:dyDescent="0.2">
      <c r="A2" s="378"/>
      <c r="B2" s="391" t="s">
        <v>173</v>
      </c>
      <c r="C2" s="391" t="s">
        <v>102</v>
      </c>
      <c r="D2" s="391"/>
      <c r="E2" s="392"/>
      <c r="F2" s="392"/>
      <c r="G2" s="391" t="s">
        <v>103</v>
      </c>
      <c r="H2" s="391" t="s">
        <v>104</v>
      </c>
      <c r="I2" s="391" t="s">
        <v>105</v>
      </c>
      <c r="J2" s="391" t="s">
        <v>106</v>
      </c>
      <c r="K2" s="391" t="s">
        <v>65</v>
      </c>
      <c r="L2" s="391" t="s">
        <v>66</v>
      </c>
      <c r="M2" s="393" t="s">
        <v>31</v>
      </c>
      <c r="N2" s="381"/>
      <c r="O2" s="394" t="s">
        <v>107</v>
      </c>
      <c r="P2" s="394" t="s">
        <v>67</v>
      </c>
      <c r="Q2" s="394" t="s">
        <v>106</v>
      </c>
      <c r="R2" s="394" t="s">
        <v>68</v>
      </c>
      <c r="S2" s="391" t="s">
        <v>69</v>
      </c>
      <c r="T2" s="391" t="s">
        <v>70</v>
      </c>
    </row>
    <row r="3" spans="1:20" ht="11.25" customHeight="1" x14ac:dyDescent="0.2">
      <c r="A3" s="379"/>
      <c r="B3" s="134"/>
      <c r="C3" s="134" t="s">
        <v>110</v>
      </c>
      <c r="D3" s="163"/>
      <c r="E3" s="164"/>
      <c r="F3" s="164"/>
      <c r="G3" s="161"/>
      <c r="H3" s="161"/>
      <c r="I3" s="161"/>
      <c r="J3" s="165"/>
      <c r="K3" s="155" t="str">
        <f>PROPER((Currency))&amp;IborType&amp;K1&amp;"LastFixing"&amp;QuoteSuffix</f>
        <v>Sekibor6MLastFixing_Quote</v>
      </c>
      <c r="L3" s="162" t="str">
        <f>_xll.qlDepositRateHelper(,K3,L1,,Trigger)</f>
        <v>obj_001df#0000</v>
      </c>
      <c r="M3" s="173" t="str">
        <f>_xll.ohRangeRetrieveError(L3)</f>
        <v/>
      </c>
      <c r="N3" s="380"/>
      <c r="O3" s="141" t="str">
        <f>_xll.qlRateHelperQuoteName(L3,Trigger)</f>
        <v>Sekibor6MLastFixing_Quote</v>
      </c>
      <c r="P3" s="142">
        <f>_xll.qlQuoteValue(K3,AllTriggers)</f>
        <v>-1.3900000000000002E-3</v>
      </c>
      <c r="Q3" s="176" t="str">
        <f>IF(ISBLANK(J3),"--",_xll.qlSwapRateHelperSpread(L3,AllTriggers))</f>
        <v>--</v>
      </c>
      <c r="R3" s="141" t="b">
        <v>1</v>
      </c>
      <c r="S3" s="143">
        <f>_xll.qlRateHelperEarliestDate(L3,Trigger)</f>
        <v>42184</v>
      </c>
      <c r="T3" s="143">
        <f>_xll.qlRateHelperLatestDate(L3,Trigger)</f>
        <v>42367</v>
      </c>
    </row>
    <row r="4" spans="1:20" ht="11.25" customHeight="1" x14ac:dyDescent="0.2">
      <c r="A4" s="379"/>
      <c r="B4" s="166">
        <v>2</v>
      </c>
      <c r="C4" s="166" t="s">
        <v>110</v>
      </c>
      <c r="D4" s="167" t="s">
        <v>168</v>
      </c>
      <c r="E4" s="168" t="s">
        <v>135</v>
      </c>
      <c r="F4" s="168" t="s">
        <v>23</v>
      </c>
      <c r="G4" s="166" t="s">
        <v>111</v>
      </c>
      <c r="H4" s="169" t="s">
        <v>108</v>
      </c>
      <c r="I4" s="169" t="s">
        <v>170</v>
      </c>
      <c r="J4" s="170">
        <v>0</v>
      </c>
      <c r="K4" s="171" t="str">
        <f>'6M_LiborSwapForBasisCalc'!J3</f>
        <v>SEKSB6S1Y_3S6S_Quote#0000</v>
      </c>
      <c r="L4" s="172" t="str">
        <f>_xll.qlSwapRateHelper2(,K4,B4,F4,Calendar,G4,H4,I4,$L$1,J4,C4,Discounting,,Trigger)</f>
        <v>obj_001f7#0000</v>
      </c>
      <c r="M4" s="173" t="str">
        <f>_xll.ohRangeRetrieveError(L4)</f>
        <v/>
      </c>
      <c r="N4" s="380"/>
      <c r="O4" s="141" t="str">
        <f>_xll.qlRateHelperQuoteName(L4,Trigger)</f>
        <v>SEKSB6S1Y_3S6S_Quote</v>
      </c>
      <c r="P4" s="142">
        <f>_xll.qlQuoteValue(K4,AllTriggers)</f>
        <v>-1.069074923391089E-3</v>
      </c>
      <c r="Q4" s="176">
        <f>IF(ISBLANK(J4),"--",_xll.qlSwapRateHelperSpread(L4,AllTriggers))</f>
        <v>0</v>
      </c>
      <c r="R4" s="141" t="b">
        <v>1</v>
      </c>
      <c r="S4" s="143">
        <f>_xll.qlRateHelperEarliestDate(L4,Trigger)</f>
        <v>42184</v>
      </c>
      <c r="T4" s="143">
        <f>_xll.qlRateHelperLatestDate(L4,Trigger)</f>
        <v>42550</v>
      </c>
    </row>
    <row r="5" spans="1:20" ht="11.25" customHeight="1" x14ac:dyDescent="0.2">
      <c r="A5" s="379"/>
      <c r="B5" s="134">
        <v>2</v>
      </c>
      <c r="C5" s="134" t="s">
        <v>110</v>
      </c>
      <c r="D5" s="135" t="s">
        <v>168</v>
      </c>
      <c r="E5" s="136" t="s">
        <v>135</v>
      </c>
      <c r="F5" s="136" t="s">
        <v>169</v>
      </c>
      <c r="G5" s="134" t="s">
        <v>111</v>
      </c>
      <c r="H5" s="137" t="s">
        <v>108</v>
      </c>
      <c r="I5" s="137" t="s">
        <v>170</v>
      </c>
      <c r="J5" s="138">
        <v>0</v>
      </c>
      <c r="K5" s="139" t="str">
        <f>'6M_LiborSwapForBasisCalc'!J4</f>
        <v>SEKSB6S18M_3S6S_Quote#0000</v>
      </c>
      <c r="L5" s="140" t="str">
        <f>_xll.qlSwapRateHelper2(,K5,B5,F5,Calendar,G5,H5,I5,$L$1,J5,C5,Discounting,,Trigger)</f>
        <v>obj_001f6#0000</v>
      </c>
      <c r="M5" s="141" t="str">
        <f>_xll.ohRangeRetrieveError(L5)</f>
        <v/>
      </c>
      <c r="N5" s="380"/>
      <c r="O5" s="141" t="str">
        <f>_xll.qlRateHelperQuoteName(L5,Trigger)</f>
        <v>SEKSB6S18M_3S6S_Quote</v>
      </c>
      <c r="P5" s="142" t="e">
        <f>_xll.qlQuoteValue(K5,AllTriggers)</f>
        <v>#NUM!</v>
      </c>
      <c r="Q5" s="176">
        <f>IF(ISBLANK(J5),"--",_xll.qlSwapRateHelperSpread(L5,AllTriggers))</f>
        <v>0</v>
      </c>
      <c r="R5" s="141" t="b">
        <v>0</v>
      </c>
      <c r="S5" s="143">
        <f>_xll.qlRateHelperEarliestDate(L5,Trigger)</f>
        <v>42184</v>
      </c>
      <c r="T5" s="143">
        <f>_xll.qlRateHelperLatestDate(L5,Trigger)</f>
        <v>42733</v>
      </c>
    </row>
    <row r="6" spans="1:20" ht="11.25" customHeight="1" x14ac:dyDescent="0.2">
      <c r="A6" s="379"/>
      <c r="B6" s="134">
        <v>2</v>
      </c>
      <c r="C6" s="134" t="s">
        <v>110</v>
      </c>
      <c r="D6" s="135" t="s">
        <v>168</v>
      </c>
      <c r="E6" s="136" t="s">
        <v>135</v>
      </c>
      <c r="F6" s="136" t="s">
        <v>136</v>
      </c>
      <c r="G6" s="134" t="s">
        <v>111</v>
      </c>
      <c r="H6" s="137" t="s">
        <v>108</v>
      </c>
      <c r="I6" s="137" t="s">
        <v>170</v>
      </c>
      <c r="J6" s="138">
        <v>0</v>
      </c>
      <c r="K6" s="139" t="str">
        <f>'6M_LiborSwapForBasisCalc'!J5</f>
        <v>SEKSB6S2Y_3S6S_Quote#0000</v>
      </c>
      <c r="L6" s="140" t="str">
        <f>_xll.qlSwapRateHelper2(,K6,B6,F6,Calendar,G6,H6,I6,$L$1,J6,C6,Discounting,,Trigger)</f>
        <v>obj_001f8#0000</v>
      </c>
      <c r="M6" s="141" t="str">
        <f>_xll.ohRangeRetrieveError(L6)</f>
        <v/>
      </c>
      <c r="N6" s="380"/>
      <c r="O6" s="141" t="str">
        <f>_xll.qlRateHelperQuoteName(L6,Trigger)</f>
        <v>SEKSB6S2Y_3S6S_Quote</v>
      </c>
      <c r="P6" s="142">
        <f>_xll.qlQuoteValue(K6,AllTriggers)</f>
        <v>5.918014703996888E-4</v>
      </c>
      <c r="Q6" s="176">
        <f>IF(ISBLANK(J6),"--",_xll.qlSwapRateHelperSpread(L6,AllTriggers))</f>
        <v>0</v>
      </c>
      <c r="R6" s="141" t="b">
        <v>1</v>
      </c>
      <c r="S6" s="143">
        <f>_xll.qlRateHelperEarliestDate(L6,Trigger)</f>
        <v>42184</v>
      </c>
      <c r="T6" s="143">
        <f>_xll.qlRateHelperLatestDate(L6,Trigger)</f>
        <v>42915</v>
      </c>
    </row>
    <row r="7" spans="1:20" ht="11.25" customHeight="1" x14ac:dyDescent="0.2">
      <c r="A7" s="378"/>
      <c r="B7" s="134">
        <v>2</v>
      </c>
      <c r="C7" s="134" t="s">
        <v>110</v>
      </c>
      <c r="D7" s="135" t="s">
        <v>168</v>
      </c>
      <c r="E7" s="136" t="s">
        <v>135</v>
      </c>
      <c r="F7" s="136" t="s">
        <v>71</v>
      </c>
      <c r="G7" s="134" t="s">
        <v>111</v>
      </c>
      <c r="H7" s="137" t="s">
        <v>108</v>
      </c>
      <c r="I7" s="137" t="s">
        <v>170</v>
      </c>
      <c r="J7" s="138">
        <v>0</v>
      </c>
      <c r="K7" s="139" t="str">
        <f>'6M_LiborSwapForBasisCalc'!J6</f>
        <v>SEKSB6S3Y_3S6S_Quote#0000</v>
      </c>
      <c r="L7" s="140" t="str">
        <f>_xll.qlSwapRateHelper2(,K7,B7,F7,Calendar,G7,H7,I7,$L$1,J7,C7,Discounting,,Trigger)</f>
        <v>obj_001f5#0000</v>
      </c>
      <c r="M7" s="141" t="str">
        <f>_xll.ohRangeRetrieveError(L7)</f>
        <v/>
      </c>
      <c r="N7" s="380"/>
      <c r="O7" s="141" t="str">
        <f>_xll.qlRateHelperQuoteName(L7,Trigger)</f>
        <v>SEKSB6S3Y_3S6S_Quote</v>
      </c>
      <c r="P7" s="142">
        <f>_xll.qlQuoteValue(K7,AllTriggers)</f>
        <v>2.9885433704633065E-3</v>
      </c>
      <c r="Q7" s="176">
        <f>IF(ISBLANK(J7),"--",_xll.qlSwapRateHelperSpread(L7,AllTriggers))</f>
        <v>0</v>
      </c>
      <c r="R7" s="141" t="b">
        <v>1</v>
      </c>
      <c r="S7" s="143">
        <f>_xll.qlRateHelperEarliestDate(L7,Trigger)</f>
        <v>42184</v>
      </c>
      <c r="T7" s="143">
        <f>_xll.qlRateHelperLatestDate(L7,Trigger)</f>
        <v>43280</v>
      </c>
    </row>
    <row r="8" spans="1:20" ht="11.25" customHeight="1" x14ac:dyDescent="0.2">
      <c r="A8" s="378"/>
      <c r="B8" s="134">
        <v>2</v>
      </c>
      <c r="C8" s="134" t="s">
        <v>110</v>
      </c>
      <c r="D8" s="135" t="s">
        <v>168</v>
      </c>
      <c r="E8" s="136" t="s">
        <v>135</v>
      </c>
      <c r="F8" s="136" t="s">
        <v>72</v>
      </c>
      <c r="G8" s="134" t="s">
        <v>111</v>
      </c>
      <c r="H8" s="137" t="s">
        <v>108</v>
      </c>
      <c r="I8" s="137" t="s">
        <v>170</v>
      </c>
      <c r="J8" s="138">
        <v>0</v>
      </c>
      <c r="K8" s="139" t="str">
        <f>'6M_LiborSwapForBasisCalc'!J7</f>
        <v>SEKSB6S4Y_3S6S_Quote#0000</v>
      </c>
      <c r="L8" s="140" t="str">
        <f>_xll.qlSwapRateHelper2(,K8,B8,F8,Calendar,G8,H8,I8,$L$1,J8,C8,Discounting,,Trigger)</f>
        <v>obj_001f4#0000</v>
      </c>
      <c r="M8" s="141" t="str">
        <f>_xll.ohRangeRetrieveError(L8)</f>
        <v/>
      </c>
      <c r="N8" s="380"/>
      <c r="O8" s="141" t="str">
        <f>_xll.qlRateHelperQuoteName(L8,Trigger)</f>
        <v>SEKSB6S4Y_3S6S_Quote</v>
      </c>
      <c r="P8" s="142">
        <f>_xll.qlQuoteValue(K8,AllTriggers)</f>
        <v>5.7984795667466666E-3</v>
      </c>
      <c r="Q8" s="176">
        <f>IF(ISBLANK(J8),"--",_xll.qlSwapRateHelperSpread(L8,AllTriggers))</f>
        <v>0</v>
      </c>
      <c r="R8" s="141" t="b">
        <v>1</v>
      </c>
      <c r="S8" s="143">
        <f>_xll.qlRateHelperEarliestDate(L8,Trigger)</f>
        <v>42184</v>
      </c>
      <c r="T8" s="143">
        <f>_xll.qlRateHelperLatestDate(L8,Trigger)</f>
        <v>43644</v>
      </c>
    </row>
    <row r="9" spans="1:20" ht="11.25" customHeight="1" x14ac:dyDescent="0.2">
      <c r="A9" s="378"/>
      <c r="B9" s="144">
        <v>2</v>
      </c>
      <c r="C9" s="144" t="s">
        <v>110</v>
      </c>
      <c r="D9" s="145" t="s">
        <v>168</v>
      </c>
      <c r="E9" s="146" t="s">
        <v>135</v>
      </c>
      <c r="F9" s="146" t="s">
        <v>73</v>
      </c>
      <c r="G9" s="144" t="s">
        <v>111</v>
      </c>
      <c r="H9" s="147" t="s">
        <v>108</v>
      </c>
      <c r="I9" s="147" t="s">
        <v>170</v>
      </c>
      <c r="J9" s="148">
        <v>0</v>
      </c>
      <c r="K9" s="159" t="str">
        <f>'6M_LiborSwapForBasisCalc'!J8</f>
        <v>SEKSB6S5Y_3S6S_Quote#0000</v>
      </c>
      <c r="L9" s="160" t="str">
        <f>_xll.qlSwapRateHelper2(,K9,B9,F9,Calendar,G9,H9,I9,$L$1,J9,C9,Discounting,,Trigger)</f>
        <v>obj_001f9#0000</v>
      </c>
      <c r="M9" s="149" t="str">
        <f>_xll.ohRangeRetrieveError(L9)</f>
        <v/>
      </c>
      <c r="O9" s="149" t="str">
        <f>_xll.qlRateHelperQuoteName(L9,Trigger)</f>
        <v>SEKSB6S5Y_3S6S_Quote</v>
      </c>
      <c r="P9" s="150">
        <f>_xll.qlQuoteValue(K9,AllTriggers)</f>
        <v>8.6269575809409596E-3</v>
      </c>
      <c r="Q9" s="177">
        <f>IF(ISBLANK(J9),"--",_xll.qlSwapRateHelperSpread(L9,AllTriggers))</f>
        <v>0</v>
      </c>
      <c r="R9" s="149" t="b">
        <v>0</v>
      </c>
      <c r="S9" s="151">
        <f>_xll.qlRateHelperEarliestDate(L9,Trigger)</f>
        <v>42184</v>
      </c>
      <c r="T9" s="151">
        <f>_xll.qlRateHelperLatestDate(L9,Trigger)</f>
        <v>44011</v>
      </c>
    </row>
    <row r="10" spans="1:20" x14ac:dyDescent="0.2">
      <c r="E10" s="343"/>
      <c r="F10" s="343"/>
      <c r="L10" s="343"/>
      <c r="M10" s="380"/>
    </row>
    <row r="11" spans="1:20" x14ac:dyDescent="0.2">
      <c r="J11" s="386"/>
      <c r="K11" s="386"/>
      <c r="O11" s="395" t="str">
        <f>K1&amp;" "&amp;PROPER(Currency)&amp;IborType&amp;" Curve"</f>
        <v>6M Sekibor Curve</v>
      </c>
      <c r="P11" s="396"/>
      <c r="Q11" s="396"/>
      <c r="R11" s="396"/>
      <c r="S11" s="396"/>
      <c r="T11" s="397" t="s">
        <v>171</v>
      </c>
    </row>
    <row r="12" spans="1:20" x14ac:dyDescent="0.2">
      <c r="M12" s="394" t="s">
        <v>109</v>
      </c>
      <c r="O12" s="398" t="s">
        <v>74</v>
      </c>
      <c r="P12" s="398" t="s">
        <v>75</v>
      </c>
      <c r="Q12" s="398" t="s">
        <v>106</v>
      </c>
      <c r="R12" s="398" t="s">
        <v>69</v>
      </c>
      <c r="S12" s="398" t="s">
        <v>70</v>
      </c>
      <c r="T12" s="152">
        <f t="array" ref="T12:T26">_xll.qlPiecewiseYieldCurveData(YieldCurve6M,InterestRatesTrigger)</f>
        <v>1</v>
      </c>
    </row>
    <row r="13" spans="1:20" x14ac:dyDescent="0.2">
      <c r="J13" s="386"/>
      <c r="K13" s="386"/>
      <c r="M13" s="155" t="str">
        <f t="array" ref="M13:M26">_xll.ohFilter(L3:L9,R3:R9)</f>
        <v>obj_001df#0000</v>
      </c>
      <c r="O13" s="173" t="str">
        <f t="array" ref="O13:O26">_xll.ohFilter(O3:O9,R3:R9)</f>
        <v>Sekibor6MLastFixing_Quote</v>
      </c>
      <c r="P13" s="229">
        <f t="array" ref="P13:P26">_xll.ohFilter(P3:P9,R3:R9)</f>
        <v>-1.3900000000000002E-3</v>
      </c>
      <c r="Q13" s="230" t="str">
        <f t="array" ref="Q13:Q26">_xll.ohFilter(Q3:Q9,R3:R9)</f>
        <v>--</v>
      </c>
      <c r="R13" s="231">
        <f t="array" ref="R13:R26">_xll.ohFilter(S3:S9,R3:R9)</f>
        <v>42184</v>
      </c>
      <c r="S13" s="231">
        <f t="array" ref="S13:S26">_xll.ohFilter(T3:T9,R3:R9)</f>
        <v>42367</v>
      </c>
      <c r="T13" s="153">
        <v>1.0007070829463585</v>
      </c>
    </row>
    <row r="14" spans="1:20" x14ac:dyDescent="0.2">
      <c r="M14" s="156" t="str">
        <v>obj_001f7#0000</v>
      </c>
      <c r="O14" s="141" t="str">
        <v>SEKSB6S1Y_3S6S_Quote</v>
      </c>
      <c r="P14" s="142">
        <v>-1.069074923391089E-3</v>
      </c>
      <c r="Q14" s="176">
        <v>0</v>
      </c>
      <c r="R14" s="143">
        <v>42184</v>
      </c>
      <c r="S14" s="143">
        <v>42550</v>
      </c>
      <c r="T14" s="153">
        <v>1.0010709854617514</v>
      </c>
    </row>
    <row r="15" spans="1:20" x14ac:dyDescent="0.2">
      <c r="J15" s="386"/>
      <c r="K15" s="386"/>
      <c r="M15" s="156" t="str">
        <v>obj_001f8#0000</v>
      </c>
      <c r="O15" s="141" t="str">
        <v>SEKSB6S2Y_3S6S_Quote</v>
      </c>
      <c r="P15" s="142">
        <v>5.918014703996888E-4</v>
      </c>
      <c r="Q15" s="176">
        <v>0</v>
      </c>
      <c r="R15" s="143">
        <v>42184</v>
      </c>
      <c r="S15" s="143">
        <v>42915</v>
      </c>
      <c r="T15" s="153">
        <v>0.99882057121250567</v>
      </c>
    </row>
    <row r="16" spans="1:20" x14ac:dyDescent="0.2">
      <c r="M16" s="156" t="str">
        <v>obj_001f5#0000</v>
      </c>
      <c r="O16" s="141" t="str">
        <v>SEKSB6S3Y_3S6S_Quote</v>
      </c>
      <c r="P16" s="142">
        <v>2.9885433704633065E-3</v>
      </c>
      <c r="Q16" s="176">
        <v>0</v>
      </c>
      <c r="R16" s="143">
        <v>42184</v>
      </c>
      <c r="S16" s="143">
        <v>43280</v>
      </c>
      <c r="T16" s="153">
        <v>0.99108201426992615</v>
      </c>
    </row>
    <row r="17" spans="10:34" x14ac:dyDescent="0.2">
      <c r="J17" s="386"/>
      <c r="K17" s="386"/>
      <c r="M17" s="156" t="str">
        <v>obj_001f4#0000</v>
      </c>
      <c r="O17" s="141" t="str">
        <v>SEKSB6S4Y_3S6S_Quote</v>
      </c>
      <c r="P17" s="142">
        <v>5.7984795667466666E-3</v>
      </c>
      <c r="Q17" s="176">
        <v>0</v>
      </c>
      <c r="R17" s="143">
        <v>42184</v>
      </c>
      <c r="S17" s="143">
        <v>43644</v>
      </c>
      <c r="T17" s="153">
        <v>0.97707149421235195</v>
      </c>
    </row>
    <row r="18" spans="10:34" x14ac:dyDescent="0.2">
      <c r="M18" s="156" t="e">
        <v>#N/A</v>
      </c>
      <c r="O18" s="141" t="e">
        <v>#N/A</v>
      </c>
      <c r="P18" s="142" t="e">
        <v>#N/A</v>
      </c>
      <c r="Q18" s="176" t="e">
        <v>#N/A</v>
      </c>
      <c r="R18" s="143" t="e">
        <v>#N/A</v>
      </c>
      <c r="S18" s="143" t="e">
        <v>#N/A</v>
      </c>
      <c r="T18" s="153" t="e">
        <v>#N/A</v>
      </c>
    </row>
    <row r="19" spans="10:34" x14ac:dyDescent="0.2">
      <c r="J19" s="386"/>
      <c r="K19" s="386"/>
      <c r="M19" s="156" t="e">
        <v>#N/A</v>
      </c>
      <c r="O19" s="141" t="e">
        <v>#N/A</v>
      </c>
      <c r="P19" s="142" t="e">
        <v>#N/A</v>
      </c>
      <c r="Q19" s="176" t="e">
        <v>#N/A</v>
      </c>
      <c r="R19" s="143" t="e">
        <v>#N/A</v>
      </c>
      <c r="S19" s="143" t="e">
        <v>#N/A</v>
      </c>
      <c r="T19" s="153" t="e">
        <v>#N/A</v>
      </c>
    </row>
    <row r="20" spans="10:34" x14ac:dyDescent="0.2">
      <c r="M20" s="156" t="e">
        <v>#N/A</v>
      </c>
      <c r="O20" s="141" t="e">
        <v>#N/A</v>
      </c>
      <c r="P20" s="142" t="e">
        <v>#N/A</v>
      </c>
      <c r="Q20" s="176" t="e">
        <v>#N/A</v>
      </c>
      <c r="R20" s="143" t="e">
        <v>#N/A</v>
      </c>
      <c r="S20" s="143" t="e">
        <v>#N/A</v>
      </c>
      <c r="T20" s="153" t="e">
        <v>#N/A</v>
      </c>
      <c r="AH20" s="380"/>
    </row>
    <row r="21" spans="10:34" x14ac:dyDescent="0.2">
      <c r="J21" s="386"/>
      <c r="K21" s="386"/>
      <c r="M21" s="156" t="e">
        <v>#N/A</v>
      </c>
      <c r="O21" s="141" t="e">
        <v>#N/A</v>
      </c>
      <c r="P21" s="142" t="e">
        <v>#N/A</v>
      </c>
      <c r="Q21" s="176" t="e">
        <v>#N/A</v>
      </c>
      <c r="R21" s="143" t="e">
        <v>#N/A</v>
      </c>
      <c r="S21" s="143" t="e">
        <v>#N/A</v>
      </c>
      <c r="T21" s="153" t="e">
        <v>#N/A</v>
      </c>
      <c r="AH21" s="380"/>
    </row>
    <row r="22" spans="10:34" x14ac:dyDescent="0.2">
      <c r="M22" s="156" t="e">
        <v>#N/A</v>
      </c>
      <c r="O22" s="141" t="e">
        <v>#N/A</v>
      </c>
      <c r="P22" s="142" t="e">
        <v>#N/A</v>
      </c>
      <c r="Q22" s="176" t="e">
        <v>#N/A</v>
      </c>
      <c r="R22" s="143" t="e">
        <v>#N/A</v>
      </c>
      <c r="S22" s="143" t="e">
        <v>#N/A</v>
      </c>
      <c r="T22" s="153" t="e">
        <v>#N/A</v>
      </c>
    </row>
    <row r="23" spans="10:34" x14ac:dyDescent="0.2">
      <c r="J23" s="386"/>
      <c r="K23" s="386"/>
      <c r="M23" s="156" t="e">
        <v>#N/A</v>
      </c>
      <c r="O23" s="141" t="e">
        <v>#N/A</v>
      </c>
      <c r="P23" s="142" t="e">
        <v>#N/A</v>
      </c>
      <c r="Q23" s="176" t="e">
        <v>#N/A</v>
      </c>
      <c r="R23" s="143" t="e">
        <v>#N/A</v>
      </c>
      <c r="S23" s="143" t="e">
        <v>#N/A</v>
      </c>
      <c r="T23" s="153" t="e">
        <v>#N/A</v>
      </c>
    </row>
    <row r="24" spans="10:34" x14ac:dyDescent="0.2">
      <c r="M24" s="156" t="e">
        <v>#N/A</v>
      </c>
      <c r="O24" s="141" t="e">
        <v>#N/A</v>
      </c>
      <c r="P24" s="142" t="e">
        <v>#N/A</v>
      </c>
      <c r="Q24" s="176" t="e">
        <v>#N/A</v>
      </c>
      <c r="R24" s="143" t="e">
        <v>#N/A</v>
      </c>
      <c r="S24" s="143" t="e">
        <v>#N/A</v>
      </c>
      <c r="T24" s="153" t="e">
        <v>#N/A</v>
      </c>
    </row>
    <row r="25" spans="10:34" x14ac:dyDescent="0.2">
      <c r="J25" s="386"/>
      <c r="K25" s="386"/>
      <c r="M25" s="156" t="e">
        <v>#N/A</v>
      </c>
      <c r="O25" s="141" t="e">
        <v>#N/A</v>
      </c>
      <c r="P25" s="142" t="e">
        <v>#N/A</v>
      </c>
      <c r="Q25" s="176" t="e">
        <v>#N/A</v>
      </c>
      <c r="R25" s="143" t="e">
        <v>#N/A</v>
      </c>
      <c r="S25" s="143" t="e">
        <v>#N/A</v>
      </c>
      <c r="T25" s="153" t="e">
        <v>#N/A</v>
      </c>
    </row>
    <row r="26" spans="10:34" x14ac:dyDescent="0.2">
      <c r="M26" s="157" t="e">
        <v>#N/A</v>
      </c>
      <c r="O26" s="149" t="e">
        <v>#N/A</v>
      </c>
      <c r="P26" s="150" t="e">
        <v>#N/A</v>
      </c>
      <c r="Q26" s="177" t="e">
        <v>#N/A</v>
      </c>
      <c r="R26" s="151" t="e">
        <v>#N/A</v>
      </c>
      <c r="S26" s="151" t="e">
        <v>#N/A</v>
      </c>
      <c r="T26" s="154" t="e">
        <v>#N/A</v>
      </c>
    </row>
    <row r="27" spans="10:34" x14ac:dyDescent="0.2">
      <c r="J27" s="386"/>
      <c r="K27" s="386"/>
    </row>
    <row r="28" spans="10:34" x14ac:dyDescent="0.2">
      <c r="O28" s="395" t="str">
        <f>"Delta "&amp;K1</f>
        <v>Delta 6M</v>
      </c>
      <c r="P28" s="402"/>
      <c r="Q28" s="396"/>
      <c r="R28" s="396"/>
      <c r="S28" s="403"/>
      <c r="T28" s="403"/>
      <c r="U28" s="403"/>
      <c r="V28" s="403"/>
      <c r="W28" s="397"/>
    </row>
    <row r="29" spans="10:34" x14ac:dyDescent="0.2">
      <c r="J29" s="386"/>
      <c r="K29" s="386"/>
      <c r="O29" s="399" t="str">
        <f>K1&amp;" Instruments"</f>
        <v>6M Instruments</v>
      </c>
      <c r="P29" s="399" t="s">
        <v>96</v>
      </c>
      <c r="Q29" s="399" t="s">
        <v>97</v>
      </c>
      <c r="R29" s="399" t="s">
        <v>118</v>
      </c>
      <c r="S29" s="399" t="str">
        <f>"F "&amp;K1</f>
        <v>F 6M</v>
      </c>
      <c r="T29" s="399" t="s">
        <v>121</v>
      </c>
      <c r="U29" s="399" t="s">
        <v>119</v>
      </c>
      <c r="V29" s="399" t="s">
        <v>120</v>
      </c>
      <c r="W29" s="400" t="s">
        <v>122</v>
      </c>
      <c r="X29" s="401" t="s">
        <v>130</v>
      </c>
    </row>
    <row r="30" spans="10:34" x14ac:dyDescent="0.2">
      <c r="N30" s="382">
        <v>0</v>
      </c>
      <c r="O30" s="155" t="str">
        <f>N30&amp;"x"&amp;(N30+6)</f>
        <v>0x6</v>
      </c>
      <c r="P30" s="232">
        <f>_xll.qlCalendarAdvance(Calendar,SettlementDate,N30&amp;"M","mf")</f>
        <v>42184</v>
      </c>
      <c r="Q30" s="232">
        <f>_xll.qlInterestRateIndexMaturity(iborindex6M,P30)</f>
        <v>42367</v>
      </c>
      <c r="R30" s="233">
        <f>_xll.qlDayCounterYearFraction(DayCounter,P30,Q30,,,Trigger)</f>
        <v>0.5083333333333333</v>
      </c>
      <c r="S30" s="234">
        <f>_xll.qlIndexFixing(iborindex6M,_xll.qlInterestRateIndexFixingDate(iborindex6M,P30,Trigger),TRUE,AllTriggers)</f>
        <v>-1.3899999999999115E-3</v>
      </c>
      <c r="T30" s="234">
        <f t="shared" ref="T30:T35" si="0">(U30/V30-1)/R30</f>
        <v>-2.960000000000085E-3</v>
      </c>
      <c r="U30" s="235">
        <f>_xll.qlYieldTSDiscount(Discounting,P30,,AllTriggers)</f>
        <v>1</v>
      </c>
      <c r="V30" s="235">
        <f>_xll.qlYieldTSDiscount(Discounting,Q30,,AllTriggers)</f>
        <v>1.0015069341001761</v>
      </c>
      <c r="W30" s="236">
        <f>LN((1+S30*R30)/(1+T30*R30))</f>
        <v>7.9896673338252877E-4</v>
      </c>
      <c r="X30" s="234">
        <f>S30-T30</f>
        <v>1.5700000000001735E-3</v>
      </c>
    </row>
    <row r="31" spans="10:34" x14ac:dyDescent="0.2">
      <c r="J31" s="386"/>
      <c r="K31" s="386"/>
      <c r="N31" s="383">
        <f>N30+SUBSTITUTE($K$1,"M","")</f>
        <v>6</v>
      </c>
      <c r="O31" s="156" t="str">
        <f t="shared" ref="O31:O35" si="1">N31&amp;"x"&amp;(N31+6)</f>
        <v>6x12</v>
      </c>
      <c r="P31" s="237">
        <f>_xll.qlCalendarAdvance(Calendar,SettlementDate,N31&amp;"M","mf")</f>
        <v>42367</v>
      </c>
      <c r="Q31" s="237">
        <f>_xll.qlInterestRateIndexMaturity(iborindex6M,P31)</f>
        <v>42550</v>
      </c>
      <c r="R31" s="238">
        <f>_xll.qlDayCounterYearFraction(DayCounter,P31,Q31,,,Trigger)</f>
        <v>0.5083333333333333</v>
      </c>
      <c r="S31" s="239">
        <f>_xll.qlIndexFixing(iborindex6M,_xll.qlInterestRateIndexFixingDate(iborindex6M,P31,Trigger),TRUE,AllTriggers)</f>
        <v>-7.1510793057586407E-4</v>
      </c>
      <c r="T31" s="239">
        <f t="shared" si="0"/>
        <v>-2.8442796928494162E-3</v>
      </c>
      <c r="U31" s="240">
        <f>_xll.qlYieldTSDiscount(Discounting,P31,,AllTriggers)</f>
        <v>1.0015069341001761</v>
      </c>
      <c r="V31" s="240">
        <f>_xll.qlYieldTSDiscount(Discounting,Q31,,AllTriggers)</f>
        <v>1.0029570517074533</v>
      </c>
      <c r="W31" s="241">
        <f t="shared" ref="W31:W35" si="2">LN((1+S31*R31)/(1+T31*R31))</f>
        <v>1.0833091306029945E-3</v>
      </c>
      <c r="X31" s="239">
        <f t="shared" ref="X31:X35" si="3">S31-T31</f>
        <v>2.129171762273552E-3</v>
      </c>
    </row>
    <row r="32" spans="10:34" x14ac:dyDescent="0.2">
      <c r="N32" s="383">
        <f t="shared" ref="N32:N35" si="4">N31+SUBSTITUTE($K$1,"M","")</f>
        <v>12</v>
      </c>
      <c r="O32" s="156" t="str">
        <f t="shared" si="1"/>
        <v>12x18</v>
      </c>
      <c r="P32" s="237">
        <f>_xll.qlCalendarAdvance(Calendar,SettlementDate,N32&amp;"M","mf")</f>
        <v>42550</v>
      </c>
      <c r="Q32" s="237">
        <f>_xll.qlInterestRateIndexMaturity(iborindex6M,P32)</f>
        <v>42733</v>
      </c>
      <c r="R32" s="238">
        <f>_xll.qlDayCounterYearFraction(DayCounter,P32,Q32,,,Trigger)</f>
        <v>0.5083333333333333</v>
      </c>
      <c r="S32" s="239">
        <f>_xll.qlIndexFixing(iborindex6M,_xll.qlInterestRateIndexFixingDate(iborindex6M,P32,Trigger),TRUE,AllTriggers)</f>
        <v>2.2209607264712279E-3</v>
      </c>
      <c r="T32" s="239">
        <f t="shared" si="0"/>
        <v>-1.3374191512699929E-3</v>
      </c>
      <c r="U32" s="240">
        <f>_xll.qlYieldTSDiscount(Discounting,P32,,AllTriggers)</f>
        <v>1.0029570517074533</v>
      </c>
      <c r="V32" s="240">
        <f>_xll.qlYieldTSDiscount(Discounting,Q32,,AllTriggers)</f>
        <v>1.0036393806928796</v>
      </c>
      <c r="W32" s="241">
        <f t="shared" si="2"/>
        <v>1.8084374824461683E-3</v>
      </c>
      <c r="X32" s="239">
        <f t="shared" si="3"/>
        <v>3.5583798777412208E-3</v>
      </c>
    </row>
    <row r="33" spans="10:24" x14ac:dyDescent="0.2">
      <c r="J33" s="386"/>
      <c r="K33" s="386"/>
      <c r="N33" s="383">
        <f t="shared" si="4"/>
        <v>18</v>
      </c>
      <c r="O33" s="156" t="str">
        <f t="shared" si="1"/>
        <v>18x24</v>
      </c>
      <c r="P33" s="237">
        <f>_xll.qlCalendarAdvance(Calendar,SettlementDate,N33&amp;"M","mf")</f>
        <v>42733</v>
      </c>
      <c r="Q33" s="237">
        <f>_xll.qlInterestRateIndexMaturity(iborindex6M,P33)</f>
        <v>42915</v>
      </c>
      <c r="R33" s="238">
        <f>_xll.qlDayCounterYearFraction(DayCounter,P33,Q33,,,Trigger)</f>
        <v>0.50555555555555554</v>
      </c>
      <c r="S33" s="239">
        <f>_xll.qlIndexFixing(iborindex6M,_xll.qlInterestRateIndexFixingDate(iborindex6M,P33,Trigger),TRUE,AllTriggers)</f>
        <v>2.2209538781362646E-3</v>
      </c>
      <c r="T33" s="239">
        <f t="shared" si="0"/>
        <v>9.5119189155146416E-4</v>
      </c>
      <c r="U33" s="240">
        <f>_xll.qlYieldTSDiscount(Discounting,P33,,AllTriggers)</f>
        <v>1.0036393806928796</v>
      </c>
      <c r="V33" s="240">
        <f>_xll.qlYieldTSDiscount(Discounting,Q33,,AllTriggers)</f>
        <v>1.0031569822170081</v>
      </c>
      <c r="W33" s="241">
        <f t="shared" si="2"/>
        <v>6.4142092649966754E-4</v>
      </c>
      <c r="X33" s="239">
        <f t="shared" si="3"/>
        <v>1.2697619865848003E-3</v>
      </c>
    </row>
    <row r="34" spans="10:24" x14ac:dyDescent="0.2">
      <c r="N34" s="383">
        <f t="shared" si="4"/>
        <v>24</v>
      </c>
      <c r="O34" s="156" t="str">
        <f t="shared" si="1"/>
        <v>24x30</v>
      </c>
      <c r="P34" s="237">
        <f>_xll.qlCalendarAdvance(Calendar,SettlementDate,N34&amp;"M","mf")</f>
        <v>42915</v>
      </c>
      <c r="Q34" s="237">
        <f>_xll.qlInterestRateIndexMaturity(iborindex6M,P34)</f>
        <v>43098</v>
      </c>
      <c r="R34" s="242">
        <f>_xll.qlDayCounterYearFraction(DayCounter,P34,Q34,,,Trigger)</f>
        <v>0.5083333333333333</v>
      </c>
      <c r="S34" s="243">
        <f>_xll.qlIndexFixing(iborindex6M,_xll.qlInterestRateIndexFixingDate(iborindex6M,P34,Trigger),TRUE,AllTriggers)</f>
        <v>7.686294976295676E-3</v>
      </c>
      <c r="T34" s="239">
        <f t="shared" si="0"/>
        <v>3.529822019024291E-3</v>
      </c>
      <c r="U34" s="240">
        <f>_xll.qlYieldTSDiscount(Discounting,P34,,AllTriggers)</f>
        <v>1.0031569822170081</v>
      </c>
      <c r="V34" s="240">
        <f>_xll.qlYieldTSDiscount(Discounting,Q34,,AllTriggers)</f>
        <v>1.0013602153539662</v>
      </c>
      <c r="W34" s="241">
        <f t="shared" si="2"/>
        <v>2.1068683523567276E-3</v>
      </c>
      <c r="X34" s="239">
        <f t="shared" si="3"/>
        <v>4.156472957271385E-3</v>
      </c>
    </row>
    <row r="35" spans="10:24" x14ac:dyDescent="0.2">
      <c r="J35" s="386"/>
      <c r="K35" s="386"/>
      <c r="N35" s="384">
        <f t="shared" si="4"/>
        <v>30</v>
      </c>
      <c r="O35" s="157" t="str">
        <f t="shared" si="1"/>
        <v>30x36</v>
      </c>
      <c r="P35" s="244">
        <f>_xll.qlCalendarAdvance(Calendar,SettlementDate,N35&amp;"M","mf")</f>
        <v>43098</v>
      </c>
      <c r="Q35" s="244">
        <f>_xll.qlInterestRateIndexMaturity(iborindex6M,P35)</f>
        <v>43280</v>
      </c>
      <c r="R35" s="245">
        <f>_xll.qlDayCounterYearFraction(DayCounter,P35,Q35,,,Trigger)</f>
        <v>0.50555555555555554</v>
      </c>
      <c r="S35" s="246">
        <f>_xll.qlIndexFixing(iborindex6M,_xll.qlInterestRateIndexFixingDate(iborindex6M,P35,Trigger),TRUE,AllTriggers)</f>
        <v>7.6862130291892186E-3</v>
      </c>
      <c r="T35" s="247">
        <f t="shared" si="0"/>
        <v>6.3204501205231262E-3</v>
      </c>
      <c r="U35" s="248">
        <f>_xll.qlYieldTSDiscount(Discounting,P35,,AllTriggers)</f>
        <v>1.0013602153539662</v>
      </c>
      <c r="V35" s="248">
        <f>_xll.qlYieldTSDiscount(Discounting,Q35,,AllTriggers)</f>
        <v>0.9981707218451541</v>
      </c>
      <c r="W35" s="249">
        <f t="shared" si="2"/>
        <v>6.8803302201813081E-4</v>
      </c>
      <c r="X35" s="247">
        <f t="shared" si="3"/>
        <v>1.3657629086660924E-3</v>
      </c>
    </row>
    <row r="36" spans="10:24" x14ac:dyDescent="0.2">
      <c r="O36" s="380"/>
      <c r="P36" s="380"/>
      <c r="Q36" s="388"/>
      <c r="R36" s="388"/>
      <c r="S36" s="388"/>
      <c r="T36" s="389"/>
      <c r="U36" s="380"/>
      <c r="V36" s="389"/>
      <c r="W36" s="390"/>
      <c r="X36" s="389"/>
    </row>
    <row r="37" spans="10:24" x14ac:dyDescent="0.2">
      <c r="J37" s="386"/>
      <c r="K37" s="386"/>
    </row>
  </sheetData>
  <dataValidations disablePrompts="1"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SEKSB6S1Y_3S6S_Quote#0000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SEKSB6S18M_3S6S_Quote#0000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SEKSB6S2Y_3S6S_Quote#0000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SEKSB6S3Y_3S6S_Quote#0000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SEKSB6S4Y_3S6S_Quote#0000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SEKSB6S5Y_3S6S_Quote#0000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SEKSB6S6Y_3S6S_Quote#0000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SEKSB6S7Y_3S6S_Quote#0000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SEKSB6S8Y_3S6S_Quote#0000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SEKSB6S9Y_3S6S_Quote#0000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SEKSB6S10Y_3S6S_Quote#0000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SEKSB6S12Y_3S6S_Quote#0000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SEKSB6S15Y_3S6S_Quote#0000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SEKSB6S20Y_3S6S_Quote#0000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SEKSB6S25Y_3S6S_Quote#0000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SEKSB6S27Y_3S6S_Quote#0000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SEKSB6S30Y_3S6S_Quote#0000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SEKSB6S35Y_3S6S_Quote#0000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SEKSB6S40Y_3S6S_Quote#0000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SEKSB6S50Y_3S6S_Quote#0000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2015-06-26T12:59:08Z</dcterms:modified>
</cp:coreProperties>
</file>