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5345" yWindow="-15" windowWidth="3870" windowHeight="12000" activeTab="1"/>
  </bookViews>
  <sheets>
    <sheet name="General Settings" sheetId="2" r:id="rId1"/>
    <sheet name="Contribution" sheetId="7" r:id="rId2"/>
    <sheet name="ON Pricing" sheetId="12" r:id="rId3"/>
    <sheet name="1M Pricing" sheetId="14" r:id="rId4"/>
    <sheet name="3M Pricing" sheetId="10" r:id="rId5"/>
    <sheet name="6M Pricing" sheetId="11" r:id="rId6"/>
  </sheets>
  <externalReferences>
    <externalReference r:id="rId7"/>
    <externalReference r:id="rId8"/>
  </externalReferences>
  <definedNames>
    <definedName name="_xlnm._FilterDatabase" localSheetId="1" hidden="1">Contribution!$F$5:$AJ$5</definedName>
    <definedName name="AllTriggers">'General Settings'!$D$6:$D$7</definedName>
    <definedName name="ASK">Contribution!$H$2</definedName>
    <definedName name="BDayConvention" localSheetId="3">'1M Pricing'!$O$8</definedName>
    <definedName name="BDayConvention" localSheetId="4">'3M Pricing'!$O$8</definedName>
    <definedName name="BDayConvention" localSheetId="5">'6M Pricing'!$O$8</definedName>
    <definedName name="BID">Contribution!$G$2</definedName>
    <definedName name="Calendar">'General Settings'!$D$20</definedName>
    <definedName name="Contribute">Contribution!$D$2</definedName>
    <definedName name="Currency">'General Settings'!$D$12</definedName>
    <definedName name="CurveTenor" localSheetId="3">'1M Pricing'!$E$2</definedName>
    <definedName name="CurveTenor" localSheetId="4">'3M Pricing'!$E$2</definedName>
    <definedName name="CurveTenor" localSheetId="5">'6M Pricing'!$E$2</definedName>
    <definedName name="CurveTenor" localSheetId="2">'ON Pricing'!$E$2</definedName>
    <definedName name="DayCounter" localSheetId="3">'1M Pricing'!$P$8</definedName>
    <definedName name="DayCounter" localSheetId="4">'3M Pricing'!$P$8</definedName>
    <definedName name="DayCounter" localSheetId="5">'6M Pricing'!$P$8</definedName>
    <definedName name="DiscountingCurve">'General Settings'!$D$13</definedName>
    <definedName name="EndOfMonth" localSheetId="3">'1M Pricing'!$N$8</definedName>
    <definedName name="EndOfMonth" localSheetId="4">'3M Pricing'!$N$8</definedName>
    <definedName name="EndOfMonth" localSheetId="5">'6M Pricing'!$N$8</definedName>
    <definedName name="EvaluationDate">'General Settings'!$D$5</definedName>
    <definedName name="Fields">Contribution!$G$2:$H$2</definedName>
    <definedName name="FixedLegBDC" localSheetId="3">'1M Pricing'!$O$26</definedName>
    <definedName name="FixedLegBDC" localSheetId="5">'6M Pricing'!$O$26</definedName>
    <definedName name="FixedLegBDC" localSheetId="2">'ON Pricing'!$O$9</definedName>
    <definedName name="FixedLegBDC">'3M Pricing'!$O$26</definedName>
    <definedName name="FixedLegDayCounter" localSheetId="3">'1M Pricing'!$P$26</definedName>
    <definedName name="FixedLegDayCounter" localSheetId="4">'3M Pricing'!$P$26</definedName>
    <definedName name="FixedLegDayCounter" localSheetId="5">'6M Pricing'!$P$26</definedName>
    <definedName name="FixedLegDayCounter" localSheetId="2">'ON Pricing'!$P$9</definedName>
    <definedName name="FixedLegTenor" localSheetId="3">'1M Pricing'!$N$26</definedName>
    <definedName name="FixedLegTenor" localSheetId="4">'3M Pricing'!$N$26</definedName>
    <definedName name="FixedLegTenor" localSheetId="5">'6M Pricing'!$N$26</definedName>
    <definedName name="FixedLegTenor" localSheetId="2">'ON Pricing'!$N$9</definedName>
    <definedName name="IborIndex" localSheetId="3">'1M Pricing'!$L$3</definedName>
    <definedName name="IborIndex" localSheetId="4">'3M Pricing'!$L$3</definedName>
    <definedName name="IborIndex" localSheetId="5">'6M Pricing'!$L$3</definedName>
    <definedName name="IborIndexFamily">'General Settings'!$D$14</definedName>
    <definedName name="InterestRatesTrigger">'General Settings'!$D$6</definedName>
    <definedName name="Interpolation" localSheetId="3">'1M Pricing'!$L$6</definedName>
    <definedName name="Interpolation" localSheetId="4">'3M Pricing'!$L$6</definedName>
    <definedName name="Interpolation" localSheetId="5">'6M Pricing'!$L$6</definedName>
    <definedName name="InterpolationType">'General Settings'!$D$22</definedName>
    <definedName name="LiborCalendar">'General Settings'!$D$18</definedName>
    <definedName name="LocalCalendar">'General Settings'!$D$17</definedName>
    <definedName name="MainTenor">'General Settings'!$D$15</definedName>
    <definedName name="OvernightIndex" localSheetId="2">'ON Pricing'!$L$6</definedName>
    <definedName name="SettlementDate">'General Settings'!$D$21</definedName>
    <definedName name="SettlementDays">'General Settings'!$D$16</definedName>
    <definedName name="SourceAlias">Contribution!$E$2</definedName>
    <definedName name="SyntheticQuotesTrigger">'General Settings'!$D$7</definedName>
    <definedName name="Trigger">'General Settings'!$D$4</definedName>
    <definedName name="YieldCurve" localSheetId="3">'1M Pricing'!$E$3</definedName>
    <definedName name="YieldCurve" localSheetId="4">'3M Pricing'!$E$3</definedName>
    <definedName name="YieldCurve" localSheetId="5">'6M Pricing'!$E$3</definedName>
    <definedName name="YieldCurve" localSheetId="2">'ON Pricing'!$E$3</definedName>
  </definedNames>
  <calcPr calcId="145621"/>
</workbook>
</file>

<file path=xl/calcChain.xml><?xml version="1.0" encoding="utf-8"?>
<calcChain xmlns="http://schemas.openxmlformats.org/spreadsheetml/2006/main">
  <c r="B19" i="7" l="1" a="1"/>
  <c r="B20" i="7" l="1"/>
  <c r="B21" i="7"/>
  <c r="B22" i="7"/>
  <c r="B23" i="7"/>
  <c r="B24" i="7"/>
  <c r="B25" i="7"/>
  <c r="B19" i="7"/>
  <c r="G24" i="7" l="1"/>
  <c r="H35" i="7" l="1"/>
  <c r="H36" i="7"/>
  <c r="H37" i="7"/>
  <c r="H38" i="7"/>
  <c r="G35" i="7"/>
  <c r="G36" i="7"/>
  <c r="G37" i="7"/>
  <c r="G38" i="7"/>
  <c r="F35" i="7"/>
  <c r="F36" i="7"/>
  <c r="F37" i="7"/>
  <c r="F38" i="7"/>
  <c r="S35" i="7"/>
  <c r="S36" i="7"/>
  <c r="S37" i="7"/>
  <c r="S38" i="7"/>
  <c r="P35" i="7"/>
  <c r="P36" i="7"/>
  <c r="P37" i="7"/>
  <c r="P38" i="7"/>
  <c r="M35" i="7"/>
  <c r="M36" i="7"/>
  <c r="M37" i="7"/>
  <c r="M38" i="7"/>
  <c r="J44" i="7" l="1"/>
  <c r="J43" i="7"/>
  <c r="J42" i="7"/>
  <c r="J41" i="7"/>
  <c r="J40" i="7"/>
  <c r="J39" i="7"/>
  <c r="J38" i="7"/>
  <c r="J37" i="7"/>
  <c r="J36" i="7"/>
  <c r="J35" i="7"/>
  <c r="J34" i="7"/>
  <c r="J33" i="7"/>
  <c r="J32" i="7"/>
  <c r="J31" i="7"/>
  <c r="J30" i="7"/>
  <c r="J29" i="7"/>
  <c r="J18" i="7"/>
  <c r="J17" i="7"/>
  <c r="J16" i="7"/>
  <c r="J15" i="7"/>
  <c r="J14" i="7"/>
  <c r="J13" i="7"/>
  <c r="J12" i="7"/>
  <c r="J9" i="7"/>
  <c r="J8" i="7"/>
  <c r="J7" i="7"/>
  <c r="J6" i="7"/>
  <c r="L30" i="12"/>
  <c r="L39" i="12"/>
  <c r="L31" i="12"/>
  <c r="L29" i="12"/>
  <c r="G39" i="12"/>
  <c r="L32" i="12"/>
  <c r="L44" i="12"/>
  <c r="L43" i="12"/>
  <c r="G43" i="12" s="1"/>
  <c r="L18" i="12"/>
  <c r="L41" i="12"/>
  <c r="G32" i="12"/>
  <c r="L14" i="12"/>
  <c r="L13" i="12"/>
  <c r="G13" i="12" s="1"/>
  <c r="F29" i="12"/>
  <c r="L37" i="12"/>
  <c r="D24" i="7"/>
  <c r="L35" i="12"/>
  <c r="L33" i="12"/>
  <c r="L40" i="12"/>
  <c r="G40" i="12" s="1"/>
  <c r="F30" i="12"/>
  <c r="F35" i="12"/>
  <c r="F37" i="12"/>
  <c r="G35" i="12"/>
  <c r="L17" i="12"/>
  <c r="L11" i="12"/>
  <c r="F11" i="12" s="1"/>
  <c r="L42" i="12"/>
  <c r="G42" i="12" s="1"/>
  <c r="G41" i="12"/>
  <c r="L16" i="12"/>
  <c r="G44" i="12"/>
  <c r="L34" i="12"/>
  <c r="F14" i="12"/>
  <c r="G30" i="12"/>
  <c r="F33" i="12"/>
  <c r="L15" i="12"/>
  <c r="L9" i="12"/>
  <c r="F16" i="12"/>
  <c r="F42" i="12"/>
  <c r="F13" i="12"/>
  <c r="L10" i="12"/>
  <c r="F10" i="12" s="1"/>
  <c r="F43" i="12"/>
  <c r="F41" i="12"/>
  <c r="G37" i="12"/>
  <c r="L12" i="12"/>
  <c r="G10" i="12"/>
  <c r="L36" i="12"/>
  <c r="L38" i="12"/>
  <c r="G12" i="12"/>
  <c r="G29" i="12"/>
  <c r="G34" i="12"/>
  <c r="F34" i="12"/>
  <c r="G15" i="12"/>
  <c r="G9" i="12"/>
  <c r="G36" i="12"/>
  <c r="F36" i="12"/>
  <c r="C24" i="10" l="1"/>
  <c r="P24" i="7"/>
  <c r="I24" i="10" s="1"/>
  <c r="I8" i="12"/>
  <c r="I7" i="12"/>
  <c r="S8" i="7"/>
  <c r="I8" i="11" s="1"/>
  <c r="S7" i="7"/>
  <c r="I7" i="11" s="1"/>
  <c r="P8" i="7"/>
  <c r="I8" i="10" s="1"/>
  <c r="P7" i="7"/>
  <c r="I7" i="10" s="1"/>
  <c r="M8" i="7"/>
  <c r="I8" i="14" s="1"/>
  <c r="M7" i="7"/>
  <c r="I7" i="14" s="1"/>
  <c r="F38" i="12"/>
  <c r="G11" i="12"/>
  <c r="G18" i="12"/>
  <c r="F32" i="12"/>
  <c r="G16" i="12"/>
  <c r="D20" i="7"/>
  <c r="D23" i="7"/>
  <c r="G38" i="12"/>
  <c r="F9" i="12"/>
  <c r="F39" i="12"/>
  <c r="F15" i="12"/>
  <c r="F40" i="12"/>
  <c r="D22" i="7"/>
  <c r="F24" i="10"/>
  <c r="F17" i="12"/>
  <c r="G17" i="12"/>
  <c r="F44" i="12"/>
  <c r="G33" i="12"/>
  <c r="F31" i="12"/>
  <c r="D19" i="7"/>
  <c r="F18" i="12"/>
  <c r="F12" i="12"/>
  <c r="D21" i="7"/>
  <c r="G31" i="12"/>
  <c r="G14" i="12"/>
  <c r="D25" i="7"/>
  <c r="G24" i="10"/>
  <c r="E24" i="10"/>
  <c r="J24" i="10" l="1"/>
  <c r="S44" i="7"/>
  <c r="S43" i="7"/>
  <c r="S42" i="7"/>
  <c r="S41" i="7"/>
  <c r="S40" i="7"/>
  <c r="S39" i="7"/>
  <c r="S34" i="7"/>
  <c r="S33" i="7"/>
  <c r="S32" i="7"/>
  <c r="S31" i="7"/>
  <c r="S29" i="7"/>
  <c r="S17" i="7"/>
  <c r="S16" i="7"/>
  <c r="S15" i="7"/>
  <c r="S14" i="7"/>
  <c r="S13" i="7"/>
  <c r="S12" i="7"/>
  <c r="S11" i="7"/>
  <c r="S10" i="7"/>
  <c r="S9" i="7"/>
  <c r="S6" i="7"/>
  <c r="I6" i="11" s="1"/>
  <c r="P41" i="7"/>
  <c r="P44" i="7"/>
  <c r="P43" i="7"/>
  <c r="P42" i="7"/>
  <c r="P40" i="7"/>
  <c r="P39" i="7"/>
  <c r="P34" i="7"/>
  <c r="P33" i="7"/>
  <c r="P32" i="7"/>
  <c r="P31" i="7"/>
  <c r="P29" i="7"/>
  <c r="P14" i="7"/>
  <c r="I14" i="10" s="1"/>
  <c r="P13" i="7"/>
  <c r="I13" i="10" s="1"/>
  <c r="P12" i="7"/>
  <c r="I12" i="10" s="1"/>
  <c r="P11" i="7"/>
  <c r="I11" i="10" s="1"/>
  <c r="P10" i="7"/>
  <c r="I10" i="10" s="1"/>
  <c r="P9" i="7"/>
  <c r="I9" i="10" s="1"/>
  <c r="P6" i="7"/>
  <c r="I6" i="10" s="1"/>
  <c r="M44" i="7"/>
  <c r="I44" i="14" s="1"/>
  <c r="M43" i="7"/>
  <c r="I43" i="14" s="1"/>
  <c r="M42" i="7"/>
  <c r="I42" i="14" s="1"/>
  <c r="M41" i="7"/>
  <c r="I41" i="14" s="1"/>
  <c r="M40" i="7"/>
  <c r="I40" i="14" s="1"/>
  <c r="M39" i="7"/>
  <c r="I39" i="14" s="1"/>
  <c r="I36" i="14"/>
  <c r="M34" i="7"/>
  <c r="I34" i="14" s="1"/>
  <c r="M33" i="7"/>
  <c r="I33" i="14" s="1"/>
  <c r="M32" i="7"/>
  <c r="I32" i="14" s="1"/>
  <c r="M31" i="7"/>
  <c r="I31" i="14" s="1"/>
  <c r="M29" i="7"/>
  <c r="I29" i="14" s="1"/>
  <c r="M28" i="7"/>
  <c r="I28" i="14" s="1"/>
  <c r="M27" i="7"/>
  <c r="I27" i="14" s="1"/>
  <c r="M26" i="7"/>
  <c r="I26" i="14" s="1"/>
  <c r="M12" i="7"/>
  <c r="I12" i="14" s="1"/>
  <c r="M11" i="7"/>
  <c r="I11" i="14" s="1"/>
  <c r="M10" i="7"/>
  <c r="I10" i="14" s="1"/>
  <c r="M9" i="7"/>
  <c r="I9" i="14" s="1"/>
  <c r="M6" i="7"/>
  <c r="I6" i="14" s="1"/>
  <c r="E3" i="14" l="1"/>
  <c r="P22" i="7" l="1"/>
  <c r="P25" i="7"/>
  <c r="P23" i="7"/>
  <c r="P19" i="7"/>
  <c r="P21" i="7"/>
  <c r="P20" i="7"/>
  <c r="C25" i="10"/>
  <c r="C23" i="10"/>
  <c r="C22" i="10"/>
  <c r="C21" i="10"/>
  <c r="C20" i="10"/>
  <c r="C19" i="10"/>
  <c r="F20" i="10"/>
  <c r="F25" i="10"/>
  <c r="F22" i="10"/>
  <c r="F23" i="10"/>
  <c r="F21" i="10"/>
  <c r="F19" i="10"/>
  <c r="J32" i="10" l="1"/>
  <c r="J31" i="10"/>
  <c r="J29" i="10"/>
  <c r="J44" i="11"/>
  <c r="J43" i="11"/>
  <c r="J42" i="11"/>
  <c r="J41" i="11"/>
  <c r="J40" i="11"/>
  <c r="J39" i="11"/>
  <c r="J38" i="11"/>
  <c r="J37" i="11"/>
  <c r="J36" i="11"/>
  <c r="J35" i="11"/>
  <c r="J34" i="11"/>
  <c r="J33" i="11"/>
  <c r="D13" i="2"/>
  <c r="D14" i="2" l="1"/>
  <c r="L3" i="11" l="1"/>
  <c r="L3" i="10"/>
  <c r="L3" i="14"/>
  <c r="J44" i="12"/>
  <c r="J43" i="12"/>
  <c r="J42" i="12"/>
  <c r="J41" i="12"/>
  <c r="J40" i="12"/>
  <c r="J39" i="12"/>
  <c r="J38" i="12"/>
  <c r="J37" i="12"/>
  <c r="J36" i="12"/>
  <c r="J35" i="12"/>
  <c r="J34" i="12"/>
  <c r="J33" i="12"/>
  <c r="J32" i="12"/>
  <c r="J31" i="12"/>
  <c r="J30" i="12"/>
  <c r="J29" i="12"/>
  <c r="J18" i="12"/>
  <c r="J17" i="12"/>
  <c r="J16" i="12"/>
  <c r="J15" i="12"/>
  <c r="J14" i="12"/>
  <c r="J13" i="12"/>
  <c r="J12" i="12"/>
  <c r="J9" i="12"/>
  <c r="I18" i="12" l="1"/>
  <c r="J19" i="10" l="1"/>
  <c r="J25" i="10"/>
  <c r="J22" i="10"/>
  <c r="J21" i="10"/>
  <c r="J23" i="10"/>
  <c r="J20" i="10"/>
  <c r="I44" i="12" l="1"/>
  <c r="I43" i="12"/>
  <c r="I42" i="12"/>
  <c r="I41" i="12"/>
  <c r="I40" i="12"/>
  <c r="I39" i="12"/>
  <c r="I38" i="12"/>
  <c r="I37" i="12"/>
  <c r="I36" i="12"/>
  <c r="I35" i="12"/>
  <c r="I34" i="12"/>
  <c r="I33" i="12"/>
  <c r="I32" i="12"/>
  <c r="I31" i="12"/>
  <c r="I30" i="12"/>
  <c r="I29" i="12"/>
  <c r="I17" i="12"/>
  <c r="I16" i="12"/>
  <c r="I15" i="12"/>
  <c r="I14" i="12"/>
  <c r="I13" i="12"/>
  <c r="I12" i="12"/>
  <c r="I9" i="12"/>
  <c r="I6" i="12"/>
  <c r="I44" i="10"/>
  <c r="I43" i="10"/>
  <c r="I42" i="10"/>
  <c r="I41" i="10"/>
  <c r="I40" i="10"/>
  <c r="I39" i="10"/>
  <c r="I36" i="10"/>
  <c r="I34" i="10"/>
  <c r="I33" i="10"/>
  <c r="I32" i="10"/>
  <c r="I31" i="10"/>
  <c r="I29" i="10"/>
  <c r="I25" i="10"/>
  <c r="I23" i="10"/>
  <c r="I22" i="10"/>
  <c r="I21" i="10"/>
  <c r="I20" i="10"/>
  <c r="I19" i="10"/>
  <c r="I16" i="11" l="1"/>
  <c r="I17" i="11"/>
  <c r="I40" i="11"/>
  <c r="I10" i="11"/>
  <c r="I41" i="11"/>
  <c r="I11" i="11"/>
  <c r="I42" i="11"/>
  <c r="I32" i="11"/>
  <c r="I39" i="11"/>
  <c r="I9" i="11"/>
  <c r="I29" i="11"/>
  <c r="I31" i="11"/>
  <c r="I12" i="11"/>
  <c r="I43" i="11"/>
  <c r="I13" i="11"/>
  <c r="I33" i="11"/>
  <c r="I44" i="11"/>
  <c r="I14" i="11"/>
  <c r="I34" i="11"/>
  <c r="I15" i="11"/>
  <c r="I36" i="11"/>
  <c r="E3" i="12" l="1"/>
  <c r="E3" i="11"/>
  <c r="E3" i="10" l="1"/>
  <c r="B1" i="2" l="1"/>
  <c r="D5" i="2"/>
  <c r="E8" i="11" l="1"/>
  <c r="E7" i="11"/>
  <c r="E6" i="11"/>
  <c r="F6" i="11" s="1"/>
  <c r="E7" i="14"/>
  <c r="E8" i="10"/>
  <c r="E7" i="10"/>
  <c r="E6" i="10"/>
  <c r="F6" i="10" s="1"/>
  <c r="E8" i="14"/>
  <c r="E43" i="14"/>
  <c r="E35" i="14"/>
  <c r="E27" i="14"/>
  <c r="E42" i="14"/>
  <c r="E34" i="14"/>
  <c r="E41" i="14"/>
  <c r="E33" i="14"/>
  <c r="E11" i="14"/>
  <c r="E40" i="14"/>
  <c r="E32" i="14"/>
  <c r="E10" i="14"/>
  <c r="E39" i="14"/>
  <c r="E31" i="14"/>
  <c r="E9" i="14"/>
  <c r="E38" i="14"/>
  <c r="E30" i="14"/>
  <c r="E6" i="14"/>
  <c r="F6" i="14" s="1"/>
  <c r="E37" i="14"/>
  <c r="E29" i="14"/>
  <c r="E44" i="14"/>
  <c r="E36" i="14"/>
  <c r="E28" i="14"/>
  <c r="E28" i="11"/>
  <c r="E27" i="11"/>
  <c r="E26" i="11"/>
  <c r="E26" i="10"/>
  <c r="E28" i="10"/>
  <c r="E27" i="10"/>
  <c r="E26" i="14"/>
  <c r="E12" i="14"/>
  <c r="E14" i="11"/>
  <c r="E10" i="11"/>
  <c r="E17" i="11"/>
  <c r="E13" i="11"/>
  <c r="E9" i="11"/>
  <c r="E16" i="11"/>
  <c r="E12" i="11"/>
  <c r="E15" i="11"/>
  <c r="E11" i="11"/>
  <c r="E29" i="11"/>
  <c r="E29" i="10"/>
  <c r="E6" i="12"/>
  <c r="E42" i="10"/>
  <c r="E43" i="10"/>
  <c r="E39" i="11"/>
  <c r="E44" i="10"/>
  <c r="E34" i="11"/>
  <c r="E44" i="11"/>
  <c r="E37" i="10"/>
  <c r="E31" i="10"/>
  <c r="E33" i="10"/>
  <c r="E35" i="11"/>
  <c r="E12" i="10"/>
  <c r="E40" i="11"/>
  <c r="E34" i="10"/>
  <c r="E37" i="11"/>
  <c r="E10" i="10"/>
  <c r="E41" i="10"/>
  <c r="E11" i="10"/>
  <c r="E30" i="10"/>
  <c r="E36" i="10"/>
  <c r="E38" i="10"/>
  <c r="E32" i="11"/>
  <c r="E39" i="10"/>
  <c r="E14" i="10"/>
  <c r="E42" i="11"/>
  <c r="E13" i="10"/>
  <c r="E32" i="10"/>
  <c r="E40" i="10"/>
  <c r="E35" i="10"/>
  <c r="E38" i="11"/>
  <c r="E36" i="11"/>
  <c r="E30" i="11"/>
  <c r="E31" i="11"/>
  <c r="E41" i="11"/>
  <c r="E33" i="11"/>
  <c r="E9" i="10"/>
  <c r="E43" i="11"/>
  <c r="F6" i="12"/>
  <c r="D19" i="2"/>
  <c r="D20" i="2" l="1"/>
  <c r="D21" i="2"/>
  <c r="L34" i="11"/>
  <c r="L33" i="10"/>
  <c r="L39" i="11"/>
  <c r="L14" i="10"/>
  <c r="E19" i="10"/>
  <c r="L30" i="10"/>
  <c r="E25" i="10"/>
  <c r="L12" i="11"/>
  <c r="L39" i="10"/>
  <c r="L42" i="11"/>
  <c r="L41" i="10"/>
  <c r="L17" i="11"/>
  <c r="L29" i="11"/>
  <c r="L10" i="11"/>
  <c r="E21" i="10"/>
  <c r="L32" i="10"/>
  <c r="L10" i="14"/>
  <c r="E22" i="10"/>
  <c r="L43" i="11"/>
  <c r="L29" i="14"/>
  <c r="L30" i="11"/>
  <c r="L15" i="11"/>
  <c r="G25" i="10"/>
  <c r="L39" i="14"/>
  <c r="L28" i="14"/>
  <c r="L27" i="11"/>
  <c r="L9" i="11"/>
  <c r="L38" i="10"/>
  <c r="L34" i="14"/>
  <c r="L10" i="10"/>
  <c r="E20" i="10"/>
  <c r="L37" i="11"/>
  <c r="L36" i="10"/>
  <c r="G19" i="10"/>
  <c r="L11" i="10"/>
  <c r="L11" i="14"/>
  <c r="L9" i="14"/>
  <c r="L27" i="10"/>
  <c r="L42" i="14"/>
  <c r="L8" i="14"/>
  <c r="L44" i="14"/>
  <c r="L9" i="10"/>
  <c r="L28" i="11"/>
  <c r="L31" i="10"/>
  <c r="L29" i="10"/>
  <c r="G6" i="10"/>
  <c r="L40" i="14"/>
  <c r="L41" i="14"/>
  <c r="L32" i="11"/>
  <c r="L43" i="14"/>
  <c r="L43" i="10"/>
  <c r="L13" i="11"/>
  <c r="L35" i="10"/>
  <c r="L14" i="11"/>
  <c r="L32" i="14"/>
  <c r="L41" i="11"/>
  <c r="L8" i="11"/>
  <c r="L30" i="14"/>
  <c r="L34" i="10"/>
  <c r="L38" i="11"/>
  <c r="L44" i="11"/>
  <c r="L37" i="14"/>
  <c r="L28" i="10"/>
  <c r="L26" i="14"/>
  <c r="E23" i="10"/>
  <c r="L40" i="11"/>
  <c r="L13" i="10"/>
  <c r="L12" i="14"/>
  <c r="L26" i="11"/>
  <c r="L31" i="14"/>
  <c r="L42" i="10"/>
  <c r="G20" i="10"/>
  <c r="L38" i="14"/>
  <c r="L36" i="14"/>
  <c r="L12" i="10"/>
  <c r="L37" i="10"/>
  <c r="G6" i="11"/>
  <c r="L27" i="14"/>
  <c r="L26" i="10"/>
  <c r="G23" i="10"/>
  <c r="L31" i="11"/>
  <c r="G21" i="10"/>
  <c r="L36" i="11"/>
  <c r="L8" i="10"/>
  <c r="L35" i="14"/>
  <c r="L11" i="11"/>
  <c r="L33" i="11"/>
  <c r="L44" i="10"/>
  <c r="L40" i="10"/>
  <c r="G6" i="14"/>
  <c r="L16" i="11"/>
  <c r="G22" i="10"/>
  <c r="L33" i="14"/>
  <c r="G6" i="12"/>
  <c r="L35" i="11"/>
  <c r="E7" i="12" l="1"/>
  <c r="E8" i="12"/>
  <c r="B6" i="11"/>
  <c r="F7" i="11"/>
  <c r="B6" i="10"/>
  <c r="F7" i="10"/>
  <c r="B6" i="14"/>
  <c r="F28" i="11"/>
  <c r="F30" i="11"/>
  <c r="F8" i="12"/>
  <c r="F43" i="14"/>
  <c r="F12" i="14"/>
  <c r="F32" i="14"/>
  <c r="F11" i="14"/>
  <c r="F27" i="10"/>
  <c r="F27" i="14"/>
  <c r="F41" i="10"/>
  <c r="F36" i="11"/>
  <c r="F10" i="11"/>
  <c r="F28" i="10"/>
  <c r="F34" i="10"/>
  <c r="F31" i="11"/>
  <c r="F44" i="11"/>
  <c r="F35" i="10"/>
  <c r="F33" i="10"/>
  <c r="F35" i="11"/>
  <c r="F33" i="11"/>
  <c r="F36" i="10"/>
  <c r="F27" i="11"/>
  <c r="F41" i="11"/>
  <c r="F40" i="10"/>
  <c r="F38" i="11"/>
  <c r="F8" i="10"/>
  <c r="F42" i="11"/>
  <c r="F32" i="10"/>
  <c r="F33" i="14"/>
  <c r="F40" i="14"/>
  <c r="F31" i="14"/>
  <c r="F17" i="11"/>
  <c r="F12" i="10"/>
  <c r="F14" i="11"/>
  <c r="F30" i="14"/>
  <c r="F9" i="11"/>
  <c r="F30" i="10"/>
  <c r="F38" i="10"/>
  <c r="F43" i="11"/>
  <c r="F7" i="12"/>
  <c r="F29" i="14"/>
  <c r="F35" i="14"/>
  <c r="F37" i="14"/>
  <c r="F44" i="10"/>
  <c r="F13" i="11"/>
  <c r="F12" i="11"/>
  <c r="F40" i="11"/>
  <c r="F8" i="11"/>
  <c r="F43" i="10"/>
  <c r="F36" i="14"/>
  <c r="F10" i="10"/>
  <c r="F44" i="14"/>
  <c r="F32" i="11"/>
  <c r="F31" i="10"/>
  <c r="G7" i="11"/>
  <c r="F42" i="10"/>
  <c r="F37" i="11"/>
  <c r="F38" i="14"/>
  <c r="F39" i="11"/>
  <c r="F8" i="14"/>
  <c r="F28" i="14"/>
  <c r="F34" i="14"/>
  <c r="F34" i="11"/>
  <c r="F37" i="10"/>
  <c r="F26" i="10"/>
  <c r="F11" i="10"/>
  <c r="F11" i="11"/>
  <c r="F9" i="14"/>
  <c r="F29" i="10"/>
  <c r="F16" i="11"/>
  <c r="G7" i="10"/>
  <c r="F10" i="14"/>
  <c r="F29" i="11"/>
  <c r="F15" i="11"/>
  <c r="F39" i="14"/>
  <c r="F13" i="10"/>
  <c r="F26" i="14"/>
  <c r="F39" i="10"/>
  <c r="F41" i="14"/>
  <c r="F9" i="10"/>
  <c r="F26" i="11"/>
  <c r="F42" i="14"/>
  <c r="F14" i="10"/>
  <c r="B7" i="10" l="1"/>
  <c r="B7" i="11"/>
  <c r="F7" i="14"/>
  <c r="G28" i="10"/>
  <c r="G32" i="11"/>
  <c r="G36" i="14"/>
  <c r="G41" i="11"/>
  <c r="G7" i="12"/>
  <c r="G30" i="10"/>
  <c r="G30" i="11"/>
  <c r="G11" i="14"/>
  <c r="G42" i="14"/>
  <c r="G33" i="14"/>
  <c r="G36" i="10"/>
  <c r="G26" i="11"/>
  <c r="G8" i="14"/>
  <c r="G10" i="11"/>
  <c r="G17" i="11"/>
  <c r="G34" i="11"/>
  <c r="G15" i="11"/>
  <c r="G36" i="11"/>
  <c r="G34" i="14"/>
  <c r="G8" i="10"/>
  <c r="G7" i="14"/>
  <c r="G11" i="11"/>
  <c r="G27" i="11"/>
  <c r="G31" i="11"/>
  <c r="G14" i="10"/>
  <c r="G44" i="11"/>
  <c r="G28" i="14"/>
  <c r="G8" i="12"/>
  <c r="G29" i="11"/>
  <c r="G40" i="10"/>
  <c r="G33" i="11"/>
  <c r="G34" i="10"/>
  <c r="G9" i="14"/>
  <c r="G13" i="10"/>
  <c r="G37" i="14"/>
  <c r="G35" i="14"/>
  <c r="G40" i="11"/>
  <c r="G38" i="11"/>
  <c r="G10" i="10"/>
  <c r="G29" i="10"/>
  <c r="G44" i="14"/>
  <c r="G35" i="11"/>
  <c r="G11" i="10"/>
  <c r="G9" i="11"/>
  <c r="G38" i="14"/>
  <c r="G42" i="11"/>
  <c r="G39" i="11"/>
  <c r="G37" i="10"/>
  <c r="G12" i="10"/>
  <c r="G43" i="14"/>
  <c r="G14" i="11"/>
  <c r="G26" i="14"/>
  <c r="G42" i="10"/>
  <c r="G38" i="10"/>
  <c r="G32" i="14"/>
  <c r="G27" i="14"/>
  <c r="G35" i="10"/>
  <c r="G27" i="10"/>
  <c r="G40" i="14"/>
  <c r="G33" i="10"/>
  <c r="G29" i="14"/>
  <c r="G41" i="14"/>
  <c r="G41" i="10"/>
  <c r="G39" i="10"/>
  <c r="G13" i="11"/>
  <c r="G26" i="10"/>
  <c r="G43" i="11"/>
  <c r="G16" i="11"/>
  <c r="G31" i="14"/>
  <c r="G8" i="11"/>
  <c r="G32" i="10"/>
  <c r="G43" i="10"/>
  <c r="G12" i="14"/>
  <c r="G37" i="11"/>
  <c r="G10" i="14"/>
  <c r="G30" i="14"/>
  <c r="G31" i="10"/>
  <c r="G28" i="11"/>
  <c r="G12" i="11"/>
  <c r="G9" i="10"/>
  <c r="G44" i="10"/>
  <c r="G39" i="14"/>
  <c r="B10" i="11" l="1"/>
  <c r="B10" i="14"/>
  <c r="B9" i="14"/>
  <c r="B9" i="10"/>
  <c r="B13" i="11"/>
  <c r="B8" i="10"/>
  <c r="B12" i="11"/>
  <c r="B11" i="11"/>
  <c r="B12" i="10"/>
  <c r="B10" i="10"/>
  <c r="B15" i="11"/>
  <c r="B8" i="14"/>
  <c r="B14" i="11"/>
  <c r="B16" i="11"/>
  <c r="B9" i="11"/>
  <c r="B11" i="14"/>
  <c r="B11" i="10"/>
  <c r="B13" i="10"/>
  <c r="B8" i="11"/>
  <c r="B17" i="11"/>
  <c r="B12" i="14"/>
  <c r="B14" i="10"/>
  <c r="B7" i="14"/>
  <c r="G29" i="7" l="1"/>
  <c r="E7" i="7"/>
  <c r="F6" i="7"/>
  <c r="F41" i="7"/>
  <c r="H11" i="7"/>
  <c r="G6" i="7"/>
  <c r="G31" i="7"/>
  <c r="E15" i="7"/>
  <c r="E40" i="7"/>
  <c r="G10" i="7"/>
  <c r="G41" i="7"/>
  <c r="G22" i="7"/>
  <c r="F26" i="7"/>
  <c r="E30" i="7"/>
  <c r="G33" i="7"/>
  <c r="G39" i="7"/>
  <c r="E8" i="7"/>
  <c r="F10" i="7"/>
  <c r="E14" i="7"/>
  <c r="H32" i="7"/>
  <c r="F31" i="7"/>
  <c r="G44" i="7"/>
  <c r="G32" i="7"/>
  <c r="E34" i="7"/>
  <c r="G8" i="7"/>
  <c r="H14" i="7"/>
  <c r="G11" i="7"/>
  <c r="H44" i="7"/>
  <c r="F8" i="7"/>
  <c r="H9" i="7"/>
  <c r="E38" i="7"/>
  <c r="E35" i="7"/>
  <c r="H7" i="7"/>
  <c r="F27" i="7"/>
  <c r="F42" i="7"/>
  <c r="F43" i="7"/>
  <c r="G12" i="7"/>
  <c r="G42" i="7"/>
  <c r="E44" i="7"/>
  <c r="H43" i="7"/>
  <c r="H15" i="7"/>
  <c r="E39" i="7"/>
  <c r="E33" i="7"/>
  <c r="G20" i="7"/>
  <c r="F7" i="7"/>
  <c r="F12" i="7"/>
  <c r="G14" i="7"/>
  <c r="H10" i="7"/>
  <c r="G25" i="7"/>
  <c r="F29" i="7"/>
  <c r="E9" i="7"/>
  <c r="G34" i="7"/>
  <c r="H33" i="7"/>
  <c r="F32" i="7"/>
  <c r="E32" i="7"/>
  <c r="H31" i="7"/>
  <c r="E42" i="7"/>
  <c r="F9" i="7"/>
  <c r="H41" i="7"/>
  <c r="E43" i="7"/>
  <c r="G19" i="7"/>
  <c r="F39" i="7"/>
  <c r="G13" i="7"/>
  <c r="E6" i="7"/>
  <c r="G23" i="7"/>
  <c r="G7" i="7"/>
  <c r="F28" i="7"/>
  <c r="F44" i="7"/>
  <c r="F34" i="7"/>
  <c r="H16" i="7"/>
  <c r="H17" i="7"/>
  <c r="G40" i="7"/>
  <c r="E13" i="7"/>
  <c r="E41" i="7"/>
  <c r="H29" i="7"/>
  <c r="H13" i="7"/>
  <c r="E16" i="7"/>
  <c r="G21" i="7"/>
  <c r="F11" i="7"/>
  <c r="E31" i="7"/>
  <c r="G9" i="7"/>
  <c r="G43" i="7"/>
  <c r="F33" i="7"/>
  <c r="H40" i="7"/>
  <c r="E36" i="7"/>
  <c r="H6" i="7"/>
  <c r="H8" i="7"/>
  <c r="E18" i="7"/>
  <c r="E37" i="7"/>
  <c r="E29" i="7"/>
  <c r="E12" i="7"/>
  <c r="H34" i="7"/>
  <c r="E17" i="7"/>
  <c r="F40" i="7"/>
  <c r="H42" i="7"/>
  <c r="H39" i="7"/>
  <c r="H12" i="7"/>
  <c r="D7" i="2" l="1"/>
  <c r="D6" i="2" l="1"/>
  <c r="H23" i="10"/>
  <c r="H39" i="11"/>
  <c r="H38" i="11"/>
  <c r="H10" i="11"/>
  <c r="H39" i="12"/>
  <c r="H17" i="12"/>
  <c r="H8" i="14"/>
  <c r="H27" i="14"/>
  <c r="H40" i="14"/>
  <c r="H35" i="10"/>
  <c r="H37" i="12"/>
  <c r="H19" i="10"/>
  <c r="H12" i="14"/>
  <c r="H24" i="10"/>
  <c r="H32" i="10"/>
  <c r="H41" i="10"/>
  <c r="H30" i="14"/>
  <c r="H15" i="12"/>
  <c r="H14" i="11"/>
  <c r="H28" i="10"/>
  <c r="H38" i="10"/>
  <c r="H11" i="12"/>
  <c r="H10" i="12"/>
  <c r="H10" i="14"/>
  <c r="H40" i="11"/>
  <c r="H28" i="14"/>
  <c r="H37" i="10"/>
  <c r="H11" i="10"/>
  <c r="H21" i="10"/>
  <c r="H33" i="12"/>
  <c r="H39" i="14"/>
  <c r="H44" i="11"/>
  <c r="H31" i="12"/>
  <c r="H40" i="10"/>
  <c r="H29" i="12"/>
  <c r="H32" i="11"/>
  <c r="H9" i="10"/>
  <c r="H42" i="14"/>
  <c r="H29" i="10"/>
  <c r="H29" i="11"/>
  <c r="H15" i="11"/>
  <c r="H26" i="10"/>
  <c r="H20" i="10"/>
  <c r="H14" i="12"/>
  <c r="H6" i="12"/>
  <c r="H28" i="11"/>
  <c r="H30" i="10"/>
  <c r="H40" i="12"/>
  <c r="H36" i="12"/>
  <c r="H35" i="12"/>
  <c r="H36" i="14"/>
  <c r="H32" i="12"/>
  <c r="H22" i="10"/>
  <c r="H8" i="10"/>
  <c r="H7" i="12"/>
  <c r="H44" i="14"/>
  <c r="H14" i="10"/>
  <c r="H38" i="12"/>
  <c r="H42" i="10"/>
  <c r="H43" i="12"/>
  <c r="H44" i="12"/>
  <c r="H37" i="11"/>
  <c r="H9" i="12"/>
  <c r="H27" i="10"/>
  <c r="H35" i="14"/>
  <c r="H13" i="11"/>
  <c r="H31" i="10"/>
  <c r="H11" i="11"/>
  <c r="H17" i="11"/>
  <c r="H34" i="14"/>
  <c r="H33" i="14"/>
  <c r="H37" i="14"/>
  <c r="H30" i="12"/>
  <c r="H27" i="11"/>
  <c r="H41" i="12"/>
  <c r="H38" i="14"/>
  <c r="H18" i="12"/>
  <c r="H32" i="14"/>
  <c r="H25" i="10"/>
  <c r="H33" i="11"/>
  <c r="H42" i="11"/>
  <c r="H10" i="10"/>
  <c r="H9" i="14"/>
  <c r="H36" i="10"/>
  <c r="H35" i="11"/>
  <c r="H8" i="11"/>
  <c r="H31" i="14"/>
  <c r="H34" i="10"/>
  <c r="H30" i="11"/>
  <c r="H13" i="12"/>
  <c r="H43" i="10"/>
  <c r="H12" i="12"/>
  <c r="H34" i="12"/>
  <c r="H43" i="11"/>
  <c r="H9" i="11"/>
  <c r="H36" i="11"/>
  <c r="H13" i="10"/>
  <c r="H16" i="11"/>
  <c r="H41" i="11"/>
  <c r="H44" i="10"/>
  <c r="H31" i="11"/>
  <c r="H41" i="14"/>
  <c r="H26" i="11"/>
  <c r="H16" i="12"/>
  <c r="H12" i="11"/>
  <c r="H33" i="10"/>
  <c r="H11" i="14"/>
  <c r="H29" i="14"/>
  <c r="H43" i="14"/>
  <c r="H26" i="14"/>
  <c r="H39" i="10"/>
  <c r="H12" i="10"/>
  <c r="H42" i="12"/>
  <c r="H8" i="12"/>
  <c r="H34" i="11"/>
  <c r="T34" i="7" l="1"/>
  <c r="K8" i="7"/>
  <c r="K42" i="7"/>
  <c r="Q12" i="7"/>
  <c r="Q39" i="7"/>
  <c r="N26" i="7"/>
  <c r="N43" i="7"/>
  <c r="N29" i="7"/>
  <c r="N11" i="7"/>
  <c r="Q33" i="7"/>
  <c r="T12" i="7"/>
  <c r="K16" i="7"/>
  <c r="N41" i="7"/>
  <c r="T31" i="7"/>
  <c r="Q44" i="7"/>
  <c r="T41" i="7"/>
  <c r="T16" i="7"/>
  <c r="Q13" i="7"/>
  <c r="T36" i="7"/>
  <c r="T9" i="7"/>
  <c r="T43" i="7"/>
  <c r="K34" i="7"/>
  <c r="K12" i="7"/>
  <c r="Q43" i="7"/>
  <c r="K13" i="7"/>
  <c r="Q34" i="7"/>
  <c r="N31" i="7"/>
  <c r="T8" i="7"/>
  <c r="T35" i="7"/>
  <c r="Q36" i="7"/>
  <c r="N9" i="7"/>
  <c r="Q10" i="7"/>
  <c r="T42" i="7"/>
  <c r="T33" i="7"/>
  <c r="Q25" i="7"/>
  <c r="N32" i="7"/>
  <c r="K18" i="7"/>
  <c r="N38" i="7"/>
  <c r="K41" i="7"/>
  <c r="K30" i="7"/>
  <c r="N37" i="7"/>
  <c r="N33" i="7"/>
  <c r="N34" i="7"/>
  <c r="T17" i="7"/>
  <c r="T11" i="7"/>
  <c r="Q31" i="7"/>
  <c r="T13" i="7"/>
  <c r="N35" i="7"/>
  <c r="K9" i="7"/>
  <c r="T37" i="7"/>
  <c r="K44" i="7"/>
  <c r="K43" i="7"/>
  <c r="Q42" i="7"/>
  <c r="K38" i="7"/>
  <c r="Q14" i="7"/>
  <c r="N44" i="7"/>
  <c r="K7" i="7"/>
  <c r="Q8" i="7"/>
  <c r="Q22" i="7"/>
  <c r="K32" i="7"/>
  <c r="N36" i="7"/>
  <c r="K35" i="7"/>
  <c r="K36" i="7"/>
  <c r="K40" i="7"/>
  <c r="K6" i="7"/>
  <c r="K14" i="7"/>
  <c r="Q20" i="7"/>
  <c r="T15" i="7"/>
  <c r="T29" i="7"/>
  <c r="Q29" i="7"/>
  <c r="N42" i="7"/>
  <c r="Q9" i="7"/>
  <c r="T32" i="7"/>
  <c r="K29" i="7"/>
  <c r="Q40" i="7"/>
  <c r="K31" i="7"/>
  <c r="T44" i="7"/>
  <c r="N39" i="7"/>
  <c r="K33" i="7"/>
  <c r="Q21" i="7"/>
  <c r="Q11" i="7"/>
  <c r="Q37" i="7"/>
  <c r="N28" i="7"/>
  <c r="T40" i="7"/>
  <c r="N10" i="7"/>
  <c r="Q38" i="7"/>
  <c r="T14" i="7"/>
  <c r="K15" i="7"/>
  <c r="Q41" i="7"/>
  <c r="Q32" i="7"/>
  <c r="Q24" i="7"/>
  <c r="N12" i="7"/>
  <c r="Q19" i="7"/>
  <c r="K37" i="7"/>
  <c r="Q35" i="7"/>
  <c r="N40" i="7"/>
  <c r="N27" i="7"/>
  <c r="N8" i="7"/>
  <c r="K17" i="7"/>
  <c r="K39" i="7"/>
  <c r="T10" i="7"/>
  <c r="T38" i="7"/>
  <c r="T39" i="7"/>
  <c r="Q23" i="7"/>
  <c r="W42" i="7"/>
  <c r="AC12" i="7"/>
  <c r="AC36" i="7"/>
  <c r="Y31" i="7"/>
  <c r="AA25" i="7"/>
  <c r="Y34" i="7"/>
  <c r="W44" i="7"/>
  <c r="AA22" i="7"/>
  <c r="AA20" i="7"/>
  <c r="AA40" i="7"/>
  <c r="Y28" i="7"/>
  <c r="AA24" i="7"/>
  <c r="W17" i="7"/>
  <c r="AA39" i="7"/>
  <c r="AC35" i="7"/>
  <c r="AC11" i="7"/>
  <c r="Y36" i="7"/>
  <c r="Y10" i="7"/>
  <c r="AC10" i="7"/>
  <c r="AA36" i="7"/>
  <c r="W38" i="7"/>
  <c r="Y39" i="7"/>
  <c r="AC38" i="7"/>
  <c r="AC13" i="7"/>
  <c r="Y42" i="7"/>
  <c r="AC39" i="7"/>
  <c r="AA10" i="7"/>
  <c r="Y44" i="7"/>
  <c r="AA21" i="7"/>
  <c r="AA23" i="7"/>
  <c r="AC16" i="7"/>
  <c r="Y37" i="7"/>
  <c r="W7" i="7"/>
  <c r="AA11" i="7"/>
  <c r="AA33" i="7"/>
  <c r="AC33" i="7"/>
  <c r="AA8" i="7"/>
  <c r="AA37" i="7"/>
  <c r="AA12" i="7"/>
  <c r="W16" i="7"/>
  <c r="AC9" i="7"/>
  <c r="AC8" i="7"/>
  <c r="Y32" i="7"/>
  <c r="AC17" i="7"/>
  <c r="W43" i="7"/>
  <c r="W32" i="7"/>
  <c r="AC15" i="7"/>
  <c r="W31" i="7"/>
  <c r="AC40" i="7"/>
  <c r="Y12" i="7"/>
  <c r="W39" i="7"/>
  <c r="AC43" i="7"/>
  <c r="W18" i="7"/>
  <c r="AA42" i="7"/>
  <c r="AC44" i="7"/>
  <c r="AA19" i="7"/>
  <c r="AC31" i="7"/>
  <c r="Y38" i="7"/>
  <c r="W35" i="7"/>
  <c r="W37" i="7"/>
  <c r="Y43" i="7"/>
  <c r="W12" i="7"/>
  <c r="W41" i="7"/>
  <c r="W36" i="7"/>
  <c r="W33" i="7"/>
  <c r="AA35" i="7"/>
  <c r="Y29" i="7"/>
  <c r="AA43" i="7"/>
  <c r="W30" i="7"/>
  <c r="Y35" i="7"/>
  <c r="AA9" i="7"/>
  <c r="W15" i="7"/>
  <c r="AC34" i="7"/>
  <c r="Y11" i="7"/>
  <c r="W13" i="7"/>
  <c r="W9" i="7"/>
  <c r="W6" i="7"/>
  <c r="AA41" i="7"/>
  <c r="AA13" i="7"/>
  <c r="Y33" i="7"/>
  <c r="W14" i="7"/>
  <c r="AA32" i="7"/>
  <c r="Y41" i="7"/>
  <c r="AC29" i="7"/>
  <c r="Y26" i="7"/>
  <c r="W34" i="7"/>
  <c r="AA31" i="7"/>
  <c r="AA29" i="7"/>
  <c r="AA38" i="7"/>
  <c r="AA44" i="7"/>
  <c r="Y9" i="7"/>
  <c r="AA14" i="7"/>
  <c r="AC14" i="7"/>
  <c r="AC41" i="7"/>
  <c r="W40" i="7"/>
  <c r="Y40" i="7"/>
  <c r="AC42" i="7"/>
  <c r="AC32" i="7"/>
  <c r="Y27" i="7"/>
  <c r="W8" i="7"/>
  <c r="AA34" i="7"/>
  <c r="AC37" i="7"/>
  <c r="W29" i="7"/>
  <c r="Y8" i="7"/>
  <c r="O8" i="7" l="1"/>
  <c r="L29" i="7"/>
  <c r="U37" i="7"/>
  <c r="R34" i="7"/>
  <c r="L8" i="7"/>
  <c r="O27" i="7"/>
  <c r="U32" i="7"/>
  <c r="U42" i="7"/>
  <c r="O40" i="7"/>
  <c r="L40" i="7"/>
  <c r="U41" i="7"/>
  <c r="U14" i="7"/>
  <c r="R14" i="7"/>
  <c r="O9" i="7"/>
  <c r="R44" i="7"/>
  <c r="R38" i="7"/>
  <c r="R29" i="7"/>
  <c r="R31" i="7"/>
  <c r="L34" i="7"/>
  <c r="O26" i="7"/>
  <c r="U29" i="7"/>
  <c r="O41" i="7"/>
  <c r="R32" i="7"/>
  <c r="L14" i="7"/>
  <c r="O33" i="7"/>
  <c r="R13" i="7"/>
  <c r="R41" i="7"/>
  <c r="L6" i="7"/>
  <c r="L9" i="7"/>
  <c r="L13" i="7"/>
  <c r="O11" i="7"/>
  <c r="U34" i="7"/>
  <c r="L15" i="7"/>
  <c r="R9" i="7"/>
  <c r="O35" i="7"/>
  <c r="L30" i="7"/>
  <c r="R43" i="7"/>
  <c r="O29" i="7"/>
  <c r="R35" i="7"/>
  <c r="L33" i="7"/>
  <c r="L36" i="7"/>
  <c r="L41" i="7"/>
  <c r="L12" i="7"/>
  <c r="O43" i="7"/>
  <c r="L37" i="7"/>
  <c r="L35" i="7"/>
  <c r="O38" i="7"/>
  <c r="U31" i="7"/>
  <c r="R19" i="7"/>
  <c r="U44" i="7"/>
  <c r="R42" i="7"/>
  <c r="L18" i="7"/>
  <c r="U43" i="7"/>
  <c r="L39" i="7"/>
  <c r="O12" i="7"/>
  <c r="U40" i="7"/>
  <c r="L31" i="7"/>
  <c r="U15" i="7"/>
  <c r="L32" i="7"/>
  <c r="L43" i="7"/>
  <c r="U17" i="7"/>
  <c r="O32" i="7"/>
  <c r="U8" i="7"/>
  <c r="U9" i="7"/>
  <c r="L16" i="7"/>
  <c r="R12" i="7"/>
  <c r="R37" i="7"/>
  <c r="R8" i="7"/>
  <c r="U33" i="7"/>
  <c r="R33" i="7"/>
  <c r="R11" i="7"/>
  <c r="L7" i="7"/>
  <c r="O37" i="7"/>
  <c r="U16" i="7"/>
  <c r="R23" i="7"/>
  <c r="R21" i="7"/>
  <c r="O44" i="7"/>
  <c r="R10" i="7"/>
  <c r="U39" i="7"/>
  <c r="O42" i="7"/>
  <c r="U13" i="7"/>
  <c r="U38" i="7"/>
  <c r="O39" i="7"/>
  <c r="L38" i="7"/>
  <c r="R36" i="7"/>
  <c r="U10" i="7"/>
  <c r="O10" i="7"/>
  <c r="O36" i="7"/>
  <c r="U11" i="7"/>
  <c r="U35" i="7"/>
  <c r="R39" i="7"/>
  <c r="L17" i="7"/>
  <c r="R24" i="7"/>
  <c r="O28" i="7"/>
  <c r="R40" i="7"/>
  <c r="R20" i="7"/>
  <c r="R22" i="7"/>
  <c r="L44" i="7"/>
  <c r="O34" i="7"/>
  <c r="R25" i="7"/>
  <c r="O31" i="7"/>
  <c r="U36" i="7"/>
  <c r="U12" i="7"/>
  <c r="L42" i="7"/>
  <c r="AD14" i="7"/>
  <c r="AB29" i="7"/>
  <c r="Z11" i="7"/>
  <c r="X30" i="7"/>
  <c r="X41" i="7"/>
  <c r="Z38" i="7"/>
  <c r="X18" i="7"/>
  <c r="X32" i="7"/>
  <c r="Z37" i="7"/>
  <c r="Z42" i="7"/>
  <c r="Z10" i="7"/>
  <c r="X44" i="7"/>
  <c r="AB14" i="7"/>
  <c r="AB31" i="7"/>
  <c r="AD34" i="7"/>
  <c r="AB43" i="7"/>
  <c r="X12" i="7"/>
  <c r="AD31" i="7"/>
  <c r="AD43" i="7"/>
  <c r="X43" i="7"/>
  <c r="AD16" i="7"/>
  <c r="AD13" i="7"/>
  <c r="Z36" i="7"/>
  <c r="Z34" i="7"/>
  <c r="Z8" i="7"/>
  <c r="Z27" i="7"/>
  <c r="Z9" i="7"/>
  <c r="X34" i="7"/>
  <c r="AB32" i="7"/>
  <c r="Z29" i="7"/>
  <c r="Z43" i="7"/>
  <c r="AD17" i="7"/>
  <c r="AB37" i="7"/>
  <c r="AD11" i="7"/>
  <c r="X17" i="7"/>
  <c r="AB25" i="7"/>
  <c r="X29" i="7"/>
  <c r="AD32" i="7"/>
  <c r="AB44" i="7"/>
  <c r="Z26" i="7"/>
  <c r="X14" i="7"/>
  <c r="X39" i="7"/>
  <c r="Z32" i="7"/>
  <c r="AB8" i="7"/>
  <c r="AB23" i="7"/>
  <c r="AD38" i="7"/>
  <c r="AD35" i="7"/>
  <c r="AB24" i="7"/>
  <c r="Z31" i="7"/>
  <c r="AD37" i="7"/>
  <c r="AD42" i="7"/>
  <c r="AD29" i="7"/>
  <c r="Z33" i="7"/>
  <c r="AB41" i="7"/>
  <c r="X9" i="7"/>
  <c r="X36" i="7"/>
  <c r="AB11" i="7"/>
  <c r="AB40" i="7"/>
  <c r="AD12" i="7"/>
  <c r="X13" i="7"/>
  <c r="X7" i="7"/>
  <c r="AB21" i="7"/>
  <c r="Z39" i="7"/>
  <c r="AB39" i="7"/>
  <c r="AB20" i="7"/>
  <c r="X42" i="7"/>
  <c r="Z12" i="7"/>
  <c r="AD8" i="7"/>
  <c r="Z44" i="7"/>
  <c r="X38" i="7"/>
  <c r="AB22" i="7"/>
  <c r="Z40" i="7"/>
  <c r="AB13" i="7"/>
  <c r="AB19" i="7"/>
  <c r="AD40" i="7"/>
  <c r="AD9" i="7"/>
  <c r="AB10" i="7"/>
  <c r="AB36" i="7"/>
  <c r="X40" i="7"/>
  <c r="AB38" i="7"/>
  <c r="X15" i="7"/>
  <c r="AD44" i="7"/>
  <c r="X31" i="7"/>
  <c r="X16" i="7"/>
  <c r="AD39" i="7"/>
  <c r="AD10" i="7"/>
  <c r="AB34" i="7"/>
  <c r="AD41" i="7"/>
  <c r="Z41" i="7"/>
  <c r="AB9" i="7"/>
  <c r="AB42" i="7"/>
  <c r="AD15" i="7"/>
  <c r="AB12" i="7"/>
  <c r="X8" i="7"/>
  <c r="Z35" i="7"/>
  <c r="AB35" i="7"/>
  <c r="X37" i="7"/>
  <c r="AD33" i="7"/>
  <c r="X6" i="7"/>
  <c r="X33" i="7"/>
  <c r="X35" i="7"/>
  <c r="AB33" i="7"/>
  <c r="Z28" i="7"/>
  <c r="AD36" i="7"/>
  <c r="L6" i="14" l="1"/>
  <c r="H7" i="14"/>
  <c r="L6" i="11"/>
  <c r="H6" i="11"/>
  <c r="H6" i="14"/>
  <c r="L6" i="10"/>
  <c r="H7" i="10"/>
  <c r="H7" i="11"/>
  <c r="H6" i="10"/>
  <c r="Q6" i="7"/>
  <c r="T7" i="7"/>
  <c r="T6" i="7"/>
  <c r="U6" i="7" s="1"/>
  <c r="Q7" i="7"/>
  <c r="R7" i="7" s="1"/>
  <c r="N6" i="7"/>
  <c r="O6" i="7" s="1"/>
  <c r="N7" i="7"/>
  <c r="O7" i="7"/>
  <c r="U7" i="7"/>
  <c r="R6" i="7"/>
  <c r="Z7" i="7"/>
  <c r="AD7" i="7"/>
  <c r="AC7" i="7"/>
  <c r="AB6" i="7"/>
  <c r="AA6" i="7"/>
  <c r="AB7" i="7"/>
  <c r="Y7" i="7"/>
  <c r="Y6" i="7"/>
  <c r="AD6" i="7"/>
  <c r="AC6" i="7"/>
  <c r="Z6" i="7"/>
  <c r="AA7" i="7"/>
</calcChain>
</file>

<file path=xl/comments1.xml><?xml version="1.0" encoding="utf-8"?>
<comments xmlns="http://schemas.openxmlformats.org/spreadsheetml/2006/main">
  <authors>
    <author>ZANZI MADDALENA</author>
  </authors>
  <commentList>
    <comment ref="D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ZANZI MADDALENA</author>
  </authors>
  <commentList>
    <comment ref="L8" authorId="0">
      <text>
        <r>
          <rPr>
            <b/>
            <sz val="9"/>
            <color indexed="81"/>
            <rFont val="Tahoma"/>
            <family val="2"/>
          </rPr>
          <t>Bisogna usare swapindex invece che makeOIS poerché MakeOIS non accetta il settlement di 1 giorno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<sst xmlns="http://schemas.openxmlformats.org/spreadsheetml/2006/main" count="545" uniqueCount="105">
  <si>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</si>
  <si>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</si>
  <si>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</si>
  <si>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</si>
  <si>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</si>
  <si>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</si>
  <si>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</si>
  <si>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</si>
  <si>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</si>
  <si>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</si>
  <si>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</si>
  <si>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</si>
  <si>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</si>
  <si>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</si>
  <si>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</si>
  <si>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</si>
  <si>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SW</t>
  </si>
  <si>
    <t>2W</t>
  </si>
  <si>
    <t>3W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</si>
  <si>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</si>
  <si>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</si>
  <si>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</si>
  <si>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</si>
  <si>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</si>
  <si>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</si>
  <si>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</si>
  <si>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</si>
  <si>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</si>
  <si>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</si>
  <si>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</si>
  <si>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</si>
  <si>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</si>
  <si>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</si>
  <si>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</si>
  <si>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</si>
  <si>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</si>
  <si>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</si>
  <si>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</si>
  <si>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</si>
  <si>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</si>
  <si>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IborIndex</t>
  </si>
  <si>
    <t>FixedLegTenor</t>
  </si>
  <si>
    <t>FixedLegDayCounter</t>
  </si>
  <si>
    <t>Actual/365 (Fixed)</t>
  </si>
  <si>
    <t>Pricing</t>
  </si>
  <si>
    <t>MaturityDate</t>
  </si>
  <si>
    <t>SwapIndex</t>
  </si>
  <si>
    <t>InstrumentType</t>
  </si>
  <si>
    <t>OND</t>
  </si>
  <si>
    <t>SWD</t>
  </si>
  <si>
    <t>2WD</t>
  </si>
  <si>
    <t>3WD</t>
  </si>
  <si>
    <t>1MD</t>
  </si>
  <si>
    <t>2MD</t>
  </si>
  <si>
    <t>3MD</t>
  </si>
  <si>
    <t>4MD</t>
  </si>
  <si>
    <t>5MD</t>
  </si>
  <si>
    <t>6MD</t>
  </si>
  <si>
    <t>9MD</t>
  </si>
  <si>
    <t>OIS</t>
  </si>
  <si>
    <t>Modified Following</t>
  </si>
  <si>
    <t>InterpolationType</t>
  </si>
  <si>
    <t>MonotonicCubicNaturalSpline</t>
  </si>
  <si>
    <t>FixingDate</t>
  </si>
  <si>
    <t>Swap</t>
  </si>
  <si>
    <t>SynthDepo</t>
  </si>
  <si>
    <t>RIC</t>
  </si>
  <si>
    <t>18M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</si>
  <si>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</si>
  <si>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</si>
  <si>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</si>
  <si>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</si>
  <si>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</si>
  <si>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</si>
  <si>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</si>
  <si>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</si>
  <si>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</si>
  <si>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</si>
  <si>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</si>
  <si>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</si>
  <si>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</si>
  <si>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</si>
  <si>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AUD</t>
  </si>
  <si>
    <t>Australia</t>
  </si>
  <si>
    <t>Future</t>
  </si>
  <si>
    <t>PILLAR</t>
  </si>
  <si>
    <t>DiscountingCurve</t>
  </si>
  <si>
    <t>BDayConvention</t>
  </si>
  <si>
    <t>DayCounter</t>
  </si>
  <si>
    <t>AONIA</t>
  </si>
  <si>
    <t>Contribution</t>
  </si>
  <si>
    <t>DEPOSIT</t>
  </si>
  <si>
    <t>FUTURE</t>
  </si>
  <si>
    <t>SWAP</t>
  </si>
  <si>
    <t>EndOfMonth</t>
  </si>
  <si>
    <t>TND</t>
  </si>
  <si>
    <t>SND</t>
  </si>
  <si>
    <t>TN</t>
  </si>
  <si>
    <t>SN</t>
  </si>
  <si>
    <t>DepoIndex</t>
  </si>
  <si>
    <t>Interpolation</t>
  </si>
  <si>
    <t>Extrapolated</t>
  </si>
  <si>
    <t>SyntheticQuotesTrigger</t>
  </si>
  <si>
    <t>1W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</si>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</sst>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ddd\,\ d\-mmm\-yyyy"/>
    <numFmt numFmtId="165" formatCode="ddd\,\ dd\-mmm\-yyyy"/>
    <numFmt numFmtId="166" formatCode="General_)"/>
    <numFmt numFmtId="167" formatCode="#,##0.0;#,##0.0"/>
    <numFmt numFmtId="168" formatCode="&quot;£&quot;#,##0;[Red]\-&quot;£&quot;#,##0"/>
    <numFmt numFmtId="169" formatCode="0.0000%"/>
    <numFmt numFmtId="170" formatCode="0.0000"/>
    <numFmt numFmtId="171" formatCode="dd\-mmm\-yy"/>
    <numFmt numFmtId="172" formatCode="0.000000000000000000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</fonts>
  <fills count="10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5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6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7" fontId="8" fillId="6" borderId="0">
      <alignment horizontal="center" vertical="center"/>
    </xf>
    <xf numFmtId="168" fontId="6" fillId="0" borderId="0" applyFont="0" applyFill="0" applyBorder="0" applyAlignment="0" applyProtection="0"/>
    <xf numFmtId="168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9" borderId="0" applyNumberFormat="0" applyBorder="0" applyAlignment="0" applyProtection="0"/>
  </cellStyleXfs>
  <cellXfs count="174">
    <xf numFmtId="0" fontId="0" fillId="0" borderId="0" xfId="0"/>
    <xf numFmtId="0" fontId="10" fillId="0" borderId="0" xfId="0" applyFont="1"/>
    <xf numFmtId="0" fontId="10" fillId="7" borderId="0" xfId="0" applyFont="1" applyFill="1"/>
    <xf numFmtId="0" fontId="10" fillId="7" borderId="0" xfId="0" applyFont="1" applyFill="1" applyAlignment="1">
      <alignment horizontal="center"/>
    </xf>
    <xf numFmtId="0" fontId="10" fillId="7" borderId="0" xfId="0" applyFont="1" applyFill="1" applyBorder="1" applyAlignment="1">
      <alignment horizontal="center"/>
    </xf>
    <xf numFmtId="0" fontId="10" fillId="0" borderId="0" xfId="0" applyFont="1" applyAlignment="1">
      <alignment horizontal="center"/>
    </xf>
    <xf numFmtId="0" fontId="10" fillId="7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7" borderId="0" xfId="0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Fill="1"/>
    <xf numFmtId="0" fontId="11" fillId="8" borderId="1" xfId="0" applyFont="1" applyFill="1" applyBorder="1" applyAlignment="1">
      <alignment horizontal="centerContinuous" vertical="center"/>
    </xf>
    <xf numFmtId="0" fontId="10" fillId="0" borderId="18" xfId="0" applyFont="1" applyFill="1" applyBorder="1" applyAlignment="1">
      <alignment horizontal="right"/>
    </xf>
    <xf numFmtId="170" fontId="10" fillId="0" borderId="18" xfId="0" applyNumberFormat="1" applyFont="1" applyFill="1" applyBorder="1" applyAlignment="1">
      <alignment horizontal="center"/>
    </xf>
    <xf numFmtId="0" fontId="10" fillId="0" borderId="17" xfId="0" applyFont="1" applyFill="1" applyBorder="1" applyAlignment="1">
      <alignment horizontal="right"/>
    </xf>
    <xf numFmtId="170" fontId="10" fillId="0" borderId="17" xfId="0" applyNumberFormat="1" applyFont="1" applyFill="1" applyBorder="1" applyAlignment="1">
      <alignment horizontal="center"/>
    </xf>
    <xf numFmtId="0" fontId="10" fillId="0" borderId="19" xfId="0" applyFont="1" applyFill="1" applyBorder="1" applyAlignment="1">
      <alignment horizontal="right"/>
    </xf>
    <xf numFmtId="170" fontId="10" fillId="0" borderId="19" xfId="0" applyNumberFormat="1" applyFont="1" applyFill="1" applyBorder="1" applyAlignment="1">
      <alignment horizontal="center"/>
    </xf>
    <xf numFmtId="0" fontId="10" fillId="0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left"/>
    </xf>
    <xf numFmtId="0" fontId="10" fillId="0" borderId="17" xfId="0" applyFont="1" applyFill="1" applyBorder="1" applyAlignment="1">
      <alignment horizontal="left"/>
    </xf>
    <xf numFmtId="0" fontId="10" fillId="0" borderId="19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/>
    </xf>
    <xf numFmtId="0" fontId="3" fillId="5" borderId="1" xfId="0" applyFont="1" applyFill="1" applyBorder="1" applyAlignment="1" applyProtection="1">
      <alignment horizontal="center" vertical="center"/>
      <protection locked="0"/>
    </xf>
    <xf numFmtId="0" fontId="2" fillId="8" borderId="1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left" vertical="center"/>
    </xf>
    <xf numFmtId="0" fontId="10" fillId="0" borderId="17" xfId="0" applyFont="1" applyFill="1" applyBorder="1" applyAlignment="1">
      <alignment horizontal="left" vertical="center"/>
    </xf>
    <xf numFmtId="0" fontId="10" fillId="0" borderId="17" xfId="0" applyFont="1" applyFill="1" applyBorder="1" applyAlignment="1">
      <alignment horizontal="center" vertical="center"/>
    </xf>
    <xf numFmtId="0" fontId="10" fillId="0" borderId="19" xfId="0" applyFont="1" applyFill="1" applyBorder="1" applyAlignment="1">
      <alignment horizontal="left" vertical="center"/>
    </xf>
    <xf numFmtId="0" fontId="10" fillId="0" borderId="19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Continuous" vertical="center"/>
    </xf>
    <xf numFmtId="0" fontId="10" fillId="7" borderId="0" xfId="0" applyFont="1" applyFill="1" applyAlignment="1">
      <alignment vertical="center"/>
    </xf>
    <xf numFmtId="0" fontId="11" fillId="8" borderId="1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10" fillId="5" borderId="0" xfId="0" applyFont="1" applyFill="1"/>
    <xf numFmtId="169" fontId="10" fillId="0" borderId="17" xfId="13" applyNumberFormat="1" applyFont="1" applyFill="1" applyBorder="1" applyAlignment="1">
      <alignment horizontal="right" vertical="center"/>
    </xf>
    <xf numFmtId="169" fontId="10" fillId="0" borderId="18" xfId="13" applyNumberFormat="1" applyFont="1" applyFill="1" applyBorder="1" applyAlignment="1">
      <alignment horizontal="right" vertical="center"/>
    </xf>
    <xf numFmtId="169" fontId="10" fillId="0" borderId="19" xfId="13" applyNumberFormat="1" applyFont="1" applyFill="1" applyBorder="1" applyAlignment="1">
      <alignment horizontal="right" vertical="center"/>
    </xf>
    <xf numFmtId="0" fontId="10" fillId="7" borderId="0" xfId="0" applyFont="1" applyFill="1" applyBorder="1"/>
    <xf numFmtId="0" fontId="10" fillId="7" borderId="0" xfId="0" applyFont="1" applyFill="1" applyBorder="1" applyAlignment="1">
      <alignment vertical="center"/>
    </xf>
    <xf numFmtId="0" fontId="3" fillId="5" borderId="1" xfId="14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/>
    </xf>
    <xf numFmtId="165" fontId="10" fillId="0" borderId="18" xfId="0" applyNumberFormat="1" applyFont="1" applyFill="1" applyBorder="1" applyAlignment="1">
      <alignment horizontal="left" vertical="center"/>
    </xf>
    <xf numFmtId="169" fontId="10" fillId="0" borderId="18" xfId="13" applyNumberFormat="1" applyFont="1" applyFill="1" applyBorder="1" applyAlignment="1">
      <alignment horizontal="left" vertical="center"/>
    </xf>
    <xf numFmtId="169" fontId="10" fillId="0" borderId="17" xfId="13" applyNumberFormat="1" applyFont="1" applyFill="1" applyBorder="1" applyAlignment="1">
      <alignment horizontal="left" vertical="center"/>
    </xf>
    <xf numFmtId="165" fontId="10" fillId="0" borderId="17" xfId="0" applyNumberFormat="1" applyFont="1" applyFill="1" applyBorder="1" applyAlignment="1">
      <alignment horizontal="left" vertical="center"/>
    </xf>
    <xf numFmtId="165" fontId="10" fillId="0" borderId="19" xfId="0" applyNumberFormat="1" applyFont="1" applyFill="1" applyBorder="1" applyAlignment="1">
      <alignment horizontal="left" vertical="center"/>
    </xf>
    <xf numFmtId="169" fontId="10" fillId="0" borderId="19" xfId="13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169" fontId="3" fillId="0" borderId="18" xfId="13" applyNumberFormat="1" applyFont="1" applyFill="1" applyBorder="1" applyAlignment="1">
      <alignment horizontal="left" vertical="center"/>
    </xf>
    <xf numFmtId="169" fontId="3" fillId="0" borderId="18" xfId="13" applyNumberFormat="1" applyFont="1" applyFill="1" applyBorder="1" applyAlignment="1">
      <alignment horizontal="right" vertical="center"/>
    </xf>
    <xf numFmtId="169" fontId="12" fillId="0" borderId="18" xfId="13" applyNumberFormat="1" applyFont="1" applyFill="1" applyBorder="1" applyAlignment="1">
      <alignment horizontal="right" vertical="center"/>
    </xf>
    <xf numFmtId="169" fontId="3" fillId="0" borderId="17" xfId="13" applyNumberFormat="1" applyFont="1" applyFill="1" applyBorder="1" applyAlignment="1">
      <alignment horizontal="right" vertical="center"/>
    </xf>
    <xf numFmtId="0" fontId="10" fillId="0" borderId="15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7" borderId="13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right" vertical="center"/>
    </xf>
    <xf numFmtId="0" fontId="10" fillId="7" borderId="17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 vertical="center"/>
    </xf>
    <xf numFmtId="0" fontId="14" fillId="7" borderId="0" xfId="0" applyFont="1" applyFill="1"/>
    <xf numFmtId="0" fontId="15" fillId="8" borderId="7" xfId="0" applyFont="1" applyFill="1" applyBorder="1" applyAlignment="1">
      <alignment horizontal="centerContinuous"/>
    </xf>
    <xf numFmtId="0" fontId="14" fillId="0" borderId="0" xfId="0" applyFont="1" applyFill="1"/>
    <xf numFmtId="0" fontId="3" fillId="4" borderId="8" xfId="0" applyFont="1" applyFill="1" applyBorder="1"/>
    <xf numFmtId="0" fontId="3" fillId="4" borderId="0" xfId="0" applyFont="1" applyFill="1" applyBorder="1"/>
    <xf numFmtId="0" fontId="3" fillId="4" borderId="2" xfId="0" applyFont="1" applyFill="1" applyBorder="1"/>
    <xf numFmtId="165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 applyProtection="1">
      <alignment horizontal="center"/>
      <protection locked="0"/>
    </xf>
    <xf numFmtId="0" fontId="3" fillId="4" borderId="9" xfId="0" applyFont="1" applyFill="1" applyBorder="1"/>
    <xf numFmtId="0" fontId="3" fillId="4" borderId="3" xfId="0" applyFont="1" applyFill="1" applyBorder="1"/>
    <xf numFmtId="0" fontId="3" fillId="4" borderId="4" xfId="0" applyFont="1" applyFill="1" applyBorder="1"/>
    <xf numFmtId="164" fontId="3" fillId="0" borderId="1" xfId="0" applyNumberFormat="1" applyFont="1" applyBorder="1" applyAlignment="1" applyProtection="1">
      <alignment horizontal="center"/>
      <protection locked="0"/>
    </xf>
    <xf numFmtId="0" fontId="3" fillId="0" borderId="1" xfId="0" applyNumberFormat="1" applyFont="1" applyBorder="1" applyAlignment="1" applyProtection="1">
      <alignment horizontal="center"/>
      <protection locked="0"/>
    </xf>
    <xf numFmtId="0" fontId="3" fillId="0" borderId="1" xfId="0" applyNumberFormat="1" applyFont="1" applyBorder="1" applyAlignment="1">
      <alignment horizontal="center"/>
    </xf>
    <xf numFmtId="165" fontId="3" fillId="0" borderId="1" xfId="0" applyNumberFormat="1" applyFont="1" applyBorder="1" applyAlignment="1" applyProtection="1">
      <alignment horizontal="center"/>
      <protection locked="0"/>
    </xf>
    <xf numFmtId="0" fontId="16" fillId="8" borderId="5" xfId="0" applyFont="1" applyFill="1" applyBorder="1" applyAlignment="1">
      <alignment horizontal="centerContinuous"/>
    </xf>
    <xf numFmtId="0" fontId="16" fillId="8" borderId="6" xfId="0" applyFont="1" applyFill="1" applyBorder="1" applyAlignment="1">
      <alignment horizontal="centerContinuous"/>
    </xf>
    <xf numFmtId="0" fontId="16" fillId="8" borderId="7" xfId="0" applyFont="1" applyFill="1" applyBorder="1" applyAlignment="1">
      <alignment horizontal="centerContinuous"/>
    </xf>
    <xf numFmtId="0" fontId="3" fillId="3" borderId="1" xfId="0" applyFont="1" applyFill="1" applyBorder="1"/>
    <xf numFmtId="0" fontId="3" fillId="3" borderId="1" xfId="0" applyFont="1" applyFill="1" applyBorder="1" applyProtection="1"/>
    <xf numFmtId="14" fontId="10" fillId="7" borderId="0" xfId="0" applyNumberFormat="1" applyFont="1" applyFill="1"/>
    <xf numFmtId="0" fontId="10" fillId="7" borderId="0" xfId="0" applyFont="1" applyFill="1" applyBorder="1" applyAlignment="1">
      <alignment horizontal="center"/>
    </xf>
    <xf numFmtId="0" fontId="10" fillId="7" borderId="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18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center" vertical="center"/>
    </xf>
    <xf numFmtId="0" fontId="10" fillId="7" borderId="0" xfId="0" applyFont="1" applyFill="1" applyBorder="1" applyAlignment="1">
      <alignment horizontal="center" vertical="center"/>
    </xf>
    <xf numFmtId="0" fontId="10" fillId="7" borderId="14" xfId="0" applyFont="1" applyFill="1" applyBorder="1" applyAlignment="1">
      <alignment horizontal="center"/>
    </xf>
    <xf numFmtId="0" fontId="10" fillId="0" borderId="1" xfId="0" applyFont="1" applyBorder="1"/>
    <xf numFmtId="172" fontId="10" fillId="7" borderId="0" xfId="0" applyNumberFormat="1" applyFont="1" applyFill="1" applyAlignment="1">
      <alignment horizontal="center" vertical="center"/>
    </xf>
    <xf numFmtId="0" fontId="11" fillId="0" borderId="1" xfId="0" applyFont="1" applyFill="1" applyBorder="1" applyAlignment="1">
      <alignment horizontal="center" vertical="center"/>
    </xf>
    <xf numFmtId="0" fontId="10" fillId="0" borderId="12" xfId="0" applyFont="1" applyFill="1" applyBorder="1" applyAlignment="1">
      <alignment horizontal="left"/>
    </xf>
    <xf numFmtId="0" fontId="10" fillId="0" borderId="14" xfId="0" applyFont="1" applyFill="1" applyBorder="1" applyAlignment="1">
      <alignment horizontal="left"/>
    </xf>
    <xf numFmtId="0" fontId="10" fillId="7" borderId="17" xfId="0" applyFont="1" applyFill="1" applyBorder="1"/>
    <xf numFmtId="0" fontId="10" fillId="0" borderId="0" xfId="0" applyFont="1" applyBorder="1"/>
    <xf numFmtId="0" fontId="10" fillId="0" borderId="11" xfId="0" applyFont="1" applyBorder="1"/>
    <xf numFmtId="0" fontId="10" fillId="0" borderId="18" xfId="0" applyFont="1" applyBorder="1"/>
    <xf numFmtId="0" fontId="10" fillId="0" borderId="18" xfId="0" applyFont="1" applyBorder="1" applyAlignment="1">
      <alignment horizontal="center"/>
    </xf>
    <xf numFmtId="0" fontId="10" fillId="0" borderId="17" xfId="0" applyFont="1" applyBorder="1"/>
    <xf numFmtId="0" fontId="10" fillId="0" borderId="17" xfId="0" applyFont="1" applyBorder="1" applyAlignment="1">
      <alignment horizontal="center"/>
    </xf>
    <xf numFmtId="0" fontId="10" fillId="0" borderId="19" xfId="0" applyFont="1" applyBorder="1"/>
    <xf numFmtId="0" fontId="10" fillId="0" borderId="19" xfId="0" applyFont="1" applyBorder="1" applyAlignment="1">
      <alignment horizontal="center"/>
    </xf>
    <xf numFmtId="0" fontId="10" fillId="0" borderId="18" xfId="0" applyFont="1" applyFill="1" applyBorder="1"/>
    <xf numFmtId="0" fontId="10" fillId="0" borderId="17" xfId="0" applyFont="1" applyFill="1" applyBorder="1"/>
    <xf numFmtId="0" fontId="10" fillId="0" borderId="19" xfId="0" applyFont="1" applyFill="1" applyBorder="1"/>
    <xf numFmtId="170" fontId="10" fillId="0" borderId="18" xfId="13" applyNumberFormat="1" applyFont="1" applyFill="1" applyBorder="1" applyAlignment="1">
      <alignment horizontal="left" vertical="center"/>
    </xf>
    <xf numFmtId="170" fontId="10" fillId="0" borderId="17" xfId="13" applyNumberFormat="1" applyFont="1" applyFill="1" applyBorder="1" applyAlignment="1">
      <alignment horizontal="left" vertical="center"/>
    </xf>
    <xf numFmtId="170" fontId="10" fillId="0" borderId="19" xfId="13" applyNumberFormat="1" applyFont="1" applyFill="1" applyBorder="1" applyAlignment="1">
      <alignment horizontal="left" vertical="center"/>
    </xf>
    <xf numFmtId="0" fontId="11" fillId="2" borderId="10" xfId="0" applyFont="1" applyFill="1" applyBorder="1" applyAlignment="1">
      <alignment horizontal="centerContinuous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0" borderId="23" xfId="0" applyFont="1" applyFill="1" applyBorder="1"/>
    <xf numFmtId="0" fontId="10" fillId="0" borderId="21" xfId="0" applyFont="1" applyFill="1" applyBorder="1"/>
    <xf numFmtId="0" fontId="10" fillId="0" borderId="22" xfId="0" applyFont="1" applyFill="1" applyBorder="1"/>
    <xf numFmtId="0" fontId="2" fillId="7" borderId="0" xfId="0" applyFont="1" applyFill="1" applyBorder="1" applyAlignment="1" applyProtection="1">
      <alignment vertical="center"/>
    </xf>
    <xf numFmtId="0" fontId="3" fillId="7" borderId="13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171" fontId="10" fillId="7" borderId="0" xfId="0" applyNumberFormat="1" applyFont="1" applyFill="1"/>
    <xf numFmtId="0" fontId="3" fillId="0" borderId="18" xfId="0" applyFont="1" applyFill="1" applyBorder="1" applyAlignment="1">
      <alignment horizontal="right"/>
    </xf>
    <xf numFmtId="170" fontId="3" fillId="0" borderId="18" xfId="0" applyNumberFormat="1" applyFont="1" applyFill="1" applyBorder="1" applyAlignment="1"/>
    <xf numFmtId="170" fontId="3" fillId="0" borderId="18" xfId="0" applyNumberFormat="1" applyFont="1" applyFill="1" applyBorder="1" applyAlignment="1">
      <alignment horizontal="center"/>
    </xf>
    <xf numFmtId="0" fontId="3" fillId="0" borderId="17" xfId="0" applyFont="1" applyFill="1" applyBorder="1" applyAlignment="1">
      <alignment horizontal="right"/>
    </xf>
    <xf numFmtId="170" fontId="3" fillId="0" borderId="17" xfId="0" applyNumberFormat="1" applyFont="1" applyFill="1" applyBorder="1" applyAlignment="1"/>
    <xf numFmtId="170" fontId="3" fillId="0" borderId="17" xfId="0" applyNumberFormat="1" applyFont="1" applyFill="1" applyBorder="1" applyAlignment="1">
      <alignment horizontal="center"/>
    </xf>
    <xf numFmtId="0" fontId="3" fillId="0" borderId="17" xfId="0" applyFont="1" applyBorder="1" applyAlignment="1">
      <alignment horizontal="right"/>
    </xf>
    <xf numFmtId="0" fontId="3" fillId="0" borderId="17" xfId="0" applyFont="1" applyBorder="1" applyAlignment="1"/>
    <xf numFmtId="0" fontId="3" fillId="0" borderId="17" xfId="0" applyFont="1" applyBorder="1" applyAlignment="1">
      <alignment horizontal="center"/>
    </xf>
    <xf numFmtId="0" fontId="3" fillId="0" borderId="19" xfId="0" applyFont="1" applyBorder="1" applyAlignment="1">
      <alignment horizontal="right"/>
    </xf>
    <xf numFmtId="0" fontId="3" fillId="0" borderId="19" xfId="0" applyFont="1" applyBorder="1" applyAlignment="1"/>
    <xf numFmtId="0" fontId="3" fillId="0" borderId="19" xfId="0" applyFont="1" applyBorder="1"/>
    <xf numFmtId="0" fontId="3" fillId="0" borderId="18" xfId="0" applyFont="1" applyBorder="1" applyAlignment="1">
      <alignment horizontal="right"/>
    </xf>
    <xf numFmtId="0" fontId="3" fillId="0" borderId="18" xfId="0" applyFont="1" applyBorder="1" applyAlignment="1"/>
    <xf numFmtId="0" fontId="3" fillId="0" borderId="1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19" xfId="0" applyFont="1" applyFill="1" applyBorder="1" applyAlignment="1">
      <alignment horizontal="right"/>
    </xf>
    <xf numFmtId="170" fontId="3" fillId="0" borderId="19" xfId="0" applyNumberFormat="1" applyFont="1" applyFill="1" applyBorder="1" applyAlignment="1"/>
    <xf numFmtId="170" fontId="3" fillId="0" borderId="19" xfId="0" applyNumberFormat="1" applyFont="1" applyFill="1" applyBorder="1" applyAlignment="1">
      <alignment horizontal="center"/>
    </xf>
    <xf numFmtId="0" fontId="10" fillId="2" borderId="1" xfId="0" applyFont="1" applyFill="1" applyBorder="1"/>
    <xf numFmtId="0" fontId="3" fillId="0" borderId="23" xfId="0" applyFont="1" applyFill="1" applyBorder="1" applyAlignment="1">
      <alignment horizontal="left"/>
    </xf>
    <xf numFmtId="0" fontId="3" fillId="0" borderId="21" xfId="0" applyFont="1" applyFill="1" applyBorder="1" applyAlignment="1">
      <alignment horizontal="left"/>
    </xf>
    <xf numFmtId="0" fontId="3" fillId="0" borderId="22" xfId="0" applyFont="1" applyFill="1" applyBorder="1" applyAlignment="1">
      <alignment horizontal="left"/>
    </xf>
    <xf numFmtId="0" fontId="3" fillId="0" borderId="12" xfId="0" applyFont="1" applyFill="1" applyBorder="1"/>
    <xf numFmtId="0" fontId="3" fillId="0" borderId="14" xfId="0" applyFont="1" applyFill="1" applyBorder="1"/>
    <xf numFmtId="0" fontId="3" fillId="0" borderId="15" xfId="0" applyFont="1" applyFill="1" applyBorder="1"/>
    <xf numFmtId="0" fontId="10" fillId="0" borderId="15" xfId="0" applyFont="1" applyFill="1" applyBorder="1" applyAlignment="1">
      <alignment horizontal="left"/>
    </xf>
    <xf numFmtId="0" fontId="10" fillId="0" borderId="0" xfId="0" applyFont="1" applyFill="1" applyAlignment="1">
      <alignment horizontal="center" vertical="center"/>
    </xf>
    <xf numFmtId="0" fontId="10" fillId="0" borderId="0" xfId="0" applyFont="1" applyFill="1" applyAlignment="1">
      <alignment horizontal="right" vertical="center"/>
    </xf>
    <xf numFmtId="0" fontId="10" fillId="0" borderId="0" xfId="0" applyFont="1" applyFill="1" applyAlignment="1">
      <alignment horizontal="center"/>
    </xf>
    <xf numFmtId="169" fontId="3" fillId="0" borderId="17" xfId="13" applyNumberFormat="1" applyFont="1" applyFill="1" applyBorder="1" applyAlignment="1">
      <alignment horizontal="left" vertical="center"/>
    </xf>
    <xf numFmtId="169" fontId="12" fillId="0" borderId="17" xfId="13" applyNumberFormat="1" applyFont="1" applyFill="1" applyBorder="1" applyAlignment="1">
      <alignment horizontal="right" vertical="center"/>
    </xf>
    <xf numFmtId="169" fontId="12" fillId="0" borderId="19" xfId="13" applyNumberFormat="1" applyFont="1" applyFill="1" applyBorder="1" applyAlignment="1">
      <alignment horizontal="right" vertical="center"/>
    </xf>
    <xf numFmtId="0" fontId="12" fillId="0" borderId="17" xfId="0" applyFont="1" applyFill="1" applyBorder="1" applyAlignment="1">
      <alignment horizontal="left" vertical="center"/>
    </xf>
    <xf numFmtId="165" fontId="12" fillId="0" borderId="17" xfId="0" applyNumberFormat="1" applyFont="1" applyFill="1" applyBorder="1" applyAlignment="1">
      <alignment horizontal="left" vertical="center"/>
    </xf>
    <xf numFmtId="169" fontId="12" fillId="0" borderId="17" xfId="13" applyNumberFormat="1" applyFont="1" applyFill="1" applyBorder="1" applyAlignment="1">
      <alignment horizontal="left" vertical="center"/>
    </xf>
    <xf numFmtId="0" fontId="12" fillId="0" borderId="19" xfId="0" applyFont="1" applyFill="1" applyBorder="1" applyAlignment="1">
      <alignment horizontal="left" vertical="center"/>
    </xf>
    <xf numFmtId="165" fontId="12" fillId="0" borderId="19" xfId="0" applyNumberFormat="1" applyFont="1" applyFill="1" applyBorder="1" applyAlignment="1">
      <alignment horizontal="left" vertical="center"/>
    </xf>
    <xf numFmtId="169" fontId="12" fillId="0" borderId="19" xfId="13" applyNumberFormat="1" applyFont="1" applyFill="1" applyBorder="1" applyAlignment="1">
      <alignment horizontal="left" vertical="center"/>
    </xf>
    <xf numFmtId="0" fontId="3" fillId="0" borderId="18" xfId="0" applyFont="1" applyFill="1" applyBorder="1" applyAlignment="1">
      <alignment horizontal="left" vertical="center"/>
    </xf>
    <xf numFmtId="165" fontId="3" fillId="0" borderId="18" xfId="0" applyNumberFormat="1" applyFont="1" applyFill="1" applyBorder="1" applyAlignment="1">
      <alignment horizontal="left" vertical="center"/>
    </xf>
    <xf numFmtId="0" fontId="12" fillId="0" borderId="17" xfId="0" applyFont="1" applyFill="1" applyBorder="1" applyAlignment="1">
      <alignment horizontal="left"/>
    </xf>
    <xf numFmtId="0" fontId="12" fillId="0" borderId="19" xfId="0" applyFont="1" applyFill="1" applyBorder="1" applyAlignment="1">
      <alignment horizontal="left"/>
    </xf>
    <xf numFmtId="0" fontId="11" fillId="8" borderId="20" xfId="0" applyFont="1" applyFill="1" applyBorder="1" applyAlignment="1">
      <alignment horizontal="centerContinuous" vertical="center"/>
    </xf>
    <xf numFmtId="0" fontId="11" fillId="8" borderId="16" xfId="0" applyFont="1" applyFill="1" applyBorder="1" applyAlignment="1">
      <alignment horizontal="centerContinuous" vertical="center"/>
    </xf>
    <xf numFmtId="165" fontId="10" fillId="7" borderId="0" xfId="0" applyNumberFormat="1" applyFont="1" applyFill="1"/>
    <xf numFmtId="0" fontId="10" fillId="2" borderId="18" xfId="0" applyFont="1" applyFill="1" applyBorder="1" applyAlignment="1">
      <alignment horizontal="center" vertical="center" textRotation="255"/>
    </xf>
    <xf numFmtId="0" fontId="10" fillId="2" borderId="17" xfId="0" applyFont="1" applyFill="1" applyBorder="1" applyAlignment="1">
      <alignment horizontal="center" vertical="center" textRotation="255"/>
    </xf>
    <xf numFmtId="0" fontId="10" fillId="2" borderId="19" xfId="0" applyFont="1" applyFill="1" applyBorder="1" applyAlignment="1">
      <alignment horizontal="center" vertical="center" textRotation="255"/>
    </xf>
    <xf numFmtId="171" fontId="10" fillId="2" borderId="18" xfId="0" applyNumberFormat="1" applyFont="1" applyFill="1" applyBorder="1" applyAlignment="1">
      <alignment horizontal="center" vertical="center" textRotation="255"/>
    </xf>
    <xf numFmtId="171" fontId="10" fillId="2" borderId="17" xfId="0" applyNumberFormat="1" applyFont="1" applyFill="1" applyBorder="1" applyAlignment="1">
      <alignment horizontal="center" vertical="center" textRotation="255"/>
    </xf>
    <xf numFmtId="171" fontId="10" fillId="2" borderId="19" xfId="0" applyNumberFormat="1" applyFont="1" applyFill="1" applyBorder="1" applyAlignment="1">
      <alignment horizontal="center" vertical="center" textRotation="255"/>
    </xf>
  </cellXfs>
  <cellStyles count="15">
    <cellStyle name="Bad" xfId="14" builtinId="27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2"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1.999822655</v>
        <stp/>
        <stp xml:space="preserve">	AUDON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7" s="7"/>
      </tp>
      <tp>
        <v>2.0000000029999998</v>
        <stp/>
        <stp xml:space="preserve">	AUDON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9" s="7"/>
      </tp>
      <tp>
        <v>1.999822655</v>
        <stp/>
        <stp xml:space="preserve">	AUDON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8" s="7"/>
      </tp>
      <tp>
        <v>1.9998364130000001</v>
        <stp/>
        <stp xml:space="preserve">	AUDON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6" s="7"/>
      </tp>
      <tp>
        <v>2.4</v>
        <stp/>
        <stp xml:space="preserve">	AUDON6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5" s="7"/>
      </tp>
      <tp>
        <v>1.9449999999999998</v>
        <stp/>
        <stp xml:space="preserve">	AUDON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7" s="7"/>
      </tp>
      <tp>
        <v>2.52</v>
        <stp/>
        <stp xml:space="preserve">	AUDON7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6" s="7"/>
      </tp>
      <tp>
        <v>2.1480000000000001</v>
        <stp/>
        <stp xml:space="preserve">	AUDON4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3" s="7"/>
      </tp>
      <tp>
        <v>1.9685000000000001</v>
        <stp/>
        <stp xml:space="preserve">	AUDON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5" s="7"/>
      </tp>
      <tp>
        <v>2.278</v>
        <stp/>
        <stp xml:space="preserve">	AUDON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4" s="7"/>
      </tp>
      <tp>
        <v>1.9550000000000001</v>
        <stp/>
        <stp xml:space="preserve">	AUDON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6" s="7"/>
      </tp>
      <tp>
        <v>1.94</v>
        <stp/>
        <stp xml:space="preserve">	AUDON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1" s="7"/>
      </tp>
      <tp>
        <v>1.9949999999999999</v>
        <stp/>
        <stp xml:space="preserve">	AUDON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3" s="7"/>
      </tp>
      <tp>
        <v>2.0299999999999998</v>
        <stp/>
        <stp xml:space="preserve">	AUDON3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2" s="7"/>
      </tp>
      <tp>
        <v>1.9810000000000001</v>
        <stp/>
        <stp xml:space="preserve">	AUDON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4" s="7"/>
      </tp>
      <tp>
        <v>1.903</v>
        <stp/>
        <stp xml:space="preserve">	AUDON1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29" s="7"/>
      </tp>
      <tp>
        <v>2</v>
        <stp/>
        <stp xml:space="preserve">	AUDON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2" s="7"/>
      </tp>
      <tp>
        <v>2.6029999999999998</v>
        <stp/>
        <stp xml:space="preserve">	AUDON8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7" s="7"/>
      </tp>
      <tp>
        <v>2.6879999999999997</v>
        <stp/>
        <stp xml:space="preserve">	AUDON9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8" s="7"/>
      </tp>
      <tp>
        <v>1.915</v>
        <stp/>
        <stp xml:space="preserve">	AUDON9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18" s="7"/>
      </tp>
      <tp>
        <v>1.9</v>
        <stp/>
        <stp xml:space="preserve">
AUDON18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0" s="7"/>
      </tp>
      <tp>
        <v>1.9</v>
        <stp/>
        <stp xml:space="preserve">
AUDON18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0" s="7"/>
      </tp>
    </main>
    <main first="pldatasource.rtgetrtdserver">
      <tp>
        <v>3.2450000000000001</v>
        <stp/>
        <stp xml:space="preserve">
AUDON30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4" s="7"/>
      </tp>
      <tp>
        <v>3.2149999999999999</v>
        <stp/>
        <stp xml:space="preserve">
AUDON20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2" s="7"/>
      </tp>
      <tp>
        <v>3.2650000000000001</v>
        <stp/>
        <stp xml:space="preserve">
AUDON25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3" s="7"/>
      </tp>
      <tp>
        <v>2.77</v>
        <stp/>
        <stp xml:space="preserve">
AUDON10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9" s="7"/>
      </tp>
      <tp>
        <v>2.903</v>
        <stp/>
        <stp xml:space="preserve">
AUDON12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0" s="7"/>
      </tp>
      <tp>
        <v>3.0529999999999999</v>
        <stp/>
        <stp xml:space="preserve">
AUDON15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41" s="7"/>
      </tp>
    </main>
    <main first="pldatasource.rtgetrtdserver">
      <tp>
        <v>1.999822655</v>
        <stp/>
        <stp xml:space="preserve">	AUDON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7" s="7"/>
      </tp>
      <tp>
        <v>2.0000000029999998</v>
        <stp/>
        <stp xml:space="preserve">	AUDON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9" s="7"/>
      </tp>
      <tp>
        <v>1.999822655</v>
        <stp/>
        <stp xml:space="preserve">	AUDON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8" s="7"/>
      </tp>
      <tp>
        <v>1.9998364130000001</v>
        <stp/>
        <stp xml:space="preserve">	AUDON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6" s="7"/>
      </tp>
      <tp>
        <v>2.4</v>
        <stp/>
        <stp xml:space="preserve">	AUDON6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5" s="7"/>
      </tp>
      <tp>
        <v>1.9449999999999998</v>
        <stp/>
        <stp xml:space="preserve">	AUDON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7" s="7"/>
      </tp>
      <tp>
        <v>2.52</v>
        <stp/>
        <stp xml:space="preserve">	AUDON7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6" s="7"/>
      </tp>
      <tp>
        <v>2.1480000000000001</v>
        <stp/>
        <stp xml:space="preserve">	AUDON4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3" s="7"/>
      </tp>
      <tp>
        <v>1.9685000000000001</v>
        <stp/>
        <stp xml:space="preserve">	AUDON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5" s="7"/>
      </tp>
      <tp>
        <v>2.278</v>
        <stp/>
        <stp xml:space="preserve">	AUDON5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4" s="7"/>
      </tp>
      <tp>
        <v>1.9550000000000001</v>
        <stp/>
        <stp xml:space="preserve">	AUDON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6" s="7"/>
      </tp>
      <tp>
        <v>1.94</v>
        <stp/>
        <stp xml:space="preserve">	AUDON2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1" s="7"/>
      </tp>
      <tp>
        <v>1.9949999999999999</v>
        <stp/>
        <stp xml:space="preserve">	AUDON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3" s="7"/>
      </tp>
      <tp>
        <v>2.0299999999999998</v>
        <stp/>
        <stp xml:space="preserve">	AUDON3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2" s="7"/>
      </tp>
      <tp>
        <v>1.9810000000000001</v>
        <stp/>
        <stp xml:space="preserve">	AUDON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4" s="7"/>
      </tp>
      <tp>
        <v>1.903</v>
        <stp/>
        <stp xml:space="preserve">	AUDON1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29" s="7"/>
      </tp>
      <tp>
        <v>2</v>
        <stp/>
        <stp xml:space="preserve">	AUDON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2" s="7"/>
      </tp>
      <tp>
        <v>2.6029999999999998</v>
        <stp/>
        <stp xml:space="preserve">	AUDON8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7" s="7"/>
      </tp>
      <tp>
        <v>2.6879999999999997</v>
        <stp/>
        <stp xml:space="preserve">	AUDON9Y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38" s="7"/>
      </tp>
      <tp>
        <v>1.915</v>
        <stp/>
        <stp xml:space="preserve">	AUDON9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W18" s="7"/>
      </tp>
    </main>
    <main first="pldatasource.rtgetrtdserver">
      <tp>
        <v>2.77</v>
        <stp/>
        <stp xml:space="preserve">
AUDON10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39" s="7"/>
      </tp>
      <tp>
        <v>2.903</v>
        <stp/>
        <stp xml:space="preserve">
AUDON12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40" s="7"/>
      </tp>
      <tp>
        <v>3.0529999999999999</v>
        <stp/>
        <stp xml:space="preserve">
AUDON15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41" s="7"/>
      </tp>
      <tp>
        <v>3.2149999999999999</v>
        <stp/>
        <stp xml:space="preserve">
AUDON20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42" s="7"/>
      </tp>
      <tp>
        <v>3.2650000000000001</v>
        <stp/>
        <stp xml:space="preserve">
AUDON25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43" s="7"/>
      </tp>
      <tp>
        <v>3.2450000000000001</v>
        <stp/>
        <stp xml:space="preserve">
AUDON30Y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X44" s="7"/>
      </tp>
    </main>
    <main first="pldatasource.rtgetrtdserver">
      <tp>
        <v>2.4785481950000001</v>
        <stp/>
        <stp xml:space="preserve">	AUD6M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" s="7"/>
      </tp>
      <tp>
        <v>2.4789134750000001</v>
        <stp/>
        <stp xml:space="preserve">	AUD6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>
        <v>2.4786543920000002</v>
        <stp/>
        <stp xml:space="preserve">	AUD6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" s="7"/>
      </tp>
      <tp>
        <v>2.4785258090000002</v>
        <stp/>
        <stp xml:space="preserve">	AUD6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6" s="7"/>
      </tp>
      <tp>
        <v>2.4231991939999999</v>
        <stp/>
        <stp xml:space="preserve">	AUD6M6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>
        <v>2.4474669969999998</v>
        <stp/>
        <stp xml:space="preserve">	AUD6M4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>
        <v>2.433599998</v>
        <stp/>
        <stp xml:space="preserve">	AUD6M5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>
        <v>2.4789132280000001</v>
        <stp/>
        <stp xml:space="preserve">	AUD6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>
        <v>2.4734945609999999</v>
        <stp/>
        <stp xml:space="preserve">	AUD6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>
        <v>2.4788935529999998</v>
        <stp/>
        <stp xml:space="preserve">	AUD6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>
        <v>2.45953322</v>
        <stp/>
        <stp xml:space="preserve">	AUD6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>
        <v>2.4788868559999999</v>
        <stp/>
        <stp xml:space="preserve">	AUD6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>
        <v>3.2509683260000002</v>
        <stp/>
        <stp xml:space="preserve">	AUD1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2" s="7"/>
      </tp>
      <tp>
        <v>3.2978400940000001</v>
        <stp/>
        <stp xml:space="preserve">	AUD1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3" s="7"/>
      </tp>
      <tp>
        <v>3.2793794329999999</v>
        <stp/>
        <stp xml:space="preserve">	AUD1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4" s="7"/>
      </tp>
      <tp>
        <v>2.9448825869999999</v>
        <stp/>
        <stp xml:space="preserve">	AUD1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0" s="7"/>
      </tp>
      <tp>
        <v>2.8139425550000001</v>
        <stp/>
        <stp xml:space="preserve">	AUD1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9" s="7"/>
      </tp>
      <tp>
        <v>3.0905485220000002</v>
        <stp/>
        <stp xml:space="preserve">	AUD1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41" s="7"/>
      </tp>
      <tp>
        <v>2.8159929770000001</v>
        <stp/>
        <stp>_x0008_AUD3M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7" s="7"/>
      </tp>
      <tp>
        <v>2.897034127</v>
        <stp/>
        <stp>_x0008_AUD3M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8" s="7"/>
      </tp>
      <tp>
        <v>2.3882587649999998</v>
        <stp/>
        <stp>_x0008_AUD3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3" s="7"/>
      </tp>
      <tp>
        <v>2.5075393530000003</v>
        <stp/>
        <stp>_x0008_AUD3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4" s="7"/>
      </tp>
      <tp>
        <v>2.622648978</v>
        <stp/>
        <stp>_x0008_AUD3M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5" s="7"/>
      </tp>
      <tp>
        <v>2.7261240249999998</v>
        <stp/>
        <stp>_x0008_AUD3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6" s="7"/>
      </tp>
      <tp>
        <v>2.2149999999999999</v>
        <stp/>
        <stp>_x0008_AUD3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9" s="7"/>
      </tp>
      <tp>
        <v>2.2250000000000001</v>
        <stp/>
        <stp>_x0008_AUD3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1" s="7"/>
      </tp>
      <tp>
        <v>2.2925</v>
        <stp/>
        <stp>_x0008_AUD3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2" s="7"/>
      </tp>
    </main>
    <main first="pldatasource.rtgetrtdserver">
      <tp>
        <v>3.4124752740000002</v>
        <stp/>
        <stp xml:space="preserve">	AUD3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2" s="7"/>
      </tp>
      <tp>
        <v>3.4596073989999998</v>
        <stp/>
        <stp xml:space="preserve">	AUD3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3" s="7"/>
      </tp>
      <tp>
        <v>3.4410397289999999</v>
        <stp/>
        <stp xml:space="preserve">	AUD3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4" s="7"/>
      </tp>
      <tp>
        <v>3.104801046</v>
        <stp/>
        <stp xml:space="preserve">	AUD3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0" s="7"/>
      </tp>
      <tp>
        <v>2.9719771079999999</v>
        <stp/>
        <stp xml:space="preserve">	AUD3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9" s="7"/>
      </tp>
      <tp>
        <v>3.2512088549999998</v>
        <stp/>
        <stp xml:space="preserve">	AUD3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1" s="7"/>
      </tp>
      <tp>
        <v>2.6575834560000002</v>
        <stp/>
        <stp>_x0008_AUD1M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7" s="7"/>
      </tp>
      <tp>
        <v>2.7392230289999997</v>
        <stp/>
        <stp>_x0008_AUD1M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8" s="7"/>
      </tp>
      <tp>
        <v>1.9818288289999999</v>
        <stp/>
        <stp>_x0008_AUD1M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8" s="7"/>
      </tp>
      <tp>
        <v>2.2040158189999999</v>
        <stp/>
        <stp>_x0008_AUD1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3" s="7"/>
      </tp>
      <tp>
        <v>2.3328139399999999</v>
        <stp/>
        <stp>_x0008_AUD1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4" s="7"/>
      </tp>
      <tp>
        <v>2.4559482670000001</v>
        <stp/>
        <stp>_x0008_AUD1M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5" s="7"/>
      </tp>
      <tp>
        <v>2.0053017390000001</v>
        <stp/>
        <stp>_x0008_AUD1M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7" s="7"/>
      </tp>
      <tp>
        <v>2.565447367</v>
        <stp/>
        <stp>_x0008_AUD1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6" s="7"/>
      </tp>
      <tp>
        <v>1.9715144009999999</v>
        <stp/>
        <stp>_x0008_AUD1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9" s="7"/>
      </tp>
      <tp>
        <v>1.998928319</v>
        <stp/>
        <stp>_x0008_AUD1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1" s="7"/>
      </tp>
      <tp>
        <v>2.0874027509999999</v>
        <stp/>
        <stp>_x0008_AUD1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32" s="7"/>
      </tp>
      <tp>
        <v>2.0371965329999999</v>
        <stp/>
        <stp>_x0008_AUD1M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26" s="7"/>
      </tp>
    </main>
    <main first="pldatasource.rtgetrtdserver">
      <tp>
        <v>2.3243308100000002</v>
        <stp/>
        <stp xml:space="preserve">	AUD3M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7" s="7"/>
      </tp>
      <tp>
        <v>2.323429521</v>
        <stp/>
        <stp xml:space="preserve">	AUD3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" s="7"/>
      </tp>
      <tp>
        <v>2.3240965660000001</v>
        <stp/>
        <stp xml:space="preserve">	AUD3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" s="7"/>
      </tp>
      <tp>
        <v>2.3244115889999999</v>
        <stp/>
        <stp xml:space="preserve">	AUD3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6" s="7"/>
      </tp>
      <tp>
        <v>2.322816913</v>
        <stp/>
        <stp xml:space="preserve">	AUD3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" s="7"/>
      </tp>
      <tp>
        <v>2.3145427270000001</v>
        <stp/>
        <stp xml:space="preserve">	AUD3M2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" s="7"/>
      </tp>
      <tp>
        <v>2.3224409399999999</v>
        <stp/>
        <stp xml:space="preserve">	AUD3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" s="7"/>
      </tp>
      <tp>
        <v>2.3000689400000001</v>
        <stp/>
        <stp xml:space="preserve">	AUD3M3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4" s="7"/>
      </tp>
      <tp>
        <v>2.3216281240000001</v>
        <stp/>
        <stp xml:space="preserve">	AUD3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" s="7"/>
      </tp>
      <tp>
        <v>2.9125000000000001</v>
        <stp/>
        <stp>_x0008_AUD6M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7"/>
      </tp>
      <tp>
        <v>2.99</v>
        <stp/>
        <stp>_x0008_AUD6M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  <tp>
        <v>2.5137499999999999</v>
        <stp/>
        <stp>_x0008_AUD6M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>
        <v>2.6225000000000001</v>
        <stp/>
        <stp>_x0008_AUD6M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7"/>
      </tp>
      <tp>
        <v>2.7287499999999998</v>
        <stp/>
        <stp>_x0008_AUD6M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>
        <v>2.8250000000000002</v>
        <stp/>
        <stp>_x0008_AUD6M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7"/>
      </tp>
      <tp>
        <v>2.3689828930000001</v>
        <stp/>
        <stp>_x0008_AUD6M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9" s="7"/>
      </tp>
      <tp>
        <v>2.3755747920000001</v>
        <stp/>
        <stp>_x0008_AUD6M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7"/>
      </tp>
      <tp>
        <v>2.4313380250000001</v>
        <stp/>
        <stp>_x0008_AUD6M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</main>
    <main first="pldatasource.rtgetrtdserver">
      <tp>
        <v>2.052570486</v>
        <stp/>
        <stp xml:space="preserve">	AUD1MT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" s="7"/>
      </tp>
      <tp>
        <v>2.0535882779999999</v>
        <stp/>
        <stp xml:space="preserve">	AUD1MS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" s="7"/>
      </tp>
      <tp>
        <v>2.0528704109999998</v>
        <stp/>
        <stp xml:space="preserve">	AUD1MS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" s="7"/>
      </tp>
      <tp>
        <v>2.0524757249999999</v>
        <stp/>
        <stp xml:space="preserve">	AUD1MON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" s="7"/>
      </tp>
      <tp>
        <v>2.0539646079999998</v>
        <stp/>
        <stp xml:space="preserve">	AUD1M2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" s="7"/>
      </tp>
      <tp>
        <v>2.0543482480000002</v>
        <stp/>
        <stp xml:space="preserve">	AUD1M3W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" s="7"/>
      </tp>
      <tp>
        <v>2.0549239689999999</v>
        <stp/>
        <stp xml:space="preserve">	AUD1M1MD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" s="7"/>
      </tp>
      <tp>
        <v>3.4674999999999998</v>
        <stp/>
        <stp xml:space="preserve">	AUD6M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2" s="7"/>
      </tp>
      <tp>
        <v>3.51</v>
        <stp/>
        <stp xml:space="preserve">	AUD6M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3" s="7"/>
      </tp>
      <tp>
        <v>3.4874999999999998</v>
        <stp/>
        <stp xml:space="preserve">	AUD6M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4" s="7"/>
      </tp>
      <tp>
        <v>3.18</v>
        <stp/>
        <stp xml:space="preserve">	AUD6M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  <tp>
        <v>3.0575000000000001</v>
        <stp/>
        <stp xml:space="preserve">	AUD6M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>
        <v>3.3174999999999999</v>
        <stp/>
        <stp xml:space="preserve">	AUD6M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7"/>
      </tp>
    </main>
    <main first="pldatasource.rtgetrtdserver">
      <tp>
        <v>2.99</v>
        <stp/>
        <stp>_x0008_AUD6M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>
        <v>2.9125000000000001</v>
        <stp/>
        <stp>_x0008_AUD6M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7"/>
      </tp>
      <tp>
        <v>2.8250000000000002</v>
        <stp/>
        <stp>_x0008_AUD6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7"/>
      </tp>
      <tp>
        <v>2.7287499999999998</v>
        <stp/>
        <stp>_x0008_AUD6M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>
        <v>2.6225000000000001</v>
        <stp/>
        <stp>_x0008_AUD6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7"/>
      </tp>
      <tp>
        <v>2.5137499999999999</v>
        <stp/>
        <stp>_x0008_AUD6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>
        <v>2.4313380250000001</v>
        <stp/>
        <stp>_x0008_AUD6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>
        <v>2.3755747920000001</v>
        <stp/>
        <stp>_x0008_AUD6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1" s="7"/>
      </tp>
      <tp>
        <v>2.3689828930000001</v>
        <stp/>
        <stp>_x0008_AUD6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9" s="7"/>
      </tp>
    </main>
    <main first="pldatasource.rtgetrtdserver">
      <tp>
        <v>1.9818288289999999</v>
        <stp/>
        <stp>_x0008_AUD1M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8" s="7"/>
      </tp>
      <tp>
        <v>2.7392230289999997</v>
        <stp/>
        <stp>_x0008_AUD1M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8" s="7"/>
      </tp>
      <tp>
        <v>2.6575834560000002</v>
        <stp/>
        <stp>_x0008_AUD1M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7" s="7"/>
      </tp>
      <tp>
        <v>2.565447367</v>
        <stp/>
        <stp>_x0008_AUD1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6" s="7"/>
      </tp>
      <tp>
        <v>2.0053017390000001</v>
        <stp/>
        <stp>_x0008_AUD1M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7" s="7"/>
      </tp>
      <tp>
        <v>2.4559482670000001</v>
        <stp/>
        <stp>_x0008_AUD1M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5" s="7"/>
      </tp>
      <tp>
        <v>2.3328139399999999</v>
        <stp/>
        <stp>_x0008_AUD1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4" s="7"/>
      </tp>
      <tp>
        <v>2.2040158189999999</v>
        <stp/>
        <stp>_x0008_AUD1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3" s="7"/>
      </tp>
      <tp>
        <v>2.0371965329999999</v>
        <stp/>
        <stp>_x0008_AUD1M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6" s="7"/>
      </tp>
      <tp>
        <v>2.0874027509999999</v>
        <stp/>
        <stp>_x0008_AUD1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2" s="7"/>
      </tp>
      <tp>
        <v>1.998928319</v>
        <stp/>
        <stp>_x0008_AUD1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1" s="7"/>
      </tp>
      <tp>
        <v>1.9715144009999999</v>
        <stp/>
        <stp>_x0008_AUD1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29" s="7"/>
      </tp>
    </main>
    <main first="pldatasource.rtgetrtdserver">
      <tp>
        <v>2.897034127</v>
        <stp/>
        <stp>_x0008_AUD3M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8" s="7"/>
      </tp>
      <tp>
        <v>2.8159929770000001</v>
        <stp/>
        <stp>_x0008_AUD3M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7" s="7"/>
      </tp>
      <tp>
        <v>2.7261240249999998</v>
        <stp/>
        <stp>_x0008_AUD3M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6" s="7"/>
      </tp>
      <tp>
        <v>2.622648978</v>
        <stp/>
        <stp>_x0008_AUD3M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5" s="7"/>
      </tp>
      <tp>
        <v>2.5075393530000003</v>
        <stp/>
        <stp>_x0008_AUD3M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4" s="7"/>
      </tp>
      <tp>
        <v>2.3882587649999998</v>
        <stp/>
        <stp>_x0008_AUD3M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3" s="7"/>
      </tp>
      <tp>
        <v>2.2925</v>
        <stp/>
        <stp>_x0008_AUD3M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2" s="7"/>
      </tp>
      <tp>
        <v>2.2250000000000001</v>
        <stp/>
        <stp>_x0008_AUD3M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1" s="7"/>
      </tp>
      <tp>
        <v>2.2149999999999999</v>
        <stp/>
        <stp>_x0008_AUD3M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9" s="7"/>
      </tp>
      <tp>
        <v>3.4124752740000002</v>
        <stp/>
        <stp xml:space="preserve">	AUD3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2" s="7"/>
      </tp>
      <tp>
        <v>3.4596073989999998</v>
        <stp/>
        <stp xml:space="preserve">	AUD3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3" s="7"/>
      </tp>
      <tp>
        <v>3.4410397289999999</v>
        <stp/>
        <stp xml:space="preserve">	AUD3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4" s="7"/>
      </tp>
      <tp>
        <v>2.9719771079999999</v>
        <stp/>
        <stp xml:space="preserve">	AUD3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9" s="7"/>
      </tp>
      <tp>
        <v>3.104801046</v>
        <stp/>
        <stp xml:space="preserve">	AUD3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0" s="7"/>
      </tp>
      <tp>
        <v>3.2512088549999998</v>
        <stp/>
        <stp xml:space="preserve">	AUD3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1" s="7"/>
      </tp>
      <tp>
        <v>3.2509683260000002</v>
        <stp/>
        <stp xml:space="preserve">	AUD1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2" s="7"/>
      </tp>
      <tp>
        <v>3.2978400940000001</v>
        <stp/>
        <stp xml:space="preserve">	AUD1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3" s="7"/>
      </tp>
      <tp>
        <v>3.2793794329999999</v>
        <stp/>
        <stp xml:space="preserve">	AUD1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4" s="7"/>
      </tp>
      <tp>
        <v>2.8139425550000001</v>
        <stp/>
        <stp xml:space="preserve">	AUD1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39" s="7"/>
      </tp>
      <tp>
        <v>2.9448825869999999</v>
        <stp/>
        <stp xml:space="preserve">	AUD1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0" s="7"/>
      </tp>
      <tp>
        <v>3.0905485220000002</v>
        <stp/>
        <stp xml:space="preserve">	AUD1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41" s="7"/>
      </tp>
      <tp>
        <v>2.4785481950000001</v>
        <stp/>
        <stp xml:space="preserve">	AUD6M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" s="7"/>
      </tp>
      <tp>
        <v>2.4789134750000001</v>
        <stp/>
        <stp xml:space="preserve">	AUD6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  <tp>
        <v>2.4786543920000002</v>
        <stp/>
        <stp xml:space="preserve">	AUD6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7"/>
      </tp>
      <tp>
        <v>2.4785258090000002</v>
        <stp/>
        <stp xml:space="preserve">	AUD6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6" s="7"/>
      </tp>
      <tp>
        <v>2.4231991939999999</v>
        <stp/>
        <stp xml:space="preserve">	AUD6M6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>
        <v>2.4474669969999998</v>
        <stp/>
        <stp xml:space="preserve">	AUD6M4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>
        <v>2.433599998</v>
        <stp/>
        <stp xml:space="preserve">	AUD6M5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>
        <v>2.4789132280000001</v>
        <stp/>
        <stp xml:space="preserve">	AUD6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>
        <v>2.4734945609999999</v>
        <stp/>
        <stp xml:space="preserve">	AUD6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>
        <v>2.4788935529999998</v>
        <stp/>
        <stp xml:space="preserve">	AUD6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>
        <v>2.45953322</v>
        <stp/>
        <stp xml:space="preserve">	AUD6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>
        <v>2.4788868559999999</v>
        <stp/>
        <stp xml:space="preserve">	AUD6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>
        <v>3.4674999999999998</v>
        <stp/>
        <stp xml:space="preserve">	AUD6M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2" s="7"/>
      </tp>
      <tp>
        <v>3.51</v>
        <stp/>
        <stp xml:space="preserve">	AUD6M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3" s="7"/>
      </tp>
      <tp>
        <v>3.4874999999999998</v>
        <stp/>
        <stp xml:space="preserve">	AUD6M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4" s="7"/>
      </tp>
      <tp>
        <v>3.0575000000000001</v>
        <stp/>
        <stp xml:space="preserve">	AUD6M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>
        <v>3.18</v>
        <stp/>
        <stp xml:space="preserve">	AUD6M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  <tp>
        <v>3.3174999999999999</v>
        <stp/>
        <stp xml:space="preserve">	AUD6M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7"/>
      </tp>
      <tp>
        <v>2.052570486</v>
        <stp/>
        <stp xml:space="preserve">	AUD1M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" s="7"/>
      </tp>
      <tp>
        <v>2.0535882779999999</v>
        <stp/>
        <stp xml:space="preserve">	AUD1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" s="7"/>
      </tp>
      <tp>
        <v>2.0528704109999998</v>
        <stp/>
        <stp xml:space="preserve">	AUD1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" s="7"/>
      </tp>
      <tp>
        <v>2.0524757249999999</v>
        <stp/>
        <stp xml:space="preserve">	AUD1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" s="7"/>
      </tp>
      <tp>
        <v>2.0539646079999998</v>
        <stp/>
        <stp xml:space="preserve">	AUD1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" s="7"/>
      </tp>
      <tp>
        <v>2.0543482480000002</v>
        <stp/>
        <stp xml:space="preserve">	AUD1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" s="7"/>
      </tp>
      <tp>
        <v>2.0549239689999999</v>
        <stp/>
        <stp xml:space="preserve">	AUD1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" s="7"/>
      </tp>
      <tp>
        <v>2.3243308100000002</v>
        <stp/>
        <stp xml:space="preserve">	AUD3MT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7" s="7"/>
      </tp>
      <tp>
        <v>2.323429521</v>
        <stp/>
        <stp xml:space="preserve">	AUD3MS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" s="7"/>
      </tp>
      <tp>
        <v>2.3240965660000001</v>
        <stp/>
        <stp xml:space="preserve">	AUD3MS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7"/>
      </tp>
      <tp>
        <v>2.3244115889999999</v>
        <stp/>
        <stp xml:space="preserve">	AUD3MON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6" s="7"/>
      </tp>
      <tp>
        <v>2.322816913</v>
        <stp/>
        <stp xml:space="preserve">	AUD3M2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" s="7"/>
      </tp>
      <tp>
        <v>2.3145427270000001</v>
        <stp/>
        <stp xml:space="preserve">	AUD3M2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7"/>
      </tp>
      <tp>
        <v>2.3224409399999999</v>
        <stp/>
        <stp xml:space="preserve">	AUD3M3W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" s="7"/>
      </tp>
      <tp>
        <v>2.3000689400000001</v>
        <stp/>
        <stp xml:space="preserve">	AUD3M3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7"/>
      </tp>
      <tp>
        <v>2.3216281240000001</v>
        <stp/>
        <stp xml:space="preserve">	AUD3M1MD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7"/>
      </tp>
    </main>
    <main first="pldatasource.rtgetrtdserver">
      <tp>
        <v>97.77</v>
        <stp/>
        <stp>_x0007_AUD3MH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9" s="7"/>
      </tp>
      <tp>
        <v>97.790180011999993</v>
        <stp/>
        <stp>_x0007_AUD3M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3" s="7"/>
      </tp>
      <tp>
        <v>97.825000000000003</v>
        <stp/>
        <stp>_x0007_AUD3MM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0" s="7"/>
      </tp>
      <tp>
        <v>97.75223767</v>
        <stp/>
        <stp>_x0007_AUD3M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4" s="7"/>
      </tp>
      <tp>
        <v>97.822523877999998</v>
        <stp/>
        <stp>_x0007_AUD3MZ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2" s="7"/>
      </tp>
      <tp>
        <v>97.840709005999997</v>
        <stp/>
        <stp>_x0007_AUD3MU6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1" s="7"/>
      </tp>
      <tp t="s">
        <v>#N/A RIC Not Found</v>
        <stp/>
        <stp>_x0007_AUD3M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5" s="7"/>
      </tp>
      <tp t="s">
        <v>#N/A RIC Not Found</v>
        <stp/>
        <stp>_x0007_AUD3M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5" s="7"/>
      </tp>
      <tp>
        <v>97.840709005999997</v>
        <stp/>
        <stp>_x0007_AUD3MU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1" s="7"/>
      </tp>
      <tp>
        <v>97.822523877999998</v>
        <stp/>
        <stp>_x0007_AUD3MZ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2" s="7"/>
      </tp>
      <tp>
        <v>97.790180011999993</v>
        <stp/>
        <stp>_x0007_AUD3M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3" s="7"/>
      </tp>
      <tp>
        <v>97.77</v>
        <stp/>
        <stp>_x0007_AUD3MH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9" s="7"/>
      </tp>
      <tp>
        <v>97.75223767</v>
        <stp/>
        <stp>_x0007_AUD3M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4" s="7"/>
      </tp>
      <tp>
        <v>97.825000000000003</v>
        <stp/>
        <stp>_x0007_AUD3MM6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0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UD_Marke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UD_SynthQuotesFee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BBSW"/>
      <sheetName val="Deposits"/>
      <sheetName val="FRA"/>
      <sheetName val="OIS"/>
      <sheetName val="MT_OIS"/>
      <sheetName val="Futures3M"/>
      <sheetName val="Swap3M"/>
      <sheetName val="Swap6M"/>
      <sheetName val="BasisSwap1M3M"/>
      <sheetName val="BasisSwap3M6M"/>
      <sheetName val="BBSWSwapForBasisCalc"/>
      <sheetName val="FuturesHWConvAdj"/>
    </sheetNames>
    <definedNames>
      <definedName name="TriggerCounter" refersTo="='General Settings'!$D$7"/>
    </definedNames>
    <sheetDataSet>
      <sheetData sheetId="0">
        <row r="7">
          <cell r="D7">
            <v>6</v>
          </cell>
        </row>
      </sheetData>
      <sheetData sheetId="1">
        <row r="7">
          <cell r="D7">
            <v>0</v>
          </cell>
        </row>
      </sheetData>
      <sheetData sheetId="2">
        <row r="7">
          <cell r="D7" t="str">
            <v>D</v>
          </cell>
        </row>
      </sheetData>
      <sheetData sheetId="3">
        <row r="7">
          <cell r="D7" t="str">
            <v>x6F</v>
          </cell>
        </row>
      </sheetData>
      <sheetData sheetId="4">
        <row r="7">
          <cell r="D7" t="str">
            <v>3W</v>
          </cell>
        </row>
      </sheetData>
      <sheetData sheetId="5">
        <row r="7">
          <cell r="D7" t="str">
            <v>3W</v>
          </cell>
        </row>
      </sheetData>
      <sheetData sheetId="6">
        <row r="7">
          <cell r="D7" t="str">
            <v>H6</v>
          </cell>
        </row>
      </sheetData>
      <sheetData sheetId="7">
        <row r="7">
          <cell r="D7" t="str">
            <v>3AB</v>
          </cell>
        </row>
      </sheetData>
      <sheetData sheetId="8">
        <row r="7">
          <cell r="D7" t="str">
            <v>6AB</v>
          </cell>
        </row>
      </sheetData>
      <sheetData sheetId="9">
        <row r="7">
          <cell r="D7" t="str">
            <v>3BR</v>
          </cell>
        </row>
      </sheetData>
      <sheetData sheetId="10">
        <row r="7">
          <cell r="D7" t="str">
            <v>6BR</v>
          </cell>
        </row>
      </sheetData>
      <sheetData sheetId="11">
        <row r="7">
          <cell r="D7" t="str">
            <v>AudBBSWSwapForBasisCalc9M</v>
          </cell>
        </row>
      </sheetData>
      <sheetData sheetId="1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1MSynthDepo"/>
      <sheetName val="3MSynthDepo"/>
      <sheetName val="6MSynthDepo"/>
      <sheetName val="Contribution"/>
      <sheetName val="Delta 1M"/>
      <sheetName val="Delta 3M"/>
      <sheetName val="Delta 6M"/>
      <sheetName val="6M BBSWSwapForBasisCalc"/>
      <sheetName val="1M BBSWSwapForBasisCalc"/>
    </sheetNames>
    <definedNames>
      <definedName name="TriggerCounter" refersTo="='General Settings'!$I$8"/>
    </definedNames>
    <sheetDataSet>
      <sheetData sheetId="0">
        <row r="8">
          <cell r="I8">
            <v>4</v>
          </cell>
        </row>
      </sheetData>
      <sheetData sheetId="1"/>
      <sheetData sheetId="2"/>
      <sheetData sheetId="3"/>
      <sheetData sheetId="4">
        <row r="8">
          <cell r="I8" t="str">
            <v/>
          </cell>
        </row>
      </sheetData>
      <sheetData sheetId="5">
        <row r="8">
          <cell r="I8" t="str">
            <v>Actual/365 (Fixed)</v>
          </cell>
        </row>
      </sheetData>
      <sheetData sheetId="6">
        <row r="8">
          <cell r="I8">
            <v>0.99064405797637023</v>
          </cell>
        </row>
      </sheetData>
      <sheetData sheetId="7"/>
      <sheetData sheetId="8"/>
      <sheetData sheetId="9">
        <row r="8">
          <cell r="I8" t="str">
            <v>AudBBSWSwapForBasisCalc3Y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2"/>
  <sheetViews>
    <sheetView showGridLines="0" workbookViewId="0">
      <selection activeCell="D4" sqref="D4"/>
    </sheetView>
  </sheetViews>
  <sheetFormatPr defaultRowHeight="13.5" x14ac:dyDescent="0.25"/>
  <cols>
    <col min="1" max="2" width="2.7109375" style="64" customWidth="1"/>
    <col min="3" max="3" width="23.42578125" style="64" bestFit="1" customWidth="1"/>
    <col min="4" max="4" width="28.5703125" style="64" bestFit="1" customWidth="1"/>
    <col min="5" max="5" width="2.7109375" style="64" customWidth="1"/>
    <col min="6" max="6" width="3.42578125" style="64" customWidth="1"/>
    <col min="7" max="16384" width="9.140625" style="64"/>
  </cols>
  <sheetData>
    <row r="1" spans="1:26" s="11" customFormat="1" ht="12" thickBot="1" x14ac:dyDescent="0.25">
      <c r="A1" s="2"/>
      <c r="B1" s="2" t="str">
        <f>_xll.qlxlVersion(TRUE)</f>
        <v>QuantLibXL 1.5.0 - MS VC++ 9.0 - Multithreaded Dynamic Runtime library - Release Configuration - Jun 25 2014 10:33:09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9.5" x14ac:dyDescent="0.35">
      <c r="A2" s="62"/>
      <c r="B2" s="77" t="s">
        <v>4</v>
      </c>
      <c r="C2" s="78"/>
      <c r="D2" s="78"/>
      <c r="E2" s="63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62"/>
      <c r="R2" s="62"/>
      <c r="S2" s="62"/>
      <c r="T2" s="62"/>
      <c r="U2" s="62"/>
      <c r="V2" s="62"/>
      <c r="W2" s="62"/>
      <c r="X2" s="62"/>
      <c r="Y2" s="62"/>
      <c r="Z2" s="62"/>
    </row>
    <row r="3" spans="1:26" s="11" customFormat="1" ht="11.25" x14ac:dyDescent="0.2">
      <c r="A3" s="2"/>
      <c r="B3" s="65"/>
      <c r="C3" s="66"/>
      <c r="D3" s="66"/>
      <c r="E3" s="67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s="11" customFormat="1" ht="11.25" x14ac:dyDescent="0.2">
      <c r="A4" s="2"/>
      <c r="B4" s="65"/>
      <c r="C4" s="80" t="s">
        <v>5</v>
      </c>
      <c r="D4" s="68">
        <v>42354.613923611112</v>
      </c>
      <c r="E4" s="67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s="11" customFormat="1" ht="11.25" x14ac:dyDescent="0.2">
      <c r="A5" s="2"/>
      <c r="B5" s="65"/>
      <c r="C5" s="80" t="s">
        <v>12</v>
      </c>
      <c r="D5" s="68">
        <f>_xll.qlSettingsEvaluationDate(Trigger)</f>
        <v>42354</v>
      </c>
      <c r="E5" s="67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1" customFormat="1" ht="11.25" x14ac:dyDescent="0.2">
      <c r="A6" s="2"/>
      <c r="B6" s="65"/>
      <c r="C6" s="81" t="s">
        <v>68</v>
      </c>
      <c r="D6" s="69">
        <f>[1]!TriggerCounter</f>
        <v>6</v>
      </c>
      <c r="E6" s="67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s="11" customFormat="1" ht="11.25" x14ac:dyDescent="0.2">
      <c r="A7" s="2"/>
      <c r="B7" s="65"/>
      <c r="C7" s="81" t="s">
        <v>102</v>
      </c>
      <c r="D7" s="69">
        <f>[2]!TriggerCounter</f>
        <v>4</v>
      </c>
      <c r="E7" s="67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1" customFormat="1" ht="12" thickBot="1" x14ac:dyDescent="0.25">
      <c r="A8" s="2"/>
      <c r="B8" s="70"/>
      <c r="C8" s="71"/>
      <c r="D8" s="71"/>
      <c r="E8" s="7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thickBot="1" x14ac:dyDescent="0.3">
      <c r="A9" s="62"/>
      <c r="B9" s="62"/>
      <c r="C9" s="62"/>
      <c r="D9" s="62"/>
      <c r="E9" s="62"/>
      <c r="F9" s="62"/>
      <c r="G9" s="62"/>
      <c r="H9" s="62"/>
      <c r="I9" s="62"/>
      <c r="J9" s="62"/>
      <c r="K9" s="62"/>
      <c r="L9" s="62"/>
      <c r="M9" s="62"/>
      <c r="N9" s="62"/>
      <c r="O9" s="62"/>
      <c r="P9" s="62"/>
      <c r="Q9" s="62"/>
      <c r="R9" s="62"/>
      <c r="S9" s="62"/>
      <c r="T9" s="62"/>
      <c r="U9" s="62"/>
      <c r="V9" s="62"/>
      <c r="W9" s="62"/>
      <c r="X9" s="62"/>
      <c r="Y9" s="62"/>
      <c r="Z9" s="62"/>
    </row>
    <row r="10" spans="1:26" ht="16.5" x14ac:dyDescent="0.3">
      <c r="A10" s="62"/>
      <c r="B10" s="77" t="s">
        <v>3</v>
      </c>
      <c r="C10" s="78"/>
      <c r="D10" s="78"/>
      <c r="E10" s="79"/>
      <c r="F10" s="62"/>
      <c r="G10" s="62"/>
      <c r="H10" s="62"/>
      <c r="I10" s="62"/>
      <c r="J10" s="62"/>
      <c r="K10" s="62"/>
      <c r="L10" s="62"/>
      <c r="M10" s="62"/>
      <c r="N10" s="62"/>
      <c r="O10" s="62"/>
      <c r="P10" s="62"/>
      <c r="Q10" s="62"/>
      <c r="R10" s="62"/>
      <c r="S10" s="62"/>
      <c r="T10" s="62"/>
      <c r="U10" s="62"/>
      <c r="V10" s="62"/>
      <c r="W10" s="62"/>
      <c r="X10" s="62"/>
      <c r="Y10" s="62"/>
      <c r="Z10" s="62"/>
    </row>
    <row r="11" spans="1:26" s="11" customFormat="1" ht="11.25" x14ac:dyDescent="0.2">
      <c r="A11" s="2"/>
      <c r="B11" s="65"/>
      <c r="C11" s="66"/>
      <c r="D11" s="66"/>
      <c r="E11" s="67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s="11" customFormat="1" ht="11.25" x14ac:dyDescent="0.2">
      <c r="A12" s="2"/>
      <c r="B12" s="65"/>
      <c r="C12" s="80" t="s">
        <v>6</v>
      </c>
      <c r="D12" s="73" t="s">
        <v>82</v>
      </c>
      <c r="E12" s="67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s="11" customFormat="1" ht="11.25" x14ac:dyDescent="0.2">
      <c r="A13" s="2"/>
      <c r="B13" s="65"/>
      <c r="C13" s="80" t="s">
        <v>86</v>
      </c>
      <c r="D13" s="73" t="str">
        <f>Currency&amp;"ON"</f>
        <v>AUDON</v>
      </c>
      <c r="E13" s="67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s="11" customFormat="1" ht="11.25" x14ac:dyDescent="0.2">
      <c r="A14" s="2"/>
      <c r="B14" s="65"/>
      <c r="C14" s="80" t="s">
        <v>11</v>
      </c>
      <c r="D14" s="74" t="str">
        <f>PROPER(Currency)&amp;"BBSW"</f>
        <v>AudBBSW</v>
      </c>
      <c r="E14" s="67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s="11" customFormat="1" ht="11.25" x14ac:dyDescent="0.2">
      <c r="A15" s="2"/>
      <c r="B15" s="65"/>
      <c r="C15" s="80" t="s">
        <v>13</v>
      </c>
      <c r="D15" s="74" t="s">
        <v>14</v>
      </c>
      <c r="E15" s="67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s="11" customFormat="1" ht="11.25" x14ac:dyDescent="0.2">
      <c r="A16" s="2"/>
      <c r="B16" s="65"/>
      <c r="C16" s="80" t="s">
        <v>9</v>
      </c>
      <c r="D16" s="75">
        <v>1</v>
      </c>
      <c r="E16" s="67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s="11" customFormat="1" ht="11.25" x14ac:dyDescent="0.2">
      <c r="A17" s="2"/>
      <c r="B17" s="65"/>
      <c r="C17" s="80" t="s">
        <v>80</v>
      </c>
      <c r="D17" s="74" t="s">
        <v>83</v>
      </c>
      <c r="E17" s="67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s="11" customFormat="1" ht="11.25" x14ac:dyDescent="0.2">
      <c r="A18" s="2"/>
      <c r="B18" s="65"/>
      <c r="C18" s="80" t="s">
        <v>81</v>
      </c>
      <c r="D18" s="74" t="s">
        <v>83</v>
      </c>
      <c r="E18" s="67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s="11" customFormat="1" ht="11.25" x14ac:dyDescent="0.2">
      <c r="A19" s="2"/>
      <c r="B19" s="65"/>
      <c r="C19" s="80" t="s">
        <v>79</v>
      </c>
      <c r="D19" s="74" t="b">
        <f>_xll.qlCalendarIsHoliday(LocalCalendar,_xll.qlCalendarAdvance(LiborCalendar,EvaluationDate,SettlementDays&amp;"D","f",FALSE,Trigger))</f>
        <v>0</v>
      </c>
      <c r="E19" s="67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s="11" customFormat="1" ht="11.25" x14ac:dyDescent="0.2">
      <c r="A20" s="2"/>
      <c r="B20" s="65"/>
      <c r="C20" s="80" t="s">
        <v>7</v>
      </c>
      <c r="D20" s="74" t="str">
        <f>IF(D19,LocalCalendar,LiborCalendar)</f>
        <v>Australia</v>
      </c>
      <c r="E20" s="67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s="11" customFormat="1" ht="11.25" x14ac:dyDescent="0.2">
      <c r="A21" s="2"/>
      <c r="B21" s="65"/>
      <c r="C21" s="81" t="s">
        <v>10</v>
      </c>
      <c r="D21" s="76">
        <f>_xll.qlCalendarAdvance(Calendar,EvaluationDate,SettlementDays&amp;"d","following",FALSE)</f>
        <v>42355</v>
      </c>
      <c r="E21" s="67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s="11" customFormat="1" ht="11.25" x14ac:dyDescent="0.2">
      <c r="A22" s="2"/>
      <c r="B22" s="65"/>
      <c r="C22" s="81" t="s">
        <v>61</v>
      </c>
      <c r="D22" s="76" t="s">
        <v>62</v>
      </c>
      <c r="E22" s="67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s="11" customFormat="1" ht="12" thickBot="1" x14ac:dyDescent="0.25">
      <c r="A23" s="2"/>
      <c r="B23" s="70"/>
      <c r="C23" s="71"/>
      <c r="D23" s="71"/>
      <c r="E23" s="7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x14ac:dyDescent="0.25">
      <c r="A24" s="62"/>
      <c r="B24" s="62"/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2"/>
      <c r="W24" s="62"/>
      <c r="X24" s="62"/>
      <c r="Y24" s="62"/>
      <c r="Z24" s="62"/>
    </row>
    <row r="25" spans="1:26" x14ac:dyDescent="0.25">
      <c r="A25" s="62"/>
      <c r="B25" s="62"/>
      <c r="C25" s="62"/>
      <c r="D25" s="62"/>
      <c r="E25" s="62"/>
      <c r="F25" s="62"/>
      <c r="G25" s="62"/>
      <c r="H25" s="62"/>
      <c r="I25" s="62"/>
      <c r="J25" s="62"/>
      <c r="K25" s="62"/>
      <c r="L25" s="62"/>
      <c r="M25" s="62"/>
      <c r="N25" s="62"/>
      <c r="O25" s="62"/>
      <c r="P25" s="62"/>
      <c r="Q25" s="62"/>
      <c r="R25" s="62"/>
      <c r="S25" s="62"/>
      <c r="T25" s="62"/>
      <c r="U25" s="62"/>
      <c r="V25" s="62"/>
      <c r="W25" s="62"/>
      <c r="X25" s="62"/>
      <c r="Y25" s="62"/>
      <c r="Z25" s="62"/>
    </row>
    <row r="26" spans="1:26" x14ac:dyDescent="0.25">
      <c r="A26" s="62"/>
      <c r="B26" s="62"/>
      <c r="C26" s="62"/>
      <c r="D26" s="62"/>
      <c r="E26" s="62"/>
      <c r="F26" s="62"/>
      <c r="G26" s="62"/>
      <c r="H26" s="62"/>
      <c r="I26" s="62"/>
      <c r="J26" s="62"/>
      <c r="K26" s="62"/>
      <c r="L26" s="62"/>
      <c r="M26" s="62"/>
      <c r="N26" s="62"/>
      <c r="O26" s="62"/>
      <c r="P26" s="62"/>
      <c r="Q26" s="62"/>
      <c r="R26" s="62"/>
      <c r="S26" s="62"/>
      <c r="T26" s="62"/>
      <c r="U26" s="62"/>
      <c r="V26" s="62"/>
      <c r="W26" s="62"/>
      <c r="X26" s="62"/>
      <c r="Y26" s="62"/>
      <c r="Z26" s="62"/>
    </row>
    <row r="27" spans="1:26" x14ac:dyDescent="0.25">
      <c r="A27" s="62"/>
      <c r="B27" s="62"/>
      <c r="C27" s="62"/>
      <c r="D27" s="62"/>
      <c r="E27" s="62"/>
      <c r="F27" s="62"/>
      <c r="G27" s="62"/>
      <c r="H27" s="62"/>
      <c r="I27" s="62"/>
      <c r="J27" s="62"/>
      <c r="K27" s="62"/>
      <c r="L27" s="62"/>
      <c r="M27" s="62"/>
      <c r="N27" s="62"/>
      <c r="O27" s="62"/>
      <c r="P27" s="62"/>
      <c r="Q27" s="62"/>
      <c r="R27" s="62"/>
      <c r="S27" s="62"/>
      <c r="T27" s="62"/>
      <c r="U27" s="62"/>
      <c r="V27" s="62"/>
      <c r="W27" s="62"/>
      <c r="X27" s="62"/>
      <c r="Y27" s="62"/>
      <c r="Z27" s="62"/>
    </row>
    <row r="28" spans="1:26" x14ac:dyDescent="0.25">
      <c r="A28" s="62"/>
      <c r="B28" s="62"/>
      <c r="C28" s="62"/>
      <c r="D28" s="62"/>
      <c r="E28" s="62"/>
      <c r="F28" s="62"/>
      <c r="G28" s="62"/>
      <c r="H28" s="62"/>
      <c r="I28" s="62"/>
      <c r="J28" s="62"/>
      <c r="K28" s="62"/>
      <c r="L28" s="62"/>
      <c r="M28" s="62"/>
      <c r="N28" s="62"/>
      <c r="O28" s="62"/>
      <c r="P28" s="62"/>
      <c r="Q28" s="62"/>
      <c r="R28" s="62"/>
      <c r="S28" s="62"/>
      <c r="T28" s="62"/>
      <c r="U28" s="62"/>
      <c r="V28" s="62"/>
      <c r="W28" s="62"/>
      <c r="X28" s="62"/>
      <c r="Y28" s="62"/>
      <c r="Z28" s="62"/>
    </row>
    <row r="29" spans="1:26" x14ac:dyDescent="0.25">
      <c r="A29" s="62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</row>
    <row r="30" spans="1:26" x14ac:dyDescent="0.25">
      <c r="A30" s="62"/>
      <c r="B30" s="62"/>
      <c r="C30" s="62"/>
      <c r="D30" s="62"/>
      <c r="E30" s="62"/>
      <c r="F30" s="62"/>
      <c r="G30" s="62"/>
      <c r="H30" s="62"/>
      <c r="I30" s="62"/>
      <c r="J30" s="62"/>
      <c r="K30" s="62"/>
      <c r="L30" s="62"/>
      <c r="M30" s="62"/>
      <c r="N30" s="62"/>
      <c r="O30" s="62"/>
      <c r="P30" s="62"/>
      <c r="Q30" s="62"/>
      <c r="R30" s="62"/>
      <c r="S30" s="62"/>
      <c r="T30" s="62"/>
      <c r="U30" s="62"/>
      <c r="V30" s="62"/>
      <c r="W30" s="62"/>
      <c r="X30" s="62"/>
      <c r="Y30" s="62"/>
      <c r="Z30" s="62"/>
    </row>
    <row r="31" spans="1:26" x14ac:dyDescent="0.25">
      <c r="A31" s="62"/>
      <c r="B31" s="62"/>
      <c r="C31" s="62"/>
      <c r="D31" s="62"/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  <c r="Q31" s="62"/>
      <c r="R31" s="62"/>
      <c r="S31" s="62"/>
      <c r="T31" s="62"/>
      <c r="U31" s="62"/>
      <c r="V31" s="62"/>
      <c r="W31" s="62"/>
      <c r="X31" s="62"/>
      <c r="Y31" s="62"/>
      <c r="Z31" s="62"/>
    </row>
    <row r="32" spans="1:26" x14ac:dyDescent="0.25">
      <c r="A32" s="62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62"/>
      <c r="M32" s="62"/>
      <c r="N32" s="62"/>
      <c r="O32" s="62"/>
      <c r="P32" s="62"/>
      <c r="Q32" s="62"/>
      <c r="R32" s="62"/>
      <c r="S32" s="62"/>
      <c r="T32" s="62"/>
      <c r="U32" s="62"/>
      <c r="V32" s="62"/>
      <c r="W32" s="62"/>
      <c r="X32" s="62"/>
      <c r="Y32" s="62"/>
      <c r="Z32" s="62"/>
    </row>
    <row r="33" spans="1:26" x14ac:dyDescent="0.25">
      <c r="A33" s="62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</row>
    <row r="34" spans="1:26" x14ac:dyDescent="0.25">
      <c r="A34" s="62"/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  <c r="P34" s="62"/>
      <c r="Q34" s="62"/>
      <c r="R34" s="62"/>
      <c r="S34" s="62"/>
      <c r="T34" s="62"/>
      <c r="U34" s="62"/>
      <c r="V34" s="62"/>
      <c r="W34" s="62"/>
      <c r="X34" s="62"/>
      <c r="Y34" s="62"/>
      <c r="Z34" s="62"/>
    </row>
    <row r="35" spans="1:26" x14ac:dyDescent="0.25">
      <c r="A35" s="62"/>
      <c r="B35" s="62"/>
      <c r="C35" s="62"/>
      <c r="D35" s="62"/>
      <c r="E35" s="62"/>
      <c r="F35" s="62"/>
      <c r="G35" s="62"/>
      <c r="H35" s="62"/>
      <c r="I35" s="62"/>
      <c r="J35" s="62"/>
      <c r="K35" s="62"/>
      <c r="L35" s="62"/>
      <c r="M35" s="62"/>
      <c r="N35" s="62"/>
      <c r="O35" s="62"/>
      <c r="P35" s="62"/>
      <c r="Q35" s="62"/>
      <c r="R35" s="62"/>
      <c r="S35" s="62"/>
      <c r="T35" s="62"/>
      <c r="U35" s="62"/>
      <c r="V35" s="62"/>
      <c r="W35" s="62"/>
      <c r="X35" s="62"/>
      <c r="Y35" s="62"/>
      <c r="Z35" s="62"/>
    </row>
    <row r="36" spans="1:26" x14ac:dyDescent="0.25">
      <c r="A36" s="62"/>
      <c r="B36" s="62"/>
      <c r="C36" s="62"/>
      <c r="D36" s="62"/>
      <c r="E36" s="62"/>
      <c r="F36" s="62"/>
      <c r="G36" s="62"/>
      <c r="H36" s="62"/>
      <c r="I36" s="62"/>
      <c r="J36" s="62"/>
      <c r="K36" s="62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62"/>
      <c r="Z36" s="62"/>
    </row>
    <row r="37" spans="1:26" x14ac:dyDescent="0.25">
      <c r="A37" s="62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</row>
    <row r="38" spans="1:26" x14ac:dyDescent="0.25">
      <c r="A38" s="62"/>
      <c r="B38" s="62"/>
      <c r="C38" s="62"/>
      <c r="D38" s="62"/>
      <c r="E38" s="62"/>
      <c r="F38" s="62"/>
      <c r="G38" s="62"/>
      <c r="H38" s="62"/>
      <c r="I38" s="62"/>
      <c r="J38" s="62"/>
      <c r="K38" s="62"/>
      <c r="L38" s="62"/>
      <c r="M38" s="62"/>
      <c r="N38" s="62"/>
      <c r="O38" s="62"/>
      <c r="P38" s="62"/>
      <c r="Q38" s="62"/>
      <c r="R38" s="62"/>
      <c r="S38" s="62"/>
      <c r="T38" s="62"/>
      <c r="U38" s="62"/>
      <c r="V38" s="62"/>
      <c r="W38" s="62"/>
      <c r="X38" s="62"/>
      <c r="Y38" s="62"/>
      <c r="Z38" s="62"/>
    </row>
    <row r="39" spans="1:26" x14ac:dyDescent="0.25">
      <c r="A39" s="62"/>
      <c r="B39" s="62"/>
      <c r="C39" s="62"/>
      <c r="D39" s="62"/>
      <c r="E39" s="62"/>
      <c r="F39" s="62"/>
      <c r="G39" s="62"/>
      <c r="H39" s="62"/>
      <c r="I39" s="62"/>
      <c r="J39" s="62"/>
      <c r="K39" s="62"/>
      <c r="L39" s="62"/>
      <c r="M39" s="62"/>
      <c r="N39" s="62"/>
      <c r="O39" s="62"/>
      <c r="P39" s="62"/>
      <c r="Q39" s="62"/>
      <c r="R39" s="62"/>
      <c r="S39" s="62"/>
      <c r="T39" s="62"/>
      <c r="U39" s="62"/>
      <c r="V39" s="62"/>
      <c r="W39" s="62"/>
      <c r="X39" s="62"/>
      <c r="Y39" s="62"/>
      <c r="Z39" s="62"/>
    </row>
    <row r="40" spans="1:26" x14ac:dyDescent="0.25">
      <c r="A40" s="62"/>
      <c r="B40" s="62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2"/>
      <c r="Q40" s="62"/>
      <c r="R40" s="62"/>
      <c r="S40" s="62"/>
      <c r="T40" s="62"/>
      <c r="U40" s="62"/>
      <c r="V40" s="62"/>
      <c r="W40" s="62"/>
      <c r="X40" s="62"/>
      <c r="Y40" s="62"/>
      <c r="Z40" s="62"/>
    </row>
    <row r="41" spans="1:26" x14ac:dyDescent="0.25">
      <c r="A41" s="62"/>
      <c r="B41" s="62"/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2"/>
      <c r="V41" s="62"/>
      <c r="W41" s="62"/>
      <c r="X41" s="62"/>
      <c r="Y41" s="62"/>
      <c r="Z41" s="62"/>
    </row>
    <row r="42" spans="1:26" x14ac:dyDescent="0.25">
      <c r="A42" s="62"/>
      <c r="B42" s="62"/>
      <c r="C42" s="62"/>
      <c r="D42" s="62"/>
      <c r="E42" s="62"/>
      <c r="F42" s="62"/>
      <c r="G42" s="62"/>
      <c r="H42" s="62"/>
      <c r="I42" s="62"/>
      <c r="J42" s="62"/>
      <c r="K42" s="62"/>
      <c r="L42" s="62"/>
      <c r="M42" s="62"/>
      <c r="N42" s="62"/>
      <c r="O42" s="62"/>
      <c r="P42" s="62"/>
      <c r="Q42" s="62"/>
      <c r="R42" s="62"/>
      <c r="S42" s="62"/>
      <c r="T42" s="62"/>
      <c r="U42" s="62"/>
      <c r="V42" s="62"/>
      <c r="W42" s="62"/>
      <c r="X42" s="62"/>
      <c r="Y42" s="62"/>
      <c r="Z42" s="62"/>
    </row>
    <row r="43" spans="1:26" x14ac:dyDescent="0.25">
      <c r="A43" s="62"/>
      <c r="B43" s="62"/>
      <c r="C43" s="62"/>
      <c r="D43" s="62"/>
      <c r="E43" s="62"/>
      <c r="F43" s="62"/>
      <c r="G43" s="62"/>
      <c r="H43" s="62"/>
      <c r="I43" s="62"/>
      <c r="J43" s="62"/>
      <c r="K43" s="62"/>
      <c r="L43" s="62"/>
      <c r="M43" s="62"/>
      <c r="N43" s="62"/>
      <c r="O43" s="62"/>
      <c r="P43" s="62"/>
      <c r="Q43" s="62"/>
      <c r="R43" s="62"/>
      <c r="S43" s="62"/>
      <c r="T43" s="62"/>
      <c r="U43" s="62"/>
      <c r="V43" s="62"/>
      <c r="W43" s="62"/>
      <c r="X43" s="62"/>
      <c r="Y43" s="62"/>
      <c r="Z43" s="62"/>
    </row>
    <row r="44" spans="1:26" x14ac:dyDescent="0.25">
      <c r="A44" s="62"/>
      <c r="B44" s="62"/>
      <c r="C44" s="62"/>
      <c r="D44" s="62"/>
      <c r="E44" s="62"/>
      <c r="F44" s="62"/>
      <c r="G44" s="62"/>
      <c r="H44" s="62"/>
      <c r="I44" s="62"/>
      <c r="J44" s="62"/>
      <c r="K44" s="62"/>
      <c r="L44" s="62"/>
      <c r="M44" s="62"/>
      <c r="N44" s="62"/>
      <c r="O44" s="62"/>
      <c r="P44" s="62"/>
      <c r="Q44" s="62"/>
      <c r="R44" s="62"/>
      <c r="S44" s="62"/>
      <c r="T44" s="62"/>
      <c r="U44" s="62"/>
      <c r="V44" s="62"/>
      <c r="W44" s="62"/>
      <c r="X44" s="62"/>
      <c r="Y44" s="62"/>
      <c r="Z44" s="62"/>
    </row>
    <row r="45" spans="1:26" x14ac:dyDescent="0.25">
      <c r="A45" s="62"/>
      <c r="B45" s="62"/>
      <c r="C45" s="62"/>
      <c r="D45" s="62"/>
      <c r="E45" s="62"/>
      <c r="F45" s="62"/>
      <c r="G45" s="62"/>
      <c r="H45" s="62"/>
      <c r="I45" s="62"/>
      <c r="J45" s="62"/>
      <c r="K45" s="62"/>
      <c r="L45" s="62"/>
      <c r="M45" s="62"/>
      <c r="N45" s="62"/>
      <c r="O45" s="62"/>
      <c r="P45" s="62"/>
      <c r="Q45" s="62"/>
      <c r="R45" s="62"/>
      <c r="S45" s="62"/>
      <c r="T45" s="62"/>
      <c r="U45" s="62"/>
      <c r="V45" s="62"/>
      <c r="W45" s="62"/>
      <c r="X45" s="62"/>
      <c r="Y45" s="62"/>
      <c r="Z45" s="62"/>
    </row>
    <row r="46" spans="1:26" x14ac:dyDescent="0.25">
      <c r="A46" s="62"/>
      <c r="B46" s="62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2"/>
      <c r="Q46" s="62"/>
      <c r="R46" s="62"/>
      <c r="S46" s="62"/>
      <c r="T46" s="62"/>
      <c r="U46" s="62"/>
      <c r="V46" s="62"/>
      <c r="W46" s="62"/>
      <c r="X46" s="62"/>
      <c r="Y46" s="62"/>
      <c r="Z46" s="62"/>
    </row>
    <row r="47" spans="1:26" x14ac:dyDescent="0.25">
      <c r="A47" s="62"/>
      <c r="B47" s="62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2"/>
      <c r="Q47" s="62"/>
      <c r="R47" s="62"/>
      <c r="S47" s="62"/>
      <c r="T47" s="62"/>
      <c r="U47" s="62"/>
      <c r="V47" s="62"/>
      <c r="W47" s="62"/>
      <c r="X47" s="62"/>
      <c r="Y47" s="62"/>
      <c r="Z47" s="62"/>
    </row>
    <row r="48" spans="1:26" x14ac:dyDescent="0.25">
      <c r="A48" s="62"/>
      <c r="B48" s="62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2"/>
      <c r="Q48" s="62"/>
      <c r="R48" s="62"/>
      <c r="S48" s="62"/>
      <c r="T48" s="62"/>
      <c r="U48" s="62"/>
      <c r="V48" s="62"/>
      <c r="W48" s="62"/>
      <c r="X48" s="62"/>
      <c r="Y48" s="62"/>
      <c r="Z48" s="62"/>
    </row>
    <row r="49" spans="1:26" x14ac:dyDescent="0.25">
      <c r="A49" s="62"/>
      <c r="B49" s="62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2"/>
      <c r="Q49" s="62"/>
      <c r="R49" s="62"/>
      <c r="S49" s="62"/>
      <c r="T49" s="62"/>
      <c r="U49" s="62"/>
      <c r="V49" s="62"/>
      <c r="W49" s="62"/>
      <c r="X49" s="62"/>
      <c r="Y49" s="62"/>
      <c r="Z49" s="62"/>
    </row>
    <row r="50" spans="1:26" x14ac:dyDescent="0.25">
      <c r="A50" s="62"/>
      <c r="B50" s="62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2"/>
      <c r="Q50" s="62"/>
      <c r="R50" s="62"/>
      <c r="S50" s="62"/>
      <c r="T50" s="62"/>
      <c r="U50" s="62"/>
      <c r="V50" s="62"/>
      <c r="W50" s="62"/>
      <c r="X50" s="62"/>
      <c r="Y50" s="62"/>
      <c r="Z50" s="62"/>
    </row>
    <row r="51" spans="1:26" x14ac:dyDescent="0.25">
      <c r="A51" s="62"/>
      <c r="B51" s="62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2"/>
      <c r="Q51" s="62"/>
      <c r="R51" s="62"/>
      <c r="S51" s="62"/>
      <c r="T51" s="62"/>
      <c r="U51" s="62"/>
      <c r="V51" s="62"/>
      <c r="W51" s="62"/>
      <c r="X51" s="62"/>
      <c r="Y51" s="62"/>
      <c r="Z51" s="62"/>
    </row>
    <row r="52" spans="1:26" x14ac:dyDescent="0.25">
      <c r="A52" s="62"/>
      <c r="B52" s="62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2"/>
      <c r="Q52" s="62"/>
      <c r="R52" s="62"/>
      <c r="S52" s="62"/>
      <c r="T52" s="62"/>
      <c r="U52" s="62"/>
      <c r="V52" s="62"/>
      <c r="W52" s="62"/>
      <c r="X52" s="62"/>
      <c r="Y52" s="62"/>
      <c r="Z52" s="62"/>
    </row>
    <row r="53" spans="1:26" x14ac:dyDescent="0.25">
      <c r="A53" s="62"/>
      <c r="B53" s="62"/>
      <c r="C53" s="62"/>
      <c r="D53" s="62"/>
      <c r="E53" s="62"/>
      <c r="F53" s="62"/>
      <c r="G53" s="62"/>
      <c r="H53" s="62"/>
      <c r="I53" s="62"/>
      <c r="J53" s="62"/>
      <c r="K53" s="62"/>
      <c r="L53" s="62"/>
      <c r="M53" s="62"/>
      <c r="N53" s="62"/>
      <c r="O53" s="62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</row>
    <row r="54" spans="1:26" x14ac:dyDescent="0.25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</row>
    <row r="55" spans="1:26" x14ac:dyDescent="0.25">
      <c r="A55" s="62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</row>
    <row r="56" spans="1:26" x14ac:dyDescent="0.25">
      <c r="A56" s="62"/>
      <c r="B56" s="62"/>
      <c r="C56" s="62"/>
      <c r="D56" s="62"/>
      <c r="E56" s="62"/>
      <c r="F56" s="62"/>
      <c r="G56" s="62"/>
      <c r="H56" s="62"/>
      <c r="I56" s="62"/>
      <c r="J56" s="62"/>
      <c r="K56" s="62"/>
      <c r="L56" s="62"/>
      <c r="M56" s="62"/>
      <c r="N56" s="62"/>
      <c r="O56" s="62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</row>
    <row r="57" spans="1:26" x14ac:dyDescent="0.25">
      <c r="A57" s="62"/>
      <c r="B57" s="62"/>
      <c r="C57" s="62"/>
      <c r="D57" s="62"/>
      <c r="E57" s="62"/>
      <c r="F57" s="62"/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</row>
    <row r="58" spans="1:26" x14ac:dyDescent="0.25">
      <c r="A58" s="62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</row>
    <row r="59" spans="1:26" x14ac:dyDescent="0.25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</row>
    <row r="60" spans="1:26" x14ac:dyDescent="0.25">
      <c r="A60" s="62"/>
      <c r="B60" s="62"/>
      <c r="C60" s="62"/>
      <c r="D60" s="62"/>
      <c r="E60" s="62"/>
      <c r="F60" s="62"/>
      <c r="G60" s="62"/>
      <c r="H60" s="62"/>
      <c r="I60" s="62"/>
      <c r="J60" s="62"/>
      <c r="K60" s="62"/>
      <c r="L60" s="62"/>
      <c r="M60" s="62"/>
      <c r="N60" s="62"/>
      <c r="O60" s="62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</row>
    <row r="61" spans="1:26" x14ac:dyDescent="0.25">
      <c r="A61" s="62"/>
      <c r="B61" s="62"/>
      <c r="C61" s="62"/>
      <c r="D61" s="62"/>
      <c r="E61" s="62"/>
      <c r="F61" s="62"/>
      <c r="G61" s="62"/>
      <c r="H61" s="62"/>
      <c r="I61" s="62"/>
      <c r="J61" s="62"/>
      <c r="K61" s="62"/>
      <c r="L61" s="62"/>
      <c r="M61" s="62"/>
      <c r="N61" s="62"/>
      <c r="O61" s="62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</row>
    <row r="62" spans="1:26" x14ac:dyDescent="0.25">
      <c r="A62" s="62"/>
      <c r="B62" s="62"/>
      <c r="C62" s="62"/>
      <c r="D62" s="62"/>
      <c r="E62" s="62"/>
      <c r="F62" s="62"/>
      <c r="G62" s="62"/>
      <c r="H62" s="62"/>
      <c r="I62" s="62"/>
      <c r="J62" s="62"/>
      <c r="K62" s="62"/>
      <c r="L62" s="62"/>
      <c r="M62" s="62"/>
      <c r="N62" s="62"/>
      <c r="O62" s="62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</row>
    <row r="63" spans="1:26" x14ac:dyDescent="0.25">
      <c r="A63" s="62"/>
      <c r="B63" s="62"/>
      <c r="C63" s="62"/>
      <c r="D63" s="62"/>
      <c r="E63" s="62"/>
      <c r="F63" s="62"/>
      <c r="G63" s="62"/>
      <c r="H63" s="62"/>
      <c r="I63" s="62"/>
      <c r="J63" s="62"/>
      <c r="K63" s="62"/>
      <c r="L63" s="62"/>
      <c r="M63" s="62"/>
      <c r="N63" s="62"/>
      <c r="O63" s="62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</row>
    <row r="64" spans="1:26" x14ac:dyDescent="0.25">
      <c r="A64" s="62"/>
      <c r="B64" s="62"/>
      <c r="C64" s="62"/>
      <c r="D64" s="62"/>
      <c r="E64" s="62"/>
      <c r="F64" s="62"/>
      <c r="G64" s="62"/>
      <c r="H64" s="62"/>
      <c r="I64" s="62"/>
      <c r="J64" s="62"/>
      <c r="K64" s="62"/>
      <c r="L64" s="62"/>
      <c r="M64" s="62"/>
      <c r="N64" s="62"/>
      <c r="O64" s="62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</row>
    <row r="65" spans="1:26" x14ac:dyDescent="0.25">
      <c r="A65" s="62"/>
      <c r="B65" s="62"/>
      <c r="C65" s="62"/>
      <c r="D65" s="62"/>
      <c r="E65" s="62"/>
      <c r="F65" s="62"/>
      <c r="G65" s="62"/>
      <c r="H65" s="62"/>
      <c r="I65" s="62"/>
      <c r="J65" s="62"/>
      <c r="K65" s="62"/>
      <c r="L65" s="62"/>
      <c r="M65" s="62"/>
      <c r="N65" s="62"/>
      <c r="O65" s="62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</row>
    <row r="66" spans="1:26" x14ac:dyDescent="0.25">
      <c r="A66" s="62"/>
      <c r="B66" s="62"/>
      <c r="C66" s="62"/>
      <c r="D66" s="62"/>
      <c r="E66" s="62"/>
      <c r="F66" s="62"/>
      <c r="G66" s="62"/>
      <c r="H66" s="62"/>
      <c r="I66" s="62"/>
      <c r="J66" s="62"/>
      <c r="K66" s="62"/>
      <c r="L66" s="62"/>
      <c r="M66" s="62"/>
      <c r="N66" s="62"/>
      <c r="O66" s="62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</row>
    <row r="67" spans="1:26" x14ac:dyDescent="0.25">
      <c r="A67" s="62"/>
      <c r="B67" s="62"/>
      <c r="C67" s="62"/>
      <c r="D67" s="62"/>
      <c r="E67" s="62"/>
      <c r="F67" s="62"/>
      <c r="G67" s="62"/>
      <c r="H67" s="62"/>
      <c r="I67" s="62"/>
      <c r="J67" s="62"/>
      <c r="K67" s="62"/>
      <c r="L67" s="62"/>
      <c r="M67" s="62"/>
      <c r="N67" s="62"/>
      <c r="O67" s="62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</row>
    <row r="68" spans="1:26" x14ac:dyDescent="0.25">
      <c r="A68" s="62"/>
      <c r="B68" s="62"/>
      <c r="C68" s="62"/>
      <c r="D68" s="62"/>
      <c r="E68" s="62"/>
      <c r="F68" s="62"/>
      <c r="G68" s="62"/>
      <c r="H68" s="62"/>
      <c r="I68" s="62"/>
      <c r="J68" s="62"/>
      <c r="K68" s="62"/>
      <c r="L68" s="62"/>
      <c r="M68" s="62"/>
      <c r="N68" s="62"/>
      <c r="O68" s="62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</row>
    <row r="69" spans="1:26" x14ac:dyDescent="0.25">
      <c r="A69" s="62"/>
      <c r="B69" s="62"/>
      <c r="C69" s="62"/>
      <c r="D69" s="62"/>
      <c r="E69" s="62"/>
      <c r="F69" s="62"/>
      <c r="G69" s="62"/>
      <c r="H69" s="62"/>
      <c r="I69" s="62"/>
      <c r="J69" s="62"/>
      <c r="K69" s="62"/>
      <c r="L69" s="62"/>
      <c r="M69" s="62"/>
      <c r="N69" s="62"/>
      <c r="O69" s="62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</row>
    <row r="70" spans="1:26" x14ac:dyDescent="0.25">
      <c r="A70" s="62"/>
      <c r="B70" s="62"/>
      <c r="C70" s="62"/>
      <c r="D70" s="62"/>
      <c r="E70" s="62"/>
      <c r="F70" s="62"/>
      <c r="G70" s="62"/>
      <c r="H70" s="62"/>
      <c r="I70" s="62"/>
      <c r="J70" s="62"/>
      <c r="K70" s="62"/>
      <c r="L70" s="62"/>
      <c r="M70" s="62"/>
      <c r="N70" s="62"/>
      <c r="O70" s="62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</row>
    <row r="71" spans="1:26" x14ac:dyDescent="0.25">
      <c r="A71" s="62"/>
      <c r="B71" s="62"/>
      <c r="C71" s="62"/>
      <c r="D71" s="62"/>
      <c r="E71" s="62"/>
      <c r="F71" s="62"/>
      <c r="G71" s="62"/>
      <c r="H71" s="62"/>
      <c r="I71" s="62"/>
      <c r="J71" s="62"/>
      <c r="K71" s="62"/>
      <c r="L71" s="62"/>
      <c r="M71" s="62"/>
      <c r="N71" s="62"/>
      <c r="O71" s="62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</row>
    <row r="72" spans="1:26" x14ac:dyDescent="0.25">
      <c r="A72" s="62"/>
      <c r="B72" s="62"/>
      <c r="C72" s="62"/>
      <c r="D72" s="62"/>
      <c r="E72" s="62"/>
      <c r="F72" s="62"/>
      <c r="G72" s="62"/>
      <c r="H72" s="62"/>
      <c r="I72" s="62"/>
      <c r="J72" s="62"/>
      <c r="K72" s="62"/>
      <c r="L72" s="62"/>
      <c r="M72" s="62"/>
      <c r="N72" s="62"/>
      <c r="O72" s="62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</row>
    <row r="73" spans="1:26" x14ac:dyDescent="0.25">
      <c r="A73" s="62"/>
      <c r="B73" s="62"/>
      <c r="C73" s="62"/>
      <c r="D73" s="62"/>
      <c r="E73" s="62"/>
      <c r="F73" s="62"/>
      <c r="G73" s="62"/>
      <c r="H73" s="62"/>
      <c r="I73" s="62"/>
      <c r="J73" s="62"/>
      <c r="K73" s="62"/>
      <c r="L73" s="62"/>
      <c r="M73" s="62"/>
      <c r="N73" s="62"/>
      <c r="O73" s="62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</row>
    <row r="74" spans="1:26" x14ac:dyDescent="0.25">
      <c r="A74" s="62"/>
      <c r="B74" s="62"/>
      <c r="C74" s="62"/>
      <c r="D74" s="62"/>
      <c r="E74" s="62"/>
      <c r="F74" s="62"/>
      <c r="G74" s="62"/>
      <c r="H74" s="62"/>
      <c r="I74" s="62"/>
      <c r="J74" s="62"/>
      <c r="K74" s="62"/>
      <c r="L74" s="62"/>
      <c r="M74" s="62"/>
      <c r="N74" s="62"/>
      <c r="O74" s="62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</row>
    <row r="75" spans="1:26" x14ac:dyDescent="0.25">
      <c r="A75" s="62"/>
      <c r="B75" s="62"/>
      <c r="C75" s="62"/>
      <c r="D75" s="62"/>
      <c r="E75" s="62"/>
      <c r="F75" s="62"/>
      <c r="G75" s="62"/>
      <c r="H75" s="62"/>
      <c r="I75" s="62"/>
      <c r="J75" s="62"/>
      <c r="K75" s="62"/>
      <c r="L75" s="62"/>
      <c r="M75" s="62"/>
      <c r="N75" s="62"/>
      <c r="O75" s="62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</row>
    <row r="76" spans="1:26" x14ac:dyDescent="0.25">
      <c r="A76" s="62"/>
      <c r="B76" s="62"/>
      <c r="C76" s="62"/>
      <c r="D76" s="62"/>
      <c r="E76" s="62"/>
      <c r="F76" s="62"/>
      <c r="G76" s="62"/>
      <c r="H76" s="62"/>
      <c r="I76" s="62"/>
      <c r="J76" s="62"/>
      <c r="K76" s="62"/>
      <c r="L76" s="62"/>
      <c r="M76" s="62"/>
      <c r="N76" s="62"/>
      <c r="O76" s="62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</row>
    <row r="77" spans="1:26" x14ac:dyDescent="0.25">
      <c r="A77" s="62"/>
      <c r="B77" s="62"/>
      <c r="C77" s="62"/>
      <c r="D77" s="62"/>
      <c r="E77" s="62"/>
      <c r="F77" s="62"/>
      <c r="G77" s="62"/>
      <c r="H77" s="62"/>
      <c r="I77" s="62"/>
      <c r="J77" s="62"/>
      <c r="K77" s="62"/>
      <c r="L77" s="62"/>
      <c r="M77" s="62"/>
      <c r="N77" s="62"/>
      <c r="O77" s="62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</row>
    <row r="78" spans="1:26" x14ac:dyDescent="0.25">
      <c r="A78" s="62"/>
      <c r="B78" s="62"/>
      <c r="C78" s="62"/>
      <c r="D78" s="62"/>
      <c r="E78" s="62"/>
      <c r="F78" s="62"/>
      <c r="G78" s="62"/>
      <c r="H78" s="62"/>
      <c r="I78" s="62"/>
      <c r="J78" s="62"/>
      <c r="K78" s="62"/>
      <c r="L78" s="62"/>
      <c r="M78" s="62"/>
      <c r="N78" s="62"/>
      <c r="O78" s="62"/>
      <c r="P78" s="62"/>
      <c r="Q78" s="62"/>
      <c r="R78" s="62"/>
      <c r="S78" s="62"/>
      <c r="T78" s="62"/>
      <c r="U78" s="62"/>
      <c r="V78" s="62"/>
      <c r="W78" s="62"/>
      <c r="X78" s="62"/>
      <c r="Y78" s="62"/>
      <c r="Z78" s="62"/>
    </row>
    <row r="79" spans="1:26" x14ac:dyDescent="0.25">
      <c r="A79" s="62"/>
      <c r="B79" s="62"/>
      <c r="C79" s="62"/>
      <c r="D79" s="62"/>
      <c r="E79" s="62"/>
      <c r="F79" s="62"/>
      <c r="G79" s="62"/>
      <c r="H79" s="62"/>
      <c r="I79" s="62"/>
      <c r="J79" s="62"/>
      <c r="K79" s="62"/>
      <c r="L79" s="62"/>
      <c r="M79" s="62"/>
      <c r="N79" s="62"/>
      <c r="O79" s="62"/>
      <c r="P79" s="62"/>
      <c r="Q79" s="62"/>
      <c r="R79" s="62"/>
      <c r="S79" s="62"/>
      <c r="T79" s="62"/>
      <c r="U79" s="62"/>
      <c r="V79" s="62"/>
      <c r="W79" s="62"/>
      <c r="X79" s="62"/>
      <c r="Y79" s="62"/>
      <c r="Z79" s="62"/>
    </row>
    <row r="80" spans="1:26" x14ac:dyDescent="0.25">
      <c r="A80" s="62"/>
      <c r="B80" s="62"/>
      <c r="C80" s="62"/>
      <c r="D80" s="62"/>
      <c r="E80" s="62"/>
      <c r="F80" s="62"/>
      <c r="G80" s="62"/>
      <c r="H80" s="62"/>
      <c r="I80" s="62"/>
      <c r="J80" s="62"/>
      <c r="K80" s="62"/>
      <c r="L80" s="62"/>
      <c r="M80" s="62"/>
      <c r="N80" s="62"/>
      <c r="O80" s="62"/>
      <c r="P80" s="62"/>
      <c r="Q80" s="62"/>
      <c r="R80" s="62"/>
      <c r="S80" s="62"/>
      <c r="T80" s="62"/>
      <c r="U80" s="62"/>
      <c r="V80" s="62"/>
      <c r="W80" s="62"/>
      <c r="X80" s="62"/>
      <c r="Y80" s="62"/>
      <c r="Z80" s="62"/>
    </row>
    <row r="81" spans="1:26" x14ac:dyDescent="0.25">
      <c r="A81" s="62"/>
      <c r="B81" s="62"/>
      <c r="C81" s="62"/>
      <c r="D81" s="62"/>
      <c r="E81" s="62"/>
      <c r="F81" s="62"/>
      <c r="G81" s="62"/>
      <c r="H81" s="62"/>
      <c r="I81" s="62"/>
      <c r="J81" s="62"/>
      <c r="K81" s="62"/>
      <c r="L81" s="62"/>
      <c r="M81" s="62"/>
      <c r="N81" s="62"/>
      <c r="O81" s="62"/>
      <c r="P81" s="62"/>
      <c r="Q81" s="62"/>
      <c r="R81" s="62"/>
      <c r="S81" s="62"/>
      <c r="T81" s="62"/>
      <c r="U81" s="62"/>
      <c r="V81" s="62"/>
      <c r="W81" s="62"/>
      <c r="X81" s="62"/>
      <c r="Y81" s="62"/>
      <c r="Z81" s="62"/>
    </row>
    <row r="82" spans="1:26" x14ac:dyDescent="0.25">
      <c r="A82" s="62"/>
      <c r="B82" s="62"/>
      <c r="C82" s="62"/>
      <c r="D82" s="62"/>
      <c r="E82" s="62"/>
      <c r="F82" s="62"/>
      <c r="G82" s="62"/>
      <c r="H82" s="62"/>
      <c r="I82" s="62"/>
      <c r="J82" s="62"/>
      <c r="K82" s="62"/>
      <c r="L82" s="62"/>
      <c r="M82" s="62"/>
      <c r="N82" s="62"/>
      <c r="O82" s="62"/>
      <c r="P82" s="62"/>
      <c r="Q82" s="62"/>
      <c r="R82" s="62"/>
      <c r="S82" s="62"/>
      <c r="T82" s="62"/>
      <c r="U82" s="62"/>
      <c r="V82" s="62"/>
      <c r="W82" s="62"/>
      <c r="X82" s="62"/>
      <c r="Y82" s="62"/>
      <c r="Z82" s="62"/>
    </row>
    <row r="83" spans="1:26" x14ac:dyDescent="0.25">
      <c r="A83" s="62"/>
      <c r="B83" s="62"/>
      <c r="C83" s="62"/>
      <c r="D83" s="62"/>
      <c r="E83" s="62"/>
      <c r="F83" s="62"/>
      <c r="G83" s="62"/>
      <c r="H83" s="62"/>
      <c r="I83" s="62"/>
      <c r="J83" s="62"/>
      <c r="K83" s="62"/>
      <c r="L83" s="62"/>
      <c r="M83" s="62"/>
      <c r="N83" s="62"/>
      <c r="O83" s="62"/>
      <c r="P83" s="62"/>
      <c r="Q83" s="62"/>
      <c r="R83" s="62"/>
      <c r="S83" s="62"/>
      <c r="T83" s="62"/>
      <c r="U83" s="62"/>
      <c r="V83" s="62"/>
      <c r="W83" s="62"/>
      <c r="X83" s="62"/>
      <c r="Y83" s="62"/>
      <c r="Z83" s="62"/>
    </row>
    <row r="84" spans="1:26" x14ac:dyDescent="0.25">
      <c r="A84" s="62"/>
      <c r="B84" s="62"/>
      <c r="C84" s="62"/>
      <c r="D84" s="62"/>
      <c r="E84" s="62"/>
      <c r="F84" s="62"/>
      <c r="G84" s="62"/>
      <c r="H84" s="62"/>
      <c r="I84" s="62"/>
      <c r="J84" s="62"/>
      <c r="K84" s="62"/>
      <c r="L84" s="62"/>
      <c r="M84" s="62"/>
      <c r="N84" s="62"/>
      <c r="O84" s="62"/>
      <c r="P84" s="62"/>
      <c r="Q84" s="62"/>
      <c r="R84" s="62"/>
      <c r="S84" s="62"/>
      <c r="T84" s="62"/>
      <c r="U84" s="62"/>
      <c r="V84" s="62"/>
      <c r="W84" s="62"/>
      <c r="X84" s="62"/>
      <c r="Y84" s="62"/>
      <c r="Z84" s="62"/>
    </row>
    <row r="85" spans="1:26" x14ac:dyDescent="0.25">
      <c r="A85" s="62"/>
      <c r="B85" s="62"/>
      <c r="C85" s="62"/>
      <c r="D85" s="62"/>
      <c r="E85" s="62"/>
      <c r="F85" s="62"/>
      <c r="G85" s="62"/>
      <c r="H85" s="62"/>
      <c r="I85" s="62"/>
      <c r="J85" s="62"/>
      <c r="K85" s="62"/>
      <c r="L85" s="62"/>
      <c r="M85" s="62"/>
      <c r="N85" s="62"/>
      <c r="O85" s="62"/>
      <c r="P85" s="62"/>
      <c r="Q85" s="62"/>
      <c r="R85" s="62"/>
      <c r="S85" s="62"/>
      <c r="T85" s="62"/>
      <c r="U85" s="62"/>
      <c r="V85" s="62"/>
      <c r="W85" s="62"/>
      <c r="X85" s="62"/>
      <c r="Y85" s="62"/>
      <c r="Z85" s="62"/>
    </row>
    <row r="86" spans="1:26" x14ac:dyDescent="0.25">
      <c r="A86" s="62"/>
      <c r="B86" s="62"/>
      <c r="C86" s="62"/>
      <c r="D86" s="62"/>
      <c r="E86" s="62"/>
      <c r="F86" s="62"/>
      <c r="G86" s="62"/>
      <c r="H86" s="62"/>
      <c r="I86" s="62"/>
      <c r="J86" s="62"/>
      <c r="K86" s="62"/>
      <c r="L86" s="62"/>
      <c r="M86" s="62"/>
      <c r="N86" s="62"/>
      <c r="O86" s="62"/>
      <c r="P86" s="62"/>
      <c r="Q86" s="62"/>
      <c r="R86" s="62"/>
      <c r="S86" s="62"/>
      <c r="T86" s="62"/>
      <c r="U86" s="62"/>
      <c r="V86" s="62"/>
      <c r="W86" s="62"/>
      <c r="X86" s="62"/>
      <c r="Y86" s="62"/>
      <c r="Z86" s="62"/>
    </row>
    <row r="87" spans="1:26" x14ac:dyDescent="0.25">
      <c r="A87" s="62"/>
      <c r="B87" s="62"/>
      <c r="C87" s="62"/>
      <c r="D87" s="62"/>
      <c r="E87" s="62"/>
      <c r="F87" s="62"/>
      <c r="G87" s="62"/>
      <c r="H87" s="62"/>
      <c r="I87" s="62"/>
      <c r="J87" s="62"/>
      <c r="K87" s="62"/>
      <c r="L87" s="62"/>
      <c r="M87" s="62"/>
      <c r="N87" s="62"/>
      <c r="O87" s="62"/>
      <c r="P87" s="62"/>
      <c r="Q87" s="62"/>
      <c r="R87" s="62"/>
      <c r="S87" s="62"/>
      <c r="T87" s="62"/>
      <c r="U87" s="62"/>
      <c r="V87" s="62"/>
      <c r="W87" s="62"/>
      <c r="X87" s="62"/>
      <c r="Y87" s="62"/>
      <c r="Z87" s="62"/>
    </row>
    <row r="88" spans="1:26" x14ac:dyDescent="0.25">
      <c r="A88" s="62"/>
      <c r="B88" s="62"/>
      <c r="C88" s="62"/>
      <c r="D88" s="62"/>
      <c r="E88" s="62"/>
      <c r="F88" s="62"/>
      <c r="G88" s="62"/>
      <c r="H88" s="62"/>
      <c r="I88" s="62"/>
      <c r="J88" s="62"/>
      <c r="K88" s="62"/>
      <c r="L88" s="62"/>
      <c r="M88" s="62"/>
      <c r="N88" s="62"/>
      <c r="O88" s="62"/>
      <c r="P88" s="62"/>
      <c r="Q88" s="62"/>
      <c r="R88" s="62"/>
      <c r="S88" s="62"/>
      <c r="T88" s="62"/>
      <c r="U88" s="62"/>
      <c r="V88" s="62"/>
      <c r="W88" s="62"/>
      <c r="X88" s="62"/>
      <c r="Y88" s="62"/>
      <c r="Z88" s="62"/>
    </row>
    <row r="89" spans="1:26" x14ac:dyDescent="0.25">
      <c r="A89" s="62"/>
      <c r="B89" s="62"/>
      <c r="C89" s="62"/>
      <c r="D89" s="62"/>
      <c r="E89" s="62"/>
      <c r="F89" s="62"/>
      <c r="G89" s="62"/>
      <c r="H89" s="62"/>
      <c r="I89" s="62"/>
      <c r="J89" s="62"/>
      <c r="K89" s="62"/>
      <c r="L89" s="62"/>
      <c r="M89" s="62"/>
      <c r="N89" s="62"/>
      <c r="O89" s="62"/>
      <c r="P89" s="62"/>
      <c r="Q89" s="62"/>
      <c r="R89" s="62"/>
      <c r="S89" s="62"/>
      <c r="T89" s="62"/>
      <c r="U89" s="62"/>
      <c r="V89" s="62"/>
      <c r="W89" s="62"/>
      <c r="X89" s="62"/>
      <c r="Y89" s="62"/>
      <c r="Z89" s="62"/>
    </row>
    <row r="90" spans="1:26" x14ac:dyDescent="0.25">
      <c r="A90" s="62"/>
      <c r="B90" s="62"/>
      <c r="C90" s="62"/>
      <c r="D90" s="62"/>
      <c r="E90" s="62"/>
      <c r="F90" s="62"/>
      <c r="G90" s="62"/>
      <c r="H90" s="62"/>
      <c r="I90" s="62"/>
      <c r="J90" s="62"/>
      <c r="K90" s="62"/>
      <c r="L90" s="62"/>
      <c r="M90" s="62"/>
      <c r="N90" s="62"/>
      <c r="O90" s="62"/>
      <c r="P90" s="62"/>
      <c r="Q90" s="62"/>
      <c r="R90" s="62"/>
      <c r="S90" s="62"/>
      <c r="T90" s="62"/>
      <c r="U90" s="62"/>
      <c r="V90" s="62"/>
      <c r="W90" s="62"/>
      <c r="X90" s="62"/>
      <c r="Y90" s="62"/>
      <c r="Z90" s="62"/>
    </row>
    <row r="91" spans="1:26" x14ac:dyDescent="0.25">
      <c r="A91" s="62"/>
      <c r="B91" s="62"/>
      <c r="C91" s="62"/>
      <c r="D91" s="62"/>
      <c r="E91" s="62"/>
      <c r="F91" s="62"/>
      <c r="G91" s="62"/>
      <c r="H91" s="62"/>
      <c r="I91" s="62"/>
      <c r="J91" s="62"/>
      <c r="K91" s="62"/>
      <c r="L91" s="62"/>
      <c r="M91" s="62"/>
      <c r="N91" s="62"/>
      <c r="O91" s="62"/>
      <c r="P91" s="62"/>
      <c r="Q91" s="62"/>
      <c r="R91" s="62"/>
      <c r="S91" s="62"/>
      <c r="T91" s="62"/>
      <c r="U91" s="62"/>
      <c r="V91" s="62"/>
      <c r="W91" s="62"/>
      <c r="X91" s="62"/>
      <c r="Y91" s="62"/>
      <c r="Z91" s="62"/>
    </row>
    <row r="92" spans="1:26" x14ac:dyDescent="0.25">
      <c r="A92" s="62"/>
      <c r="B92" s="62"/>
      <c r="C92" s="62"/>
      <c r="D92" s="62"/>
      <c r="E92" s="62"/>
      <c r="F92" s="62"/>
      <c r="G92" s="62"/>
      <c r="H92" s="62"/>
      <c r="I92" s="62"/>
      <c r="J92" s="62"/>
      <c r="K92" s="62"/>
      <c r="L92" s="62"/>
      <c r="M92" s="62"/>
      <c r="N92" s="62"/>
      <c r="O92" s="62"/>
      <c r="P92" s="62"/>
      <c r="Q92" s="62"/>
      <c r="R92" s="62"/>
      <c r="S92" s="62"/>
      <c r="T92" s="62"/>
      <c r="U92" s="62"/>
      <c r="V92" s="62"/>
      <c r="W92" s="62"/>
      <c r="X92" s="62"/>
      <c r="Y92" s="62"/>
      <c r="Z92" s="62"/>
    </row>
    <row r="93" spans="1:26" x14ac:dyDescent="0.25">
      <c r="A93" s="62"/>
      <c r="B93" s="62"/>
      <c r="C93" s="62"/>
      <c r="D93" s="62"/>
      <c r="E93" s="62"/>
      <c r="F93" s="62"/>
      <c r="G93" s="62"/>
      <c r="H93" s="62"/>
      <c r="I93" s="62"/>
      <c r="J93" s="62"/>
      <c r="K93" s="62"/>
      <c r="L93" s="62"/>
      <c r="M93" s="62"/>
      <c r="N93" s="62"/>
      <c r="O93" s="62"/>
      <c r="P93" s="62"/>
      <c r="Q93" s="62"/>
      <c r="R93" s="62"/>
      <c r="S93" s="62"/>
      <c r="T93" s="62"/>
      <c r="U93" s="62"/>
      <c r="V93" s="62"/>
      <c r="W93" s="62"/>
      <c r="X93" s="62"/>
      <c r="Y93" s="62"/>
      <c r="Z93" s="62"/>
    </row>
    <row r="94" spans="1:26" x14ac:dyDescent="0.25">
      <c r="A94" s="62"/>
      <c r="B94" s="62"/>
      <c r="C94" s="62"/>
      <c r="D94" s="62"/>
      <c r="E94" s="62"/>
      <c r="F94" s="62"/>
      <c r="G94" s="62"/>
      <c r="H94" s="62"/>
      <c r="I94" s="62"/>
      <c r="J94" s="62"/>
      <c r="K94" s="62"/>
      <c r="L94" s="62"/>
      <c r="M94" s="62"/>
      <c r="N94" s="62"/>
      <c r="O94" s="62"/>
      <c r="P94" s="62"/>
      <c r="Q94" s="62"/>
      <c r="R94" s="62"/>
      <c r="S94" s="62"/>
      <c r="T94" s="62"/>
      <c r="U94" s="62"/>
      <c r="V94" s="62"/>
      <c r="W94" s="62"/>
      <c r="X94" s="62"/>
      <c r="Y94" s="62"/>
      <c r="Z94" s="62"/>
    </row>
    <row r="95" spans="1:26" x14ac:dyDescent="0.25">
      <c r="A95" s="62"/>
      <c r="B95" s="62"/>
      <c r="C95" s="62"/>
      <c r="D95" s="62"/>
      <c r="E95" s="62"/>
      <c r="F95" s="62"/>
      <c r="G95" s="62"/>
      <c r="H95" s="62"/>
      <c r="I95" s="62"/>
      <c r="J95" s="62"/>
      <c r="K95" s="62"/>
      <c r="L95" s="62"/>
      <c r="M95" s="62"/>
      <c r="N95" s="62"/>
      <c r="O95" s="62"/>
      <c r="P95" s="62"/>
      <c r="Q95" s="62"/>
      <c r="R95" s="62"/>
      <c r="S95" s="62"/>
      <c r="T95" s="62"/>
      <c r="U95" s="62"/>
      <c r="V95" s="62"/>
      <c r="W95" s="62"/>
      <c r="X95" s="62"/>
      <c r="Y95" s="62"/>
      <c r="Z95" s="62"/>
    </row>
    <row r="96" spans="1:26" x14ac:dyDescent="0.25">
      <c r="A96" s="62"/>
      <c r="B96" s="62"/>
      <c r="C96" s="62"/>
      <c r="D96" s="62"/>
      <c r="E96" s="62"/>
      <c r="F96" s="62"/>
      <c r="G96" s="62"/>
      <c r="H96" s="62"/>
      <c r="I96" s="62"/>
      <c r="J96" s="62"/>
      <c r="K96" s="62"/>
      <c r="L96" s="62"/>
      <c r="M96" s="62"/>
      <c r="N96" s="62"/>
      <c r="O96" s="62"/>
      <c r="P96" s="62"/>
      <c r="Q96" s="62"/>
      <c r="R96" s="62"/>
      <c r="S96" s="62"/>
      <c r="T96" s="62"/>
      <c r="U96" s="62"/>
      <c r="V96" s="62"/>
      <c r="W96" s="62"/>
      <c r="X96" s="62"/>
      <c r="Y96" s="62"/>
      <c r="Z96" s="62"/>
    </row>
    <row r="97" spans="1:26" x14ac:dyDescent="0.25">
      <c r="A97" s="62"/>
      <c r="B97" s="62"/>
      <c r="C97" s="62"/>
      <c r="D97" s="62"/>
      <c r="E97" s="62"/>
      <c r="F97" s="62"/>
      <c r="G97" s="62"/>
      <c r="H97" s="62"/>
      <c r="I97" s="62"/>
      <c r="J97" s="62"/>
      <c r="K97" s="62"/>
      <c r="L97" s="62"/>
      <c r="M97" s="62"/>
      <c r="N97" s="62"/>
      <c r="O97" s="62"/>
      <c r="P97" s="62"/>
      <c r="Q97" s="62"/>
      <c r="R97" s="62"/>
      <c r="S97" s="62"/>
      <c r="T97" s="62"/>
      <c r="U97" s="62"/>
      <c r="V97" s="62"/>
      <c r="W97" s="62"/>
      <c r="X97" s="62"/>
      <c r="Y97" s="62"/>
      <c r="Z97" s="62"/>
    </row>
    <row r="98" spans="1:26" x14ac:dyDescent="0.25">
      <c r="A98" s="62"/>
      <c r="B98" s="62"/>
      <c r="C98" s="62"/>
      <c r="D98" s="62"/>
      <c r="E98" s="62"/>
      <c r="F98" s="62"/>
      <c r="G98" s="62"/>
      <c r="H98" s="62"/>
      <c r="I98" s="62"/>
      <c r="J98" s="62"/>
      <c r="K98" s="62"/>
      <c r="L98" s="62"/>
      <c r="M98" s="62"/>
      <c r="N98" s="62"/>
      <c r="O98" s="62"/>
      <c r="P98" s="62"/>
      <c r="Q98" s="62"/>
      <c r="R98" s="62"/>
      <c r="S98" s="62"/>
      <c r="T98" s="62"/>
      <c r="U98" s="62"/>
      <c r="V98" s="62"/>
      <c r="W98" s="62"/>
      <c r="X98" s="62"/>
      <c r="Y98" s="62"/>
      <c r="Z98" s="62"/>
    </row>
    <row r="99" spans="1:26" x14ac:dyDescent="0.25">
      <c r="A99" s="62"/>
      <c r="B99" s="62"/>
      <c r="C99" s="62"/>
      <c r="D99" s="62"/>
      <c r="E99" s="62"/>
      <c r="F99" s="62"/>
      <c r="G99" s="62"/>
      <c r="H99" s="62"/>
      <c r="I99" s="62"/>
      <c r="J99" s="62"/>
      <c r="K99" s="62"/>
      <c r="L99" s="62"/>
      <c r="M99" s="62"/>
      <c r="N99" s="62"/>
      <c r="O99" s="62"/>
      <c r="P99" s="62"/>
      <c r="Q99" s="62"/>
      <c r="R99" s="62"/>
      <c r="S99" s="62"/>
      <c r="T99" s="62"/>
      <c r="U99" s="62"/>
      <c r="V99" s="62"/>
      <c r="W99" s="62"/>
      <c r="X99" s="62"/>
      <c r="Y99" s="62"/>
      <c r="Z99" s="62"/>
    </row>
    <row r="100" spans="1:26" x14ac:dyDescent="0.25">
      <c r="A100" s="62"/>
      <c r="B100" s="62"/>
      <c r="C100" s="62"/>
      <c r="D100" s="62"/>
      <c r="E100" s="62"/>
      <c r="F100" s="62"/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  <c r="Y100" s="62"/>
      <c r="Z100" s="62"/>
    </row>
    <row r="101" spans="1:26" x14ac:dyDescent="0.25">
      <c r="A101" s="62"/>
      <c r="B101" s="62"/>
      <c r="C101" s="62"/>
      <c r="D101" s="62"/>
      <c r="E101" s="62"/>
      <c r="F101" s="62"/>
      <c r="G101" s="62"/>
      <c r="H101" s="62"/>
      <c r="I101" s="62"/>
      <c r="J101" s="62"/>
      <c r="K101" s="62"/>
      <c r="L101" s="62"/>
      <c r="M101" s="62"/>
      <c r="N101" s="62"/>
      <c r="O101" s="62"/>
      <c r="P101" s="62"/>
      <c r="Q101" s="62"/>
      <c r="R101" s="62"/>
      <c r="S101" s="62"/>
      <c r="T101" s="62"/>
      <c r="U101" s="62"/>
      <c r="V101" s="62"/>
      <c r="W101" s="62"/>
      <c r="X101" s="62"/>
      <c r="Y101" s="62"/>
      <c r="Z101" s="62"/>
    </row>
    <row r="102" spans="1:26" x14ac:dyDescent="0.25">
      <c r="A102" s="62"/>
      <c r="B102" s="62"/>
      <c r="C102" s="62"/>
      <c r="D102" s="62"/>
      <c r="E102" s="62"/>
      <c r="F102" s="62"/>
      <c r="G102" s="62"/>
      <c r="H102" s="62"/>
      <c r="I102" s="62"/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</row>
  </sheetData>
  <dataValidations count="3">
    <dataValidation type="list" allowBlank="1" showInputMessage="1" showErrorMessage="1" sqref="D17 D18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12">
      <formula1>"EUR,USD,GBP,JPY,CHF,AUD,CNY,CNH"</formula1>
    </dataValidation>
    <dataValidation type="list" allowBlank="1" showInputMessage="1" showErrorMessage="1" sqref="D22">
      <formula1>"BackwardFlat,ForwardFlat,Linear,Parabolic,MonotonicParabolic,CubicNaturalSpline,MonotonicCubicNaturalSpline,KrugerCubic,FritschButlandCubic,Abcd"</formula1>
    </dataValidation>
  </dataValidations>
  <pageMargins left="0.7" right="0.7" top="0.75" bottom="0.75" header="0.3" footer="0.3"/>
  <pageSetup paperSize="9" orientation="portrait" r:id="rId1"/>
  <ignoredErrors>
    <ignoredError sqref="D20:D21 D19 D6 D13:D14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03"/>
  <sheetViews>
    <sheetView showGridLines="0" tabSelected="1" topLeftCell="C1" workbookViewId="0">
      <selection activeCell="D2" sqref="D2"/>
    </sheetView>
  </sheetViews>
  <sheetFormatPr defaultColWidth="3" defaultRowHeight="11.25" outlineLevelCol="1" x14ac:dyDescent="0.2"/>
  <cols>
    <col min="1" max="1" width="5" style="1" hidden="1" customWidth="1" outlineLevel="1"/>
    <col min="2" max="2" width="10" style="1" hidden="1" customWidth="1" outlineLevel="1"/>
    <col min="3" max="3" width="2.7109375" style="1" customWidth="1" collapsed="1"/>
    <col min="4" max="4" width="11" style="1" bestFit="1" customWidth="1"/>
    <col min="5" max="8" width="15.7109375" style="1" customWidth="1"/>
    <col min="9" max="9" width="2.7109375" style="5" customWidth="1"/>
    <col min="10" max="10" width="12" style="1" customWidth="1"/>
    <col min="11" max="12" width="7" style="1" customWidth="1"/>
    <col min="13" max="13" width="10" style="1" customWidth="1"/>
    <col min="14" max="15" width="8" style="1" customWidth="1"/>
    <col min="16" max="16" width="10" style="1" customWidth="1"/>
    <col min="17" max="18" width="8" style="1" customWidth="1"/>
    <col min="19" max="19" width="10" style="1" customWidth="1"/>
    <col min="20" max="21" width="7" style="1" customWidth="1"/>
    <col min="22" max="22" width="2.7109375" style="1" customWidth="1"/>
    <col min="23" max="23" width="10.28515625" style="1" customWidth="1"/>
    <col min="24" max="24" width="10.28515625" style="5" customWidth="1"/>
    <col min="25" max="25" width="10.28515625" style="1" customWidth="1"/>
    <col min="26" max="26" width="10.28515625" style="5" customWidth="1"/>
    <col min="27" max="27" width="10.28515625" style="1" customWidth="1"/>
    <col min="28" max="28" width="10.28515625" style="5" customWidth="1"/>
    <col min="29" max="29" width="10.28515625" style="1" customWidth="1"/>
    <col min="30" max="30" width="10.28515625" style="5" customWidth="1"/>
    <col min="31" max="31" width="2.7109375" style="11" customWidth="1"/>
    <col min="32" max="37" width="14.42578125" style="1" customWidth="1"/>
    <col min="38" max="16384" width="3" style="1"/>
  </cols>
  <sheetData>
    <row r="1" spans="1:57" x14ac:dyDescent="0.2">
      <c r="A1" s="2"/>
      <c r="B1" s="2"/>
      <c r="C1" s="2"/>
      <c r="D1" s="141" t="s">
        <v>8</v>
      </c>
      <c r="E1" s="2"/>
      <c r="F1" s="2"/>
      <c r="G1" s="2"/>
      <c r="H1" s="2"/>
      <c r="I1" s="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  <c r="Y1" s="2"/>
      <c r="Z1" s="3"/>
      <c r="AA1" s="2"/>
      <c r="AB1" s="3"/>
      <c r="AC1" s="2"/>
      <c r="AD1" s="3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</row>
    <row r="2" spans="1:57" ht="11.25" customHeight="1" x14ac:dyDescent="0.2">
      <c r="A2" s="2"/>
      <c r="B2" s="2"/>
      <c r="C2" s="2"/>
      <c r="D2" s="43"/>
      <c r="E2" s="25" t="s">
        <v>2</v>
      </c>
      <c r="F2" s="25">
        <v>0</v>
      </c>
      <c r="G2" s="44" t="s">
        <v>0</v>
      </c>
      <c r="H2" s="24" t="s">
        <v>1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</row>
    <row r="3" spans="1:57" ht="11.25" customHeight="1" x14ac:dyDescent="0.2">
      <c r="A3" s="2"/>
      <c r="B3" s="2"/>
      <c r="C3" s="2"/>
      <c r="D3" s="2"/>
      <c r="E3" s="118"/>
      <c r="F3" s="119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</row>
    <row r="4" spans="1:57" ht="11.25" customHeight="1" x14ac:dyDescent="0.2">
      <c r="A4" s="2"/>
      <c r="B4" s="2"/>
      <c r="C4" s="2"/>
      <c r="D4" s="120" t="s">
        <v>90</v>
      </c>
      <c r="E4" s="113"/>
      <c r="F4" s="33"/>
      <c r="G4" s="33"/>
      <c r="H4" s="114"/>
      <c r="I4" s="2"/>
      <c r="J4" s="12" t="s">
        <v>59</v>
      </c>
      <c r="K4" s="12"/>
      <c r="L4" s="12"/>
      <c r="M4" s="12" t="s">
        <v>19</v>
      </c>
      <c r="N4" s="12"/>
      <c r="O4" s="12"/>
      <c r="P4" s="12" t="s">
        <v>21</v>
      </c>
      <c r="Q4" s="12"/>
      <c r="R4" s="12"/>
      <c r="S4" s="12" t="s">
        <v>14</v>
      </c>
      <c r="T4" s="12"/>
      <c r="U4" s="12"/>
      <c r="V4" s="98" t="s">
        <v>70</v>
      </c>
      <c r="W4" s="165" t="s">
        <v>59</v>
      </c>
      <c r="X4" s="166"/>
      <c r="Y4" s="165" t="s">
        <v>19</v>
      </c>
      <c r="Z4" s="166"/>
      <c r="AA4" s="165" t="s">
        <v>21</v>
      </c>
      <c r="AB4" s="166"/>
      <c r="AC4" s="165" t="s">
        <v>14</v>
      </c>
      <c r="AD4" s="166"/>
      <c r="AE4" s="41" t="s">
        <v>70</v>
      </c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</row>
    <row r="5" spans="1:57" s="36" customFormat="1" ht="11.25" customHeight="1" x14ac:dyDescent="0.2">
      <c r="A5" s="34"/>
      <c r="B5" s="34"/>
      <c r="C5" s="34"/>
      <c r="D5" s="23" t="s">
        <v>85</v>
      </c>
      <c r="E5" s="23" t="s">
        <v>59</v>
      </c>
      <c r="F5" s="23" t="s">
        <v>19</v>
      </c>
      <c r="G5" s="23" t="s">
        <v>21</v>
      </c>
      <c r="H5" s="23" t="s">
        <v>14</v>
      </c>
      <c r="I5" s="34"/>
      <c r="J5" s="35" t="s">
        <v>66</v>
      </c>
      <c r="K5" s="27" t="s">
        <v>0</v>
      </c>
      <c r="L5" s="27" t="s">
        <v>1</v>
      </c>
      <c r="M5" s="35" t="s">
        <v>66</v>
      </c>
      <c r="N5" s="27" t="s">
        <v>0</v>
      </c>
      <c r="O5" s="27" t="s">
        <v>1</v>
      </c>
      <c r="P5" s="35" t="s">
        <v>66</v>
      </c>
      <c r="Q5" s="27" t="s">
        <v>0</v>
      </c>
      <c r="R5" s="27" t="s">
        <v>1</v>
      </c>
      <c r="S5" s="35" t="s">
        <v>66</v>
      </c>
      <c r="T5" s="27" t="s">
        <v>0</v>
      </c>
      <c r="U5" s="27" t="s">
        <v>1</v>
      </c>
      <c r="V5" s="98" t="s">
        <v>70</v>
      </c>
      <c r="W5" s="27" t="s">
        <v>71</v>
      </c>
      <c r="X5" s="27" t="s">
        <v>72</v>
      </c>
      <c r="Y5" s="27" t="s">
        <v>71</v>
      </c>
      <c r="Z5" s="27" t="s">
        <v>72</v>
      </c>
      <c r="AA5" s="27" t="s">
        <v>71</v>
      </c>
      <c r="AB5" s="27" t="s">
        <v>72</v>
      </c>
      <c r="AC5" s="27" t="s">
        <v>71</v>
      </c>
      <c r="AD5" s="27" t="s">
        <v>72</v>
      </c>
      <c r="AE5" s="42" t="s">
        <v>70</v>
      </c>
      <c r="AF5" s="34"/>
      <c r="AG5" s="34"/>
      <c r="AH5" s="34"/>
      <c r="AI5" s="34"/>
      <c r="AJ5" s="34"/>
      <c r="AK5" s="34"/>
      <c r="AL5" s="34"/>
      <c r="AM5" s="34"/>
      <c r="AN5" s="34"/>
      <c r="AO5" s="34"/>
      <c r="AP5" s="34"/>
      <c r="AQ5" s="34"/>
      <c r="AR5" s="34"/>
      <c r="AS5" s="34"/>
      <c r="AT5" s="34"/>
      <c r="AU5" s="34"/>
      <c r="AV5" s="34"/>
      <c r="AW5" s="34"/>
      <c r="AX5" s="34"/>
      <c r="AY5" s="34"/>
      <c r="AZ5" s="34"/>
      <c r="BA5" s="34"/>
      <c r="BB5" s="34"/>
      <c r="BC5" s="34"/>
      <c r="BD5" s="34"/>
      <c r="BE5" s="34"/>
    </row>
    <row r="6" spans="1:57" ht="11.25" customHeight="1" x14ac:dyDescent="0.2">
      <c r="A6" s="2"/>
      <c r="B6" s="2"/>
      <c r="C6" s="168" t="s">
        <v>91</v>
      </c>
      <c r="D6" s="20" t="s">
        <v>48</v>
      </c>
      <c r="E6" s="20" t="str">
        <f>IF(Contribute="abcd",IF($F$2&lt;&gt;-1,_xll.RtContribute(SourceAlias,J6,Fields,K6:L6,"SCOPE:SERVER"),_xll.RtContribute(SourceAlias,"DDS_INSERT_S",$F$2:$H$2,K6:L6,"SCOPE:SERVER FTC:ALL")),"stopped")</f>
        <v>stopped</v>
      </c>
      <c r="F6" s="142" t="str">
        <f>IF(Contribute="abcd",IF($F$2&lt;&gt;-1,_xll.RtContribute(SourceAlias,M6,Fields,N6:O6,"SCOPE:SERVER"),_xll.RtContribute(SourceAlias,"DDS_INSERT_S",$F$2:$H$2,M6:O6,"SCOPE:SERVER FTC:ALL")),"stopped")</f>
        <v>stopped</v>
      </c>
      <c r="G6" s="20" t="str">
        <f>IF(Contribute="abcd",IF($F$2&lt;&gt;-1,_xll.RtContribute(SourceAlias,P6,Fields,Q6:R6,"SCOPE:SERVER"),_xll.RtContribute(SourceAlias,"DDS_INSERT_S",$F$2:$H$2,P6:R6,"SCOPE:SERVER FTC:ALL")),"stopped")</f>
        <v>stopped</v>
      </c>
      <c r="H6" s="20" t="str">
        <f>IF(Contribute="abcd",IF($F$2&lt;&gt;-1,_xll.RtContribute(SourceAlias,S6,Fields,T6:U6,"SCOPE:SERVER"),_xll.RtContribute(SourceAlias,"DDS_INSERT_S",$F$2:$H$2,S6:U6,"SCOPE:SERVER FTC:ALL")),"stopped")</f>
        <v>stopped</v>
      </c>
      <c r="I6" s="2"/>
      <c r="J6" s="13" t="str">
        <f>Currency&amp;"ON"&amp;D6&amp;"="</f>
        <v>AUDONOND=</v>
      </c>
      <c r="K6" s="14">
        <f>'ON Pricing'!H6*100</f>
        <v>1.9998364093573029</v>
      </c>
      <c r="L6" s="14">
        <f>K6</f>
        <v>1.9998364093573029</v>
      </c>
      <c r="M6" s="122" t="str">
        <f t="shared" ref="M6:M12" si="0">Currency&amp;$M$4&amp;D6&amp;"="</f>
        <v>AUD1MOND=</v>
      </c>
      <c r="N6" s="123" t="e">
        <f>'1M Pricing'!H6*100</f>
        <v>#VALUE!</v>
      </c>
      <c r="O6" s="123" t="e">
        <f>N6</f>
        <v>#VALUE!</v>
      </c>
      <c r="P6" s="13" t="str">
        <f t="shared" ref="P6:P14" si="1">Currency&amp;$P$4&amp;D6&amp;"="</f>
        <v>AUD3MOND=</v>
      </c>
      <c r="Q6" s="14" t="e">
        <f>'3M Pricing'!H6*100</f>
        <v>#VALUE!</v>
      </c>
      <c r="R6" s="14" t="e">
        <f>Q6</f>
        <v>#VALUE!</v>
      </c>
      <c r="S6" s="13" t="str">
        <f t="shared" ref="S6:S17" si="2">Currency&amp;$S$4&amp;D6&amp;"="</f>
        <v>AUD6MOND=</v>
      </c>
      <c r="T6" s="14" t="e">
        <f>'6M Pricing'!H6*100</f>
        <v>#VALUE!</v>
      </c>
      <c r="U6" s="14" t="e">
        <f>T6</f>
        <v>#VALUE!</v>
      </c>
      <c r="V6" s="98" t="s">
        <v>70</v>
      </c>
      <c r="W6" s="14">
        <f>ABS(_xll.RtGet(SourceAlias,$J6,BID)-K6)</f>
        <v>3.6426972549463699E-9</v>
      </c>
      <c r="X6" s="14">
        <f>ABS(_xll.RtGet(SourceAlias,$J6,ASK)-L6)</f>
        <v>3.6426972549463699E-9</v>
      </c>
      <c r="Y6" s="124" t="e">
        <f>ABS(_xll.RtGet(SourceAlias,$M6,BID)-N6)</f>
        <v>#VALUE!</v>
      </c>
      <c r="Z6" s="124" t="e">
        <f>ABS(_xll.RtGet(SourceAlias,$M6,ASK)-O6)</f>
        <v>#VALUE!</v>
      </c>
      <c r="AA6" s="14" t="e">
        <f>ABS(_xll.RtGet(SourceAlias,$P6,BID)-Q6)</f>
        <v>#VALUE!</v>
      </c>
      <c r="AB6" s="14" t="e">
        <f>ABS(_xll.RtGet(SourceAlias,$P6,ASK)-R6)</f>
        <v>#VALUE!</v>
      </c>
      <c r="AC6" s="14" t="e">
        <f>ABS(_xll.RtGet(SourceAlias,$S6,BID)-T6)</f>
        <v>#VALUE!</v>
      </c>
      <c r="AD6" s="14" t="e">
        <f>ABS(_xll.RtGet(SourceAlias,$S6,ASK)-U6)</f>
        <v>#VALUE!</v>
      </c>
      <c r="AE6" s="41" t="s">
        <v>70</v>
      </c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</row>
    <row r="7" spans="1:57" ht="11.25" customHeight="1" x14ac:dyDescent="0.2">
      <c r="A7" s="2"/>
      <c r="B7" s="2"/>
      <c r="C7" s="169"/>
      <c r="D7" s="21" t="s">
        <v>95</v>
      </c>
      <c r="E7" s="21" t="str">
        <f>IF(Contribute="abcd",IF($F$2&lt;&gt;-1,_xll.RtContribute(SourceAlias,J7,Fields,K7:L7,"SCOPE:SERVER"),_xll.RtContribute(SourceAlias,"DDS_INSERT_S",$F$2:$H$2,K7:L7,"SCOPE:SERVER FTC:ALL")),"stopped")</f>
        <v>stopped</v>
      </c>
      <c r="F7" s="143" t="str">
        <f>IF(Contribute="abcd",IF($F$2&lt;&gt;-1,_xll.RtContribute(SourceAlias,M7,Fields,N7:O7,"SCOPE:SERVER"),_xll.RtContribute(SourceAlias,"DDS_INSERT_S",$F$2:$H$2,M7:O7,"SCOPE:SERVER FTC:ALL")),"stopped")</f>
        <v>stopped</v>
      </c>
      <c r="G7" s="21" t="str">
        <f>IF(Contribute="abcd",IF($F$2&lt;&gt;-1,_xll.RtContribute(SourceAlias,P7,Fields,Q7:R7,"SCOPE:SERVER"),_xll.RtContribute(SourceAlias,"DDS_INSERT_S",$F$2:$H$2,P7:R7,"SCOPE:SERVER FTC:ALL")),"stopped")</f>
        <v>stopped</v>
      </c>
      <c r="H7" s="21" t="str">
        <f>IF(Contribute="abcd",IF($F$2&lt;&gt;-1,_xll.RtContribute(SourceAlias,S7,Fields,T7:U7,"SCOPE:SERVER"),_xll.RtContribute(SourceAlias,"DDS_INSERT_S",$F$2:$H$2,S7:U7,"SCOPE:SERVER FTC:ALL")),"stopped")</f>
        <v>stopped</v>
      </c>
      <c r="I7" s="2"/>
      <c r="J7" s="15" t="str">
        <f>Currency&amp;"ON"&amp;D7&amp;"="</f>
        <v>AUDONTND=</v>
      </c>
      <c r="K7" s="16">
        <f>'ON Pricing'!H7*100</f>
        <v>1.9998226511594996</v>
      </c>
      <c r="L7" s="16">
        <f t="shared" ref="L7:L8" si="3">K7</f>
        <v>1.9998226511594996</v>
      </c>
      <c r="M7" s="125" t="str">
        <f t="shared" si="0"/>
        <v>AUD1MTND=</v>
      </c>
      <c r="N7" s="126" t="e">
        <f>'1M Pricing'!H7*100</f>
        <v>#VALUE!</v>
      </c>
      <c r="O7" s="126" t="e">
        <f t="shared" ref="O7:O8" si="4">N7</f>
        <v>#VALUE!</v>
      </c>
      <c r="P7" s="15" t="str">
        <f t="shared" si="1"/>
        <v>AUD3MTND=</v>
      </c>
      <c r="Q7" s="16" t="e">
        <f>'3M Pricing'!H7*100</f>
        <v>#VALUE!</v>
      </c>
      <c r="R7" s="16" t="e">
        <f t="shared" ref="R7:R8" si="5">Q7</f>
        <v>#VALUE!</v>
      </c>
      <c r="S7" s="15" t="str">
        <f t="shared" si="2"/>
        <v>AUD6MTND=</v>
      </c>
      <c r="T7" s="16" t="e">
        <f>'6M Pricing'!H7*100</f>
        <v>#VALUE!</v>
      </c>
      <c r="U7" s="16" t="e">
        <f t="shared" ref="U7:U8" si="6">T7</f>
        <v>#VALUE!</v>
      </c>
      <c r="V7" s="98" t="s">
        <v>70</v>
      </c>
      <c r="W7" s="16">
        <f>ABS(_xll.RtGet(SourceAlias,$J7,BID)-K7)</f>
        <v>3.8405003621733158E-9</v>
      </c>
      <c r="X7" s="16">
        <f>ABS(_xll.RtGet(SourceAlias,$J7,ASK)-L7)</f>
        <v>3.8405003621733158E-9</v>
      </c>
      <c r="Y7" s="127" t="e">
        <f>ABS(_xll.RtGet(SourceAlias,$M7,BID)-N7)</f>
        <v>#VALUE!</v>
      </c>
      <c r="Z7" s="127" t="e">
        <f>ABS(_xll.RtGet(SourceAlias,$M7,ASK)-O7)</f>
        <v>#VALUE!</v>
      </c>
      <c r="AA7" s="16" t="e">
        <f>ABS(_xll.RtGet(SourceAlias,$P7,BID)-Q7)</f>
        <v>#VALUE!</v>
      </c>
      <c r="AB7" s="16" t="e">
        <f>ABS(_xll.RtGet(SourceAlias,$P7,ASK)-R7)</f>
        <v>#VALUE!</v>
      </c>
      <c r="AC7" s="16" t="e">
        <f>ABS(_xll.RtGet(SourceAlias,$S7,BID)-T7)</f>
        <v>#VALUE!</v>
      </c>
      <c r="AD7" s="16" t="e">
        <f>ABS(_xll.RtGet(SourceAlias,$S7,ASK)-U7)</f>
        <v>#VALUE!</v>
      </c>
      <c r="AE7" s="41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</row>
    <row r="8" spans="1:57" ht="11.25" customHeight="1" x14ac:dyDescent="0.2">
      <c r="A8" s="2"/>
      <c r="B8" s="2"/>
      <c r="C8" s="169"/>
      <c r="D8" s="21" t="s">
        <v>96</v>
      </c>
      <c r="E8" s="21" t="str">
        <f>IF(Contribute="abcd",IF($F$2&lt;&gt;-1,_xll.RtContribute(SourceAlias,J8,Fields,K8:L8,"SCOPE:SERVER"),_xll.RtContribute(SourceAlias,"DDS_INSERT_S",$F$2:$H$2,K8:L8,"SCOPE:SERVER FTC:ALL")),"stopped")</f>
        <v>stopped</v>
      </c>
      <c r="F8" s="143" t="str">
        <f>IF(Contribute="abcd",IF($F$2&lt;&gt;-1,_xll.RtContribute(SourceAlias,M8,Fields,N8:O8,"SCOPE:SERVER"),_xll.RtContribute(SourceAlias,"DDS_INSERT_S",$F$2:$H$2,M8:O8,"SCOPE:SERVER FTC:ALL")),"stopped")</f>
        <v>stopped</v>
      </c>
      <c r="G8" s="21" t="str">
        <f>IF(Contribute="abcd",IF($F$2&lt;&gt;-1,_xll.RtContribute(SourceAlias,P8,Fields,Q8:R8,"SCOPE:SERVER"),_xll.RtContribute(SourceAlias,"DDS_INSERT_S",$F$2:$H$2,P8:R8,"SCOPE:SERVER FTC:ALL")),"stopped")</f>
        <v>stopped</v>
      </c>
      <c r="H8" s="21" t="str">
        <f>IF(Contribute="abcd",IF($F$2&lt;&gt;-1,_xll.RtContribute(SourceAlias,S8,Fields,T8:U8,"SCOPE:SERVER"),_xll.RtContribute(SourceAlias,"DDS_INSERT_S",$F$2:$H$2,S8:U8,"SCOPE:SERVER FTC:ALL")),"stopped")</f>
        <v>stopped</v>
      </c>
      <c r="I8" s="2"/>
      <c r="J8" s="15" t="str">
        <f>Currency&amp;"ON"&amp;D8&amp;"="</f>
        <v>AUDONSND=</v>
      </c>
      <c r="K8" s="16">
        <f>'ON Pricing'!H8*100</f>
        <v>1.9998226511594996</v>
      </c>
      <c r="L8" s="16">
        <f t="shared" si="3"/>
        <v>1.9998226511594996</v>
      </c>
      <c r="M8" s="125" t="str">
        <f t="shared" si="0"/>
        <v>AUD1MSND=</v>
      </c>
      <c r="N8" s="126" t="e">
        <f>'1M Pricing'!H8*100</f>
        <v>#NUM!</v>
      </c>
      <c r="O8" s="126" t="e">
        <f t="shared" si="4"/>
        <v>#NUM!</v>
      </c>
      <c r="P8" s="15" t="str">
        <f t="shared" si="1"/>
        <v>AUD3MSND=</v>
      </c>
      <c r="Q8" s="16" t="e">
        <f>'3M Pricing'!H8*100</f>
        <v>#NUM!</v>
      </c>
      <c r="R8" s="16" t="e">
        <f t="shared" si="5"/>
        <v>#NUM!</v>
      </c>
      <c r="S8" s="15" t="str">
        <f t="shared" si="2"/>
        <v>AUD6MSND=</v>
      </c>
      <c r="T8" s="16" t="e">
        <f>'6M Pricing'!H8*100</f>
        <v>#NUM!</v>
      </c>
      <c r="U8" s="16" t="e">
        <f t="shared" si="6"/>
        <v>#NUM!</v>
      </c>
      <c r="V8" s="98" t="s">
        <v>70</v>
      </c>
      <c r="W8" s="16">
        <f>ABS(_xll.RtGet(SourceAlias,$J8,BID)-K8)</f>
        <v>3.8405003621733158E-9</v>
      </c>
      <c r="X8" s="16">
        <f>ABS(_xll.RtGet(SourceAlias,$J8,ASK)-L8)</f>
        <v>3.8405003621733158E-9</v>
      </c>
      <c r="Y8" s="127" t="e">
        <f>ABS(_xll.RtGet(SourceAlias,$M8,BID)-N8)</f>
        <v>#NUM!</v>
      </c>
      <c r="Z8" s="127" t="e">
        <f>ABS(_xll.RtGet(SourceAlias,$M8,ASK)-O8)</f>
        <v>#NUM!</v>
      </c>
      <c r="AA8" s="16" t="e">
        <f>ABS(_xll.RtGet(SourceAlias,$P8,BID)-Q8)</f>
        <v>#NUM!</v>
      </c>
      <c r="AB8" s="16" t="e">
        <f>ABS(_xll.RtGet(SourceAlias,$P8,ASK)-R8)</f>
        <v>#NUM!</v>
      </c>
      <c r="AC8" s="16" t="e">
        <f>ABS(_xll.RtGet(SourceAlias,$S8,BID)-T8)</f>
        <v>#NUM!</v>
      </c>
      <c r="AD8" s="16" t="e">
        <f>ABS(_xll.RtGet(SourceAlias,$S8,ASK)-U8)</f>
        <v>#NUM!</v>
      </c>
      <c r="AE8" s="41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</row>
    <row r="9" spans="1:57" ht="11.25" customHeight="1" x14ac:dyDescent="0.2">
      <c r="A9" s="2"/>
      <c r="B9" s="2"/>
      <c r="C9" s="169"/>
      <c r="D9" s="21" t="s">
        <v>49</v>
      </c>
      <c r="E9" s="21" t="str">
        <f>IF(Contribute="abcd",IF($F$2&lt;&gt;-1,_xll.RtContribute(SourceAlias,J9,Fields,K9:L9,"SCOPE:SERVER"),_xll.RtContribute(SourceAlias,"DDS_INSERT_S",$F$2:$H$2,K9:L9,"SCOPE:SERVER FTC:ALL")),"stopped")</f>
        <v>stopped</v>
      </c>
      <c r="F9" s="143" t="str">
        <f>IF(Contribute="abcd",IF($F$2&lt;&gt;-1,_xll.RtContribute(SourceAlias,M9,Fields,N9:O9,"SCOPE:SERVER"),_xll.RtContribute(SourceAlias,"DDS_INSERT_S",$F$2:$H$2,M9:O9,"SCOPE:SERVER FTC:ALL")),"stopped")</f>
        <v>stopped</v>
      </c>
      <c r="G9" s="21" t="str">
        <f>IF(Contribute="abcd",IF($F$2&lt;&gt;-1,_xll.RtContribute(SourceAlias,P9,Fields,Q9:R9,"SCOPE:SERVER"),_xll.RtContribute(SourceAlias,"DDS_INSERT_S",$F$2:$H$2,P9:R9,"SCOPE:SERVER FTC:ALL")),"stopped")</f>
        <v>stopped</v>
      </c>
      <c r="H9" s="21" t="str">
        <f>IF(Contribute="abcd",IF($F$2&lt;&gt;-1,_xll.RtContribute(SourceAlias,S9,Fields,T9:U9,"SCOPE:SERVER"),_xll.RtContribute(SourceAlias,"DDS_INSERT_S",$F$2:$H$2,S9:U9,"SCOPE:SERVER FTC:ALL")),"stopped")</f>
        <v>stopped</v>
      </c>
      <c r="I9" s="2"/>
      <c r="J9" s="15" t="str">
        <f>Currency&amp;"ON"&amp;D9&amp;"="</f>
        <v>AUDONSWD=</v>
      </c>
      <c r="K9" s="16">
        <f>'ON Pricing'!H9*100</f>
        <v>2.0000000001161307</v>
      </c>
      <c r="L9" s="16">
        <f t="shared" ref="L9:L17" si="7">K9</f>
        <v>2.0000000001161307</v>
      </c>
      <c r="M9" s="125" t="str">
        <f t="shared" si="0"/>
        <v>AUD1MSWD=</v>
      </c>
      <c r="N9" s="126" t="e">
        <f>'1M Pricing'!H9*100</f>
        <v>#NUM!</v>
      </c>
      <c r="O9" s="126" t="e">
        <f t="shared" ref="O9:O12" si="8">N9</f>
        <v>#NUM!</v>
      </c>
      <c r="P9" s="15" t="str">
        <f t="shared" si="1"/>
        <v>AUD3MSWD=</v>
      </c>
      <c r="Q9" s="16" t="e">
        <f>'3M Pricing'!H9*100</f>
        <v>#NUM!</v>
      </c>
      <c r="R9" s="16" t="e">
        <f t="shared" ref="R9:R14" si="9">Q9</f>
        <v>#NUM!</v>
      </c>
      <c r="S9" s="15" t="str">
        <f t="shared" si="2"/>
        <v>AUD6MSWD=</v>
      </c>
      <c r="T9" s="16" t="e">
        <f>'6M Pricing'!H9*100</f>
        <v>#NUM!</v>
      </c>
      <c r="U9" s="16" t="e">
        <f t="shared" ref="U9:U17" si="10">T9</f>
        <v>#NUM!</v>
      </c>
      <c r="V9" s="98" t="s">
        <v>70</v>
      </c>
      <c r="W9" s="16">
        <f>ABS(_xll.RtGet(SourceAlias,$J9,BID)-K9)</f>
        <v>2.8838691434884822E-9</v>
      </c>
      <c r="X9" s="16">
        <f>ABS(_xll.RtGet(SourceAlias,$J9,ASK)-L9)</f>
        <v>2.8838691434884822E-9</v>
      </c>
      <c r="Y9" s="127" t="e">
        <f>ABS(_xll.RtGet(SourceAlias,$M9,BID)-N9)</f>
        <v>#NUM!</v>
      </c>
      <c r="Z9" s="127" t="e">
        <f>ABS(_xll.RtGet(SourceAlias,$M9,ASK)-O9)</f>
        <v>#NUM!</v>
      </c>
      <c r="AA9" s="16" t="e">
        <f>ABS(_xll.RtGet(SourceAlias,$P9,BID)-Q9)</f>
        <v>#NUM!</v>
      </c>
      <c r="AB9" s="16" t="e">
        <f>ABS(_xll.RtGet(SourceAlias,$P9,ASK)-R9)</f>
        <v>#NUM!</v>
      </c>
      <c r="AC9" s="16" t="e">
        <f>ABS(_xll.RtGet(SourceAlias,$S9,BID)-T9)</f>
        <v>#NUM!</v>
      </c>
      <c r="AD9" s="16" t="e">
        <f>ABS(_xll.RtGet(SourceAlias,$S9,ASK)-U9)</f>
        <v>#NUM!</v>
      </c>
      <c r="AE9" s="41" t="s">
        <v>70</v>
      </c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</row>
    <row r="10" spans="1:57" ht="11.25" customHeight="1" x14ac:dyDescent="0.2">
      <c r="A10" s="2"/>
      <c r="B10" s="2"/>
      <c r="C10" s="169"/>
      <c r="D10" s="21" t="s">
        <v>50</v>
      </c>
      <c r="E10" s="21" t="s">
        <v>70</v>
      </c>
      <c r="F10" s="143" t="str">
        <f>IF(Contribute="abcd",IF($F$2&lt;&gt;-1,_xll.RtContribute(SourceAlias,M10,Fields,N10:O10,"SCOPE:SERVER"),_xll.RtContribute(SourceAlias,"DDS_INSERT_S",$F$2:$H$2,M10:O10,"SCOPE:SERVER FTC:ALL")),"stopped")</f>
        <v>stopped</v>
      </c>
      <c r="G10" s="21" t="str">
        <f>IF(Contribute="abcd",IF($F$2&lt;&gt;-1,_xll.RtContribute(SourceAlias,P10,Fields,Q10:R10,"SCOPE:SERVER"),_xll.RtContribute(SourceAlias,"DDS_INSERT_S",$F$2:$H$2,P10:R10,"SCOPE:SERVER FTC:ALL")),"stopped")</f>
        <v>stopped</v>
      </c>
      <c r="H10" s="21" t="str">
        <f>IF(Contribute="abcd",IF($F$2&lt;&gt;-1,_xll.RtContribute(SourceAlias,S10,Fields,T10:U10,"SCOPE:SERVER"),_xll.RtContribute(SourceAlias,"DDS_INSERT_S",$F$2:$H$2,S10:U10,"SCOPE:SERVER FTC:ALL")),"stopped")</f>
        <v>stopped</v>
      </c>
      <c r="I10" s="2"/>
      <c r="J10" s="15"/>
      <c r="K10" s="16"/>
      <c r="L10" s="16"/>
      <c r="M10" s="125" t="str">
        <f t="shared" si="0"/>
        <v>AUD1M2WD=</v>
      </c>
      <c r="N10" s="126" t="e">
        <f>'1M Pricing'!H10*100</f>
        <v>#NUM!</v>
      </c>
      <c r="O10" s="126" t="e">
        <f t="shared" si="8"/>
        <v>#NUM!</v>
      </c>
      <c r="P10" s="15" t="str">
        <f t="shared" si="1"/>
        <v>AUD3M2WD=</v>
      </c>
      <c r="Q10" s="16" t="e">
        <f>'3M Pricing'!H10*100</f>
        <v>#NUM!</v>
      </c>
      <c r="R10" s="16" t="e">
        <f t="shared" si="9"/>
        <v>#NUM!</v>
      </c>
      <c r="S10" s="15" t="str">
        <f t="shared" si="2"/>
        <v>AUD6M2WD=</v>
      </c>
      <c r="T10" s="16" t="e">
        <f>'6M Pricing'!H10*100</f>
        <v>#NUM!</v>
      </c>
      <c r="U10" s="16" t="e">
        <f t="shared" si="10"/>
        <v>#NUM!</v>
      </c>
      <c r="V10" s="98" t="s">
        <v>70</v>
      </c>
      <c r="W10" s="16"/>
      <c r="X10" s="16"/>
      <c r="Y10" s="127" t="e">
        <f>ABS(_xll.RtGet(SourceAlias,$M10,BID)-N10)</f>
        <v>#NUM!</v>
      </c>
      <c r="Z10" s="127" t="e">
        <f>ABS(_xll.RtGet(SourceAlias,$M10,ASK)-O10)</f>
        <v>#NUM!</v>
      </c>
      <c r="AA10" s="16" t="e">
        <f>ABS(_xll.RtGet(SourceAlias,$P10,BID)-Q10)</f>
        <v>#NUM!</v>
      </c>
      <c r="AB10" s="16" t="e">
        <f>ABS(_xll.RtGet(SourceAlias,$P10,ASK)-R10)</f>
        <v>#NUM!</v>
      </c>
      <c r="AC10" s="16" t="e">
        <f>ABS(_xll.RtGet(SourceAlias,$S10,BID)-T10)</f>
        <v>#NUM!</v>
      </c>
      <c r="AD10" s="16" t="e">
        <f>ABS(_xll.RtGet(SourceAlias,$S10,ASK)-U10)</f>
        <v>#NUM!</v>
      </c>
      <c r="AE10" s="41" t="s">
        <v>70</v>
      </c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</row>
    <row r="11" spans="1:57" ht="11.25" customHeight="1" x14ac:dyDescent="0.2">
      <c r="A11" s="2"/>
      <c r="B11" s="2"/>
      <c r="C11" s="169"/>
      <c r="D11" s="21" t="s">
        <v>51</v>
      </c>
      <c r="E11" s="21" t="s">
        <v>70</v>
      </c>
      <c r="F11" s="143" t="str">
        <f>IF(Contribute="abcd",IF($F$2&lt;&gt;-1,_xll.RtContribute(SourceAlias,M11,Fields,N11:O11,"SCOPE:SERVER"),_xll.RtContribute(SourceAlias,"DDS_INSERT_S",$F$2:$H$2,M11:O11,"SCOPE:SERVER FTC:ALL")),"stopped")</f>
        <v>stopped</v>
      </c>
      <c r="G11" s="21" t="str">
        <f>IF(Contribute="abcd",IF($F$2&lt;&gt;-1,_xll.RtContribute(SourceAlias,P11,Fields,Q11:R11,"SCOPE:SERVER"),_xll.RtContribute(SourceAlias,"DDS_INSERT_S",$F$2:$H$2,P11:R11,"SCOPE:SERVER FTC:ALL")),"stopped")</f>
        <v>stopped</v>
      </c>
      <c r="H11" s="21" t="str">
        <f>IF(Contribute="abcd",IF($F$2&lt;&gt;-1,_xll.RtContribute(SourceAlias,S11,Fields,T11:U11,"SCOPE:SERVER"),_xll.RtContribute(SourceAlias,"DDS_INSERT_S",$F$2:$H$2,S11:U11,"SCOPE:SERVER FTC:ALL")),"stopped")</f>
        <v>stopped</v>
      </c>
      <c r="I11" s="2"/>
      <c r="J11" s="15"/>
      <c r="K11" s="16"/>
      <c r="L11" s="16"/>
      <c r="M11" s="125" t="str">
        <f t="shared" si="0"/>
        <v>AUD1M3WD=</v>
      </c>
      <c r="N11" s="126" t="e">
        <f>'1M Pricing'!H11*100</f>
        <v>#NUM!</v>
      </c>
      <c r="O11" s="126" t="e">
        <f t="shared" si="8"/>
        <v>#NUM!</v>
      </c>
      <c r="P11" s="15" t="str">
        <f t="shared" si="1"/>
        <v>AUD3M3WD=</v>
      </c>
      <c r="Q11" s="16" t="e">
        <f>'3M Pricing'!H11*100</f>
        <v>#NUM!</v>
      </c>
      <c r="R11" s="16" t="e">
        <f t="shared" si="9"/>
        <v>#NUM!</v>
      </c>
      <c r="S11" s="15" t="str">
        <f t="shared" si="2"/>
        <v>AUD6M3WD=</v>
      </c>
      <c r="T11" s="16" t="e">
        <f>'6M Pricing'!H11*100</f>
        <v>#NUM!</v>
      </c>
      <c r="U11" s="16" t="e">
        <f t="shared" si="10"/>
        <v>#NUM!</v>
      </c>
      <c r="V11" s="98" t="s">
        <v>70</v>
      </c>
      <c r="W11" s="16"/>
      <c r="X11" s="16"/>
      <c r="Y11" s="127" t="e">
        <f>ABS(_xll.RtGet(SourceAlias,$M11,BID)-N11)</f>
        <v>#NUM!</v>
      </c>
      <c r="Z11" s="127" t="e">
        <f>ABS(_xll.RtGet(SourceAlias,$M11,ASK)-O11)</f>
        <v>#NUM!</v>
      </c>
      <c r="AA11" s="16" t="e">
        <f>ABS(_xll.RtGet(SourceAlias,$P11,BID)-Q11)</f>
        <v>#NUM!</v>
      </c>
      <c r="AB11" s="16" t="e">
        <f>ABS(_xll.RtGet(SourceAlias,$P11,ASK)-R11)</f>
        <v>#NUM!</v>
      </c>
      <c r="AC11" s="16" t="e">
        <f>ABS(_xll.RtGet(SourceAlias,$S11,BID)-T11)</f>
        <v>#NUM!</v>
      </c>
      <c r="AD11" s="16" t="e">
        <f>ABS(_xll.RtGet(SourceAlias,$S11,ASK)-U11)</f>
        <v>#NUM!</v>
      </c>
      <c r="AE11" s="41" t="s">
        <v>70</v>
      </c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</row>
    <row r="12" spans="1:57" ht="11.25" customHeight="1" x14ac:dyDescent="0.2">
      <c r="A12" s="2"/>
      <c r="B12" s="2"/>
      <c r="C12" s="169"/>
      <c r="D12" s="21" t="s">
        <v>52</v>
      </c>
      <c r="E12" s="21" t="str">
        <f>IF(Contribute="abcd",IF($F$2&lt;&gt;-1,_xll.RtContribute(SourceAlias,J12,Fields,K12:L12,"SCOPE:SERVER"),_xll.RtContribute(SourceAlias,"DDS_INSERT_S",$F$2:$H$2,K12:L12,"SCOPE:SERVER FTC:ALL")),"stopped")</f>
        <v>stopped</v>
      </c>
      <c r="F12" s="143" t="str">
        <f>IF(Contribute="abcd",IF($F$2&lt;&gt;-1,_xll.RtContribute(SourceAlias,M12,Fields,N12:O12,"SCOPE:SERVER"),_xll.RtContribute(SourceAlias,"DDS_INSERT_S",$F$2:$H$2,M12:O12,"SCOPE:SERVER FTC:ALL")),"stopped")</f>
        <v>stopped</v>
      </c>
      <c r="G12" s="21" t="str">
        <f>IF(Contribute="abcd",IF($F$2&lt;&gt;-1,_xll.RtContribute(SourceAlias,P12,Fields,Q12:R12,"SCOPE:SERVER"),_xll.RtContribute(SourceAlias,"DDS_INSERT_S",$F$2:$H$2,P12:R12,"SCOPE:SERVER FTC:ALL")),"stopped")</f>
        <v>stopped</v>
      </c>
      <c r="H12" s="21" t="str">
        <f>IF(Contribute="abcd",IF($F$2&lt;&gt;-1,_xll.RtContribute(SourceAlias,S12,Fields,T12:U12,"SCOPE:SERVER"),_xll.RtContribute(SourceAlias,"DDS_INSERT_S",$F$2:$H$2,S12:U12,"SCOPE:SERVER FTC:ALL")),"stopped")</f>
        <v>stopped</v>
      </c>
      <c r="I12" s="2"/>
      <c r="J12" s="15" t="str">
        <f t="shared" ref="J12:J18" si="11">Currency&amp;"ON"&amp;D12&amp;"="</f>
        <v>AUDON1MD=</v>
      </c>
      <c r="K12" s="16">
        <f>'ON Pricing'!H12*100</f>
        <v>1.9999999999241527</v>
      </c>
      <c r="L12" s="16">
        <f t="shared" si="7"/>
        <v>1.9999999999241527</v>
      </c>
      <c r="M12" s="125" t="str">
        <f t="shared" si="0"/>
        <v>AUD1M1MD=</v>
      </c>
      <c r="N12" s="126" t="e">
        <f>'1M Pricing'!H12*100</f>
        <v>#NUM!</v>
      </c>
      <c r="O12" s="126" t="e">
        <f t="shared" si="8"/>
        <v>#NUM!</v>
      </c>
      <c r="P12" s="15" t="str">
        <f t="shared" si="1"/>
        <v>AUD3M1MD=</v>
      </c>
      <c r="Q12" s="16" t="e">
        <f>'3M Pricing'!H12*100</f>
        <v>#NUM!</v>
      </c>
      <c r="R12" s="16" t="e">
        <f t="shared" si="9"/>
        <v>#NUM!</v>
      </c>
      <c r="S12" s="15" t="str">
        <f t="shared" si="2"/>
        <v>AUD6M1MD=</v>
      </c>
      <c r="T12" s="16" t="e">
        <f>'6M Pricing'!H12*100</f>
        <v>#NUM!</v>
      </c>
      <c r="U12" s="16" t="e">
        <f t="shared" si="10"/>
        <v>#NUM!</v>
      </c>
      <c r="V12" s="98" t="s">
        <v>70</v>
      </c>
      <c r="W12" s="16">
        <f>ABS(_xll.RtGet(SourceAlias,$J12,BID)-K12)</f>
        <v>7.5847328417921744E-11</v>
      </c>
      <c r="X12" s="16">
        <f>ABS(_xll.RtGet(SourceAlias,$J12,ASK)-L12)</f>
        <v>7.5847328417921744E-11</v>
      </c>
      <c r="Y12" s="127" t="e">
        <f>ABS(_xll.RtGet(SourceAlias,$M12,BID)-N12)</f>
        <v>#NUM!</v>
      </c>
      <c r="Z12" s="127" t="e">
        <f>ABS(_xll.RtGet(SourceAlias,$M12,ASK)-O12)</f>
        <v>#NUM!</v>
      </c>
      <c r="AA12" s="16" t="e">
        <f>ABS(_xll.RtGet(SourceAlias,$P12,BID)-Q12)</f>
        <v>#NUM!</v>
      </c>
      <c r="AB12" s="16" t="e">
        <f>ABS(_xll.RtGet(SourceAlias,$P12,ASK)-R12)</f>
        <v>#NUM!</v>
      </c>
      <c r="AC12" s="16" t="e">
        <f>ABS(_xll.RtGet(SourceAlias,$S12,BID)-T12)</f>
        <v>#NUM!</v>
      </c>
      <c r="AD12" s="16" t="e">
        <f>ABS(_xll.RtGet(SourceAlias,$S12,ASK)-U12)</f>
        <v>#NUM!</v>
      </c>
      <c r="AE12" s="41" t="s">
        <v>70</v>
      </c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</row>
    <row r="13" spans="1:57" ht="11.25" customHeight="1" x14ac:dyDescent="0.2">
      <c r="A13" s="2"/>
      <c r="B13" s="2"/>
      <c r="C13" s="169"/>
      <c r="D13" s="21" t="s">
        <v>53</v>
      </c>
      <c r="E13" s="21" t="str">
        <f>IF(Contribute="abcd",IF($F$2&lt;&gt;-1,_xll.RtContribute(SourceAlias,J13,Fields,K13:L13,"SCOPE:SERVER"),_xll.RtContribute(SourceAlias,"DDS_INSERT_S",$F$2:$H$2,K13:L13,"SCOPE:SERVER FTC:ALL")),"stopped")</f>
        <v>stopped</v>
      </c>
      <c r="F13" s="143" t="s">
        <v>70</v>
      </c>
      <c r="G13" s="21" t="str">
        <f>IF(Contribute="abcd",IF($F$2&lt;&gt;-1,_xll.RtContribute(SourceAlias,P13,Fields,Q13:R13,"SCOPE:SERVER"),_xll.RtContribute(SourceAlias,"DDS_INSERT_S",$F$2:$H$2,P13:R13,"SCOPE:SERVER FTC:ALL")),"stopped")</f>
        <v>stopped</v>
      </c>
      <c r="H13" s="21" t="str">
        <f>IF(Contribute="abcd",IF($F$2&lt;&gt;-1,_xll.RtContribute(SourceAlias,S13,Fields,T13:U13,"SCOPE:SERVER"),_xll.RtContribute(SourceAlias,"DDS_INSERT_S",$F$2:$H$2,S13:U13,"SCOPE:SERVER FTC:ALL")),"stopped")</f>
        <v>stopped</v>
      </c>
      <c r="I13" s="2"/>
      <c r="J13" s="15" t="str">
        <f t="shared" si="11"/>
        <v>AUDON2MD=</v>
      </c>
      <c r="K13" s="16">
        <f>'ON Pricing'!H13*100</f>
        <v>1.994999999869183</v>
      </c>
      <c r="L13" s="16">
        <f t="shared" si="7"/>
        <v>1.994999999869183</v>
      </c>
      <c r="M13" s="125"/>
      <c r="N13" s="126"/>
      <c r="O13" s="126"/>
      <c r="P13" s="15" t="str">
        <f t="shared" si="1"/>
        <v>AUD3M2MD=</v>
      </c>
      <c r="Q13" s="16" t="e">
        <f>'3M Pricing'!H13*100</f>
        <v>#NUM!</v>
      </c>
      <c r="R13" s="16" t="e">
        <f t="shared" si="9"/>
        <v>#NUM!</v>
      </c>
      <c r="S13" s="15" t="str">
        <f t="shared" si="2"/>
        <v>AUD6M2MD=</v>
      </c>
      <c r="T13" s="16" t="e">
        <f>'6M Pricing'!H13*100</f>
        <v>#NUM!</v>
      </c>
      <c r="U13" s="16" t="e">
        <f t="shared" si="10"/>
        <v>#NUM!</v>
      </c>
      <c r="V13" s="98" t="s">
        <v>70</v>
      </c>
      <c r="W13" s="16">
        <f>ABS(_xll.RtGet(SourceAlias,$J13,BID)-K13)</f>
        <v>1.3081691285776742E-10</v>
      </c>
      <c r="X13" s="16">
        <f>ABS(_xll.RtGet(SourceAlias,$J13,ASK)-L13)</f>
        <v>1.3081691285776742E-10</v>
      </c>
      <c r="Y13" s="127"/>
      <c r="Z13" s="127"/>
      <c r="AA13" s="16" t="e">
        <f>ABS(_xll.RtGet(SourceAlias,$P13,BID)-Q13)</f>
        <v>#NUM!</v>
      </c>
      <c r="AB13" s="16" t="e">
        <f>ABS(_xll.RtGet(SourceAlias,$P13,ASK)-R13)</f>
        <v>#NUM!</v>
      </c>
      <c r="AC13" s="16" t="e">
        <f>ABS(_xll.RtGet(SourceAlias,$S13,BID)-T13)</f>
        <v>#NUM!</v>
      </c>
      <c r="AD13" s="16" t="e">
        <f>ABS(_xll.RtGet(SourceAlias,$S13,ASK)-U13)</f>
        <v>#NUM!</v>
      </c>
      <c r="AE13" s="41" t="s">
        <v>70</v>
      </c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</row>
    <row r="14" spans="1:57" ht="11.25" customHeight="1" x14ac:dyDescent="0.2">
      <c r="A14" s="2"/>
      <c r="B14" s="2"/>
      <c r="C14" s="169"/>
      <c r="D14" s="21" t="s">
        <v>54</v>
      </c>
      <c r="E14" s="21" t="str">
        <f>IF(Contribute="abcd",IF($F$2&lt;&gt;-1,_xll.RtContribute(SourceAlias,J14,Fields,K14:L14,"SCOPE:SERVER"),_xll.RtContribute(SourceAlias,"DDS_INSERT_S",$F$2:$H$2,K14:L14,"SCOPE:SERVER FTC:ALL")),"stopped")</f>
        <v>stopped</v>
      </c>
      <c r="F14" s="143" t="s">
        <v>70</v>
      </c>
      <c r="G14" s="21" t="str">
        <f>IF(Contribute="abcd",IF($F$2&lt;&gt;-1,_xll.RtContribute(SourceAlias,P14,Fields,Q14:R14,"SCOPE:SERVER"),_xll.RtContribute(SourceAlias,"DDS_INSERT_S",$F$2:$H$2,P14:R14,"SCOPE:SERVER FTC:ALL")),"stopped")</f>
        <v>stopped</v>
      </c>
      <c r="H14" s="21" t="str">
        <f>IF(Contribute="abcd",IF($F$2&lt;&gt;-1,_xll.RtContribute(SourceAlias,S14,Fields,T14:U14,"SCOPE:SERVER"),_xll.RtContribute(SourceAlias,"DDS_INSERT_S",$F$2:$H$2,S14:U14,"SCOPE:SERVER FTC:ALL")),"stopped")</f>
        <v>stopped</v>
      </c>
      <c r="I14" s="2"/>
      <c r="J14" s="15" t="str">
        <f t="shared" si="11"/>
        <v>AUDON3MD=</v>
      </c>
      <c r="K14" s="16">
        <f>'ON Pricing'!H14*100</f>
        <v>1.9809999999269714</v>
      </c>
      <c r="L14" s="16">
        <f t="shared" si="7"/>
        <v>1.9809999999269714</v>
      </c>
      <c r="M14" s="128"/>
      <c r="N14" s="129"/>
      <c r="O14" s="129"/>
      <c r="P14" s="15" t="str">
        <f t="shared" si="1"/>
        <v>AUD3M3MD=</v>
      </c>
      <c r="Q14" s="16" t="e">
        <f>'3M Pricing'!H14*100</f>
        <v>#NUM!</v>
      </c>
      <c r="R14" s="16" t="e">
        <f t="shared" si="9"/>
        <v>#NUM!</v>
      </c>
      <c r="S14" s="15" t="str">
        <f t="shared" si="2"/>
        <v>AUD6M3MD=</v>
      </c>
      <c r="T14" s="16" t="e">
        <f>'6M Pricing'!H14*100</f>
        <v>#NUM!</v>
      </c>
      <c r="U14" s="16" t="e">
        <f t="shared" si="10"/>
        <v>#NUM!</v>
      </c>
      <c r="V14" s="98" t="s">
        <v>70</v>
      </c>
      <c r="W14" s="16">
        <f>ABS(_xll.RtGet(SourceAlias,$J14,BID)-K14)</f>
        <v>7.3028694203003397E-11</v>
      </c>
      <c r="X14" s="16">
        <f>ABS(_xll.RtGet(SourceAlias,$J14,ASK)-L14)</f>
        <v>7.3028694203003397E-11</v>
      </c>
      <c r="Y14" s="130"/>
      <c r="Z14" s="130"/>
      <c r="AA14" s="16" t="e">
        <f>ABS(_xll.RtGet(SourceAlias,$P14,BID)-Q14)</f>
        <v>#NUM!</v>
      </c>
      <c r="AB14" s="16" t="e">
        <f>ABS(_xll.RtGet(SourceAlias,$P14,ASK)-R14)</f>
        <v>#NUM!</v>
      </c>
      <c r="AC14" s="16" t="e">
        <f>ABS(_xll.RtGet(SourceAlias,$S14,BID)-T14)</f>
        <v>#NUM!</v>
      </c>
      <c r="AD14" s="16" t="e">
        <f>ABS(_xll.RtGet(SourceAlias,$S14,ASK)-U14)</f>
        <v>#NUM!</v>
      </c>
      <c r="AE14" s="41" t="s">
        <v>70</v>
      </c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</row>
    <row r="15" spans="1:57" ht="11.25" customHeight="1" x14ac:dyDescent="0.2">
      <c r="A15" s="2"/>
      <c r="B15" s="2"/>
      <c r="C15" s="169"/>
      <c r="D15" s="21" t="s">
        <v>55</v>
      </c>
      <c r="E15" s="21" t="str">
        <f>IF(Contribute="abcd",IF($F$2&lt;&gt;-1,_xll.RtContribute(SourceAlias,J15,Fields,K15:L15,"SCOPE:SERVER"),_xll.RtContribute(SourceAlias,"DDS_INSERT_S",$F$2:$H$2,K15:L15,"SCOPE:SERVER FTC:ALL")),"stopped")</f>
        <v>stopped</v>
      </c>
      <c r="F15" s="143" t="s">
        <v>70</v>
      </c>
      <c r="G15" s="99" t="s">
        <v>70</v>
      </c>
      <c r="H15" s="21" t="str">
        <f>IF(Contribute="abcd",IF($F$2&lt;&gt;-1,_xll.RtContribute(SourceAlias,S15,Fields,T15:U15,"SCOPE:SERVER"),_xll.RtContribute(SourceAlias,"DDS_INSERT_S",$F$2:$H$2,S15:U15,"SCOPE:SERVER FTC:ALL")),"stopped")</f>
        <v>stopped</v>
      </c>
      <c r="I15" s="2"/>
      <c r="J15" s="15" t="str">
        <f t="shared" si="11"/>
        <v>AUDON4MD=</v>
      </c>
      <c r="K15" s="16">
        <f>'ON Pricing'!H15*100</f>
        <v>1.9684999999428805</v>
      </c>
      <c r="L15" s="16">
        <f t="shared" si="7"/>
        <v>1.9684999999428805</v>
      </c>
      <c r="M15" s="125"/>
      <c r="N15" s="126"/>
      <c r="O15" s="126"/>
      <c r="P15" s="103"/>
      <c r="Q15" s="103"/>
      <c r="R15" s="103"/>
      <c r="S15" s="15" t="str">
        <f t="shared" si="2"/>
        <v>AUD6M4MD=</v>
      </c>
      <c r="T15" s="16" t="e">
        <f>'6M Pricing'!H15*100</f>
        <v>#NUM!</v>
      </c>
      <c r="U15" s="16" t="e">
        <f t="shared" si="10"/>
        <v>#NUM!</v>
      </c>
      <c r="V15" s="98" t="s">
        <v>70</v>
      </c>
      <c r="W15" s="16">
        <f>ABS(_xll.RtGet(SourceAlias,$J15,BID)-K15)</f>
        <v>5.7119642349334754E-11</v>
      </c>
      <c r="X15" s="16">
        <f>ABS(_xll.RtGet(SourceAlias,$J15,ASK)-L15)</f>
        <v>5.7119642349334754E-11</v>
      </c>
      <c r="Y15" s="127"/>
      <c r="Z15" s="127"/>
      <c r="AA15" s="104"/>
      <c r="AB15" s="104"/>
      <c r="AC15" s="16" t="e">
        <f>ABS(_xll.RtGet(SourceAlias,$S15,BID)-T15)</f>
        <v>#NUM!</v>
      </c>
      <c r="AD15" s="16" t="e">
        <f>ABS(_xll.RtGet(SourceAlias,$S15,ASK)-U15)</f>
        <v>#NUM!</v>
      </c>
      <c r="AE15" s="41" t="s">
        <v>70</v>
      </c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</row>
    <row r="16" spans="1:57" ht="11.25" customHeight="1" x14ac:dyDescent="0.2">
      <c r="A16" s="2"/>
      <c r="B16" s="2"/>
      <c r="C16" s="169"/>
      <c r="D16" s="21" t="s">
        <v>56</v>
      </c>
      <c r="E16" s="21" t="str">
        <f>IF(Contribute="abcd",IF($F$2&lt;&gt;-1,_xll.RtContribute(SourceAlias,J16,Fields,K16:L16,"SCOPE:SERVER"),_xll.RtContribute(SourceAlias,"DDS_INSERT_S",$F$2:$H$2,K16:L16,"SCOPE:SERVER FTC:ALL")),"stopped")</f>
        <v>stopped</v>
      </c>
      <c r="F16" s="143" t="s">
        <v>70</v>
      </c>
      <c r="G16" s="99" t="s">
        <v>70</v>
      </c>
      <c r="H16" s="21" t="str">
        <f>IF(Contribute="abcd",IF($F$2&lt;&gt;-1,_xll.RtContribute(SourceAlias,S16,Fields,T16:U16,"SCOPE:SERVER"),_xll.RtContribute(SourceAlias,"DDS_INSERT_S",$F$2:$H$2,S16:U16,"SCOPE:SERVER FTC:ALL")),"stopped")</f>
        <v>stopped</v>
      </c>
      <c r="I16" s="2"/>
      <c r="J16" s="15" t="str">
        <f t="shared" si="11"/>
        <v>AUDON5MD=</v>
      </c>
      <c r="K16" s="16">
        <f>'ON Pricing'!H16*100</f>
        <v>1.9549999999544179</v>
      </c>
      <c r="L16" s="16">
        <f t="shared" si="7"/>
        <v>1.9549999999544179</v>
      </c>
      <c r="M16" s="125"/>
      <c r="N16" s="126"/>
      <c r="O16" s="126"/>
      <c r="P16" s="103"/>
      <c r="Q16" s="103"/>
      <c r="R16" s="103"/>
      <c r="S16" s="15" t="str">
        <f t="shared" si="2"/>
        <v>AUD6M5MD=</v>
      </c>
      <c r="T16" s="16" t="e">
        <f>'6M Pricing'!H16*100</f>
        <v>#NUM!</v>
      </c>
      <c r="U16" s="16" t="e">
        <f t="shared" si="10"/>
        <v>#NUM!</v>
      </c>
      <c r="V16" s="98" t="s">
        <v>70</v>
      </c>
      <c r="W16" s="16">
        <f>ABS(_xll.RtGet(SourceAlias,$J16,BID)-K16)</f>
        <v>4.5582204677430127E-11</v>
      </c>
      <c r="X16" s="16">
        <f>ABS(_xll.RtGet(SourceAlias,$J16,ASK)-L16)</f>
        <v>4.5582204677430127E-11</v>
      </c>
      <c r="Y16" s="127"/>
      <c r="Z16" s="127"/>
      <c r="AA16" s="104"/>
      <c r="AB16" s="104"/>
      <c r="AC16" s="16" t="e">
        <f>ABS(_xll.RtGet(SourceAlias,$S16,BID)-T16)</f>
        <v>#NUM!</v>
      </c>
      <c r="AD16" s="16" t="e">
        <f>ABS(_xll.RtGet(SourceAlias,$S16,ASK)-U16)</f>
        <v>#NUM!</v>
      </c>
      <c r="AE16" s="41" t="s">
        <v>70</v>
      </c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</row>
    <row r="17" spans="1:57" ht="11.25" customHeight="1" x14ac:dyDescent="0.2">
      <c r="A17" s="2"/>
      <c r="B17" s="2"/>
      <c r="C17" s="169"/>
      <c r="D17" s="21" t="s">
        <v>57</v>
      </c>
      <c r="E17" s="21" t="str">
        <f>IF(Contribute="abcd",IF($F$2&lt;&gt;-1,_xll.RtContribute(SourceAlias,J17,Fields,K17:L17,"SCOPE:SERVER"),_xll.RtContribute(SourceAlias,"DDS_INSERT_S",$F$2:$H$2,K17:L17,"SCOPE:SERVER FTC:ALL")),"stopped")</f>
        <v>stopped</v>
      </c>
      <c r="F17" s="143" t="s">
        <v>70</v>
      </c>
      <c r="G17" s="99" t="s">
        <v>70</v>
      </c>
      <c r="H17" s="21" t="str">
        <f>IF(Contribute="abcd",IF($F$2&lt;&gt;-1,_xll.RtContribute(SourceAlias,S17,Fields,T17:U17,"SCOPE:SERVER"),_xll.RtContribute(SourceAlias,"DDS_INSERT_S",$F$2:$H$2,S17:U17,"SCOPE:SERVER FTC:ALL")),"stopped")</f>
        <v>stopped</v>
      </c>
      <c r="I17" s="2"/>
      <c r="J17" s="15" t="str">
        <f t="shared" si="11"/>
        <v>AUDON6MD=</v>
      </c>
      <c r="K17" s="16">
        <f>'ON Pricing'!H17*100</f>
        <v>1.9449999999619569</v>
      </c>
      <c r="L17" s="16">
        <f t="shared" si="7"/>
        <v>1.9449999999619569</v>
      </c>
      <c r="M17" s="128"/>
      <c r="N17" s="129"/>
      <c r="O17" s="129"/>
      <c r="P17" s="103"/>
      <c r="Q17" s="103"/>
      <c r="R17" s="103"/>
      <c r="S17" s="15" t="str">
        <f t="shared" si="2"/>
        <v>AUD6M6MD=</v>
      </c>
      <c r="T17" s="16" t="e">
        <f>'6M Pricing'!H17*100</f>
        <v>#NUM!</v>
      </c>
      <c r="U17" s="16" t="e">
        <f t="shared" si="10"/>
        <v>#NUM!</v>
      </c>
      <c r="V17" s="98" t="s">
        <v>70</v>
      </c>
      <c r="W17" s="16">
        <f>ABS(_xll.RtGet(SourceAlias,$J17,BID)-K17)</f>
        <v>3.8042902161805614E-11</v>
      </c>
      <c r="X17" s="16">
        <f>ABS(_xll.RtGet(SourceAlias,$J17,ASK)-L17)</f>
        <v>3.8042902161805614E-11</v>
      </c>
      <c r="Y17" s="130"/>
      <c r="Z17" s="130"/>
      <c r="AA17" s="104"/>
      <c r="AB17" s="104"/>
      <c r="AC17" s="16" t="e">
        <f>ABS(_xll.RtGet(SourceAlias,$S17,BID)-T17)</f>
        <v>#NUM!</v>
      </c>
      <c r="AD17" s="16" t="e">
        <f>ABS(_xll.RtGet(SourceAlias,$S17,ASK)-U17)</f>
        <v>#NUM!</v>
      </c>
      <c r="AE17" s="41" t="s">
        <v>70</v>
      </c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</row>
    <row r="18" spans="1:57" ht="11.25" customHeight="1" x14ac:dyDescent="0.2">
      <c r="A18" s="2"/>
      <c r="B18" s="2"/>
      <c r="C18" s="170"/>
      <c r="D18" s="22" t="s">
        <v>58</v>
      </c>
      <c r="E18" s="22" t="str">
        <f>IF(Contribute="abcd",IF($F$2&lt;&gt;-1,_xll.RtContribute(SourceAlias,J18,Fields,K18:L18,"SCOPE:SERVER"),_xll.RtContribute(SourceAlias,"DDS_INSERT_S",$F$2:$H$2,K18:L18,"SCOPE:SERVER FTC:ALL")),"stopped")</f>
        <v>stopped</v>
      </c>
      <c r="F18" s="144" t="s">
        <v>70</v>
      </c>
      <c r="G18" s="100" t="s">
        <v>70</v>
      </c>
      <c r="H18" s="22" t="s">
        <v>70</v>
      </c>
      <c r="I18" s="2"/>
      <c r="J18" s="15" t="str">
        <f t="shared" si="11"/>
        <v>AUDON9MD=</v>
      </c>
      <c r="K18" s="16">
        <f>'ON Pricing'!H18*100</f>
        <v>1.9149999999747493</v>
      </c>
      <c r="L18" s="16">
        <f t="shared" ref="L18" si="12">K18</f>
        <v>1.9149999999747493</v>
      </c>
      <c r="M18" s="131"/>
      <c r="N18" s="132"/>
      <c r="O18" s="132"/>
      <c r="P18" s="103"/>
      <c r="Q18" s="103"/>
      <c r="R18" s="103"/>
      <c r="S18" s="15"/>
      <c r="T18" s="16"/>
      <c r="U18" s="16"/>
      <c r="V18" s="98" t="s">
        <v>70</v>
      </c>
      <c r="W18" s="16">
        <f>ABS(_xll.RtGet(SourceAlias,$J18,BID)-K18)</f>
        <v>2.5250690427469635E-11</v>
      </c>
      <c r="X18" s="16">
        <f>ABS(_xll.RtGet(SourceAlias,$J18,ASK)-L18)</f>
        <v>2.5250690427469635E-11</v>
      </c>
      <c r="Y18" s="133"/>
      <c r="Z18" s="133"/>
      <c r="AA18" s="104"/>
      <c r="AB18" s="104"/>
      <c r="AC18" s="16"/>
      <c r="AD18" s="16"/>
      <c r="AE18" s="41" t="s">
        <v>70</v>
      </c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</row>
    <row r="19" spans="1:57" ht="11.25" customHeight="1" x14ac:dyDescent="0.2">
      <c r="A19" s="2" t="b">
        <v>1</v>
      </c>
      <c r="B19" s="121">
        <f t="array" ref="B19:B25">_xll.qlASXNextDates(_xll.qlSettingsEvaluationDate(Trigger)+1,A19:A25)</f>
        <v>42440</v>
      </c>
      <c r="C19" s="171" t="s">
        <v>92</v>
      </c>
      <c r="D19" s="96" t="str">
        <f>_xll.qlASXcode(B19,Trigger)</f>
        <v>H6</v>
      </c>
      <c r="E19" s="107" t="s">
        <v>70</v>
      </c>
      <c r="F19" s="145" t="s">
        <v>70</v>
      </c>
      <c r="G19" s="20" t="str">
        <f>IF(Contribute="abcd",IF($F$2&lt;&gt;-1,_xll.RtContribute(SourceAlias,P19,Fields,Q19:R19,"SCOPE:SERVER"),_xll.RtContribute(SourceAlias,"DDS_INSERT_S",$F$2:$H$2,P19:R19,"SCOPE:SERVER FTC:ALL")),"stopped")</f>
        <v>stopped</v>
      </c>
      <c r="H19" s="115" t="s">
        <v>70</v>
      </c>
      <c r="I19" s="2"/>
      <c r="J19" s="101"/>
      <c r="K19" s="101"/>
      <c r="L19" s="101"/>
      <c r="M19" s="134"/>
      <c r="N19" s="135"/>
      <c r="O19" s="135"/>
      <c r="P19" s="13" t="str">
        <f t="shared" ref="P19:P25" si="13">Currency&amp;$P$4&amp;D19</f>
        <v>AUD3MH6</v>
      </c>
      <c r="Q19" s="14" t="e">
        <f>'3M Pricing'!H19</f>
        <v>#NUM!</v>
      </c>
      <c r="R19" s="14" t="e">
        <f t="shared" ref="R19:R25" si="14">Q19</f>
        <v>#NUM!</v>
      </c>
      <c r="S19" s="101"/>
      <c r="T19" s="101"/>
      <c r="U19" s="101"/>
      <c r="V19" s="98" t="s">
        <v>70</v>
      </c>
      <c r="W19" s="102"/>
      <c r="X19" s="107"/>
      <c r="Y19" s="136"/>
      <c r="Z19" s="136"/>
      <c r="AA19" s="14" t="e">
        <f>ABS(_xll.RtGet(SourceAlias,$P19,BID)-Q19)</f>
        <v>#NUM!</v>
      </c>
      <c r="AB19" s="14" t="e">
        <f>ABS(_xll.RtGet(SourceAlias,$P19,ASK)-R19)</f>
        <v>#NUM!</v>
      </c>
      <c r="AC19" s="102"/>
      <c r="AD19" s="102"/>
      <c r="AE19" s="41" t="s">
        <v>70</v>
      </c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</row>
    <row r="20" spans="1:57" ht="11.25" customHeight="1" x14ac:dyDescent="0.2">
      <c r="A20" s="2" t="b">
        <v>1</v>
      </c>
      <c r="B20" s="121">
        <v>42531</v>
      </c>
      <c r="C20" s="172"/>
      <c r="D20" s="97" t="str">
        <f>_xll.qlASXcode(B20,Trigger)</f>
        <v>M6</v>
      </c>
      <c r="E20" s="108" t="s">
        <v>70</v>
      </c>
      <c r="F20" s="146" t="s">
        <v>70</v>
      </c>
      <c r="G20" s="21" t="str">
        <f>IF(Contribute="abcd",IF($F$2&lt;&gt;-1,_xll.RtContribute(SourceAlias,P20,Fields,Q20:R20,"SCOPE:SERVER"),_xll.RtContribute(SourceAlias,"DDS_INSERT_S",$F$2:$H$2,P20:R20,"SCOPE:SERVER FTC:ALL")),"stopped")</f>
        <v>stopped</v>
      </c>
      <c r="H20" s="116" t="s">
        <v>70</v>
      </c>
      <c r="I20" s="2"/>
      <c r="J20" s="103"/>
      <c r="K20" s="103"/>
      <c r="L20" s="103"/>
      <c r="M20" s="128"/>
      <c r="N20" s="129"/>
      <c r="O20" s="129"/>
      <c r="P20" s="15" t="str">
        <f t="shared" si="13"/>
        <v>AUD3MM6</v>
      </c>
      <c r="Q20" s="16" t="e">
        <f>'3M Pricing'!H20</f>
        <v>#NUM!</v>
      </c>
      <c r="R20" s="16" t="e">
        <f t="shared" si="14"/>
        <v>#NUM!</v>
      </c>
      <c r="S20" s="103"/>
      <c r="T20" s="103"/>
      <c r="U20" s="103"/>
      <c r="V20" s="98" t="s">
        <v>70</v>
      </c>
      <c r="W20" s="104"/>
      <c r="X20" s="108"/>
      <c r="Y20" s="130"/>
      <c r="Z20" s="130"/>
      <c r="AA20" s="16" t="e">
        <f>ABS(_xll.RtGet(SourceAlias,$P20,BID)-Q20)</f>
        <v>#NUM!</v>
      </c>
      <c r="AB20" s="16" t="e">
        <f>ABS(_xll.RtGet(SourceAlias,$P20,ASK)-R20)</f>
        <v>#NUM!</v>
      </c>
      <c r="AC20" s="104"/>
      <c r="AD20" s="104"/>
      <c r="AE20" s="41" t="s">
        <v>70</v>
      </c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</row>
    <row r="21" spans="1:57" ht="11.25" customHeight="1" x14ac:dyDescent="0.2">
      <c r="A21" s="2" t="b">
        <v>1</v>
      </c>
      <c r="B21" s="121">
        <v>42622</v>
      </c>
      <c r="C21" s="172"/>
      <c r="D21" s="97" t="str">
        <f>_xll.qlASXcode(B21,Trigger)</f>
        <v>U6</v>
      </c>
      <c r="E21" s="108" t="s">
        <v>70</v>
      </c>
      <c r="F21" s="146" t="s">
        <v>70</v>
      </c>
      <c r="G21" s="21" t="str">
        <f>IF(Contribute="abcd",IF($F$2&lt;&gt;-1,_xll.RtContribute(SourceAlias,P21,Fields,Q21:R21,"SCOPE:SERVER"),_xll.RtContribute(SourceAlias,"DDS_INSERT_S",$F$2:$H$2,P21:R21,"SCOPE:SERVER FTC:ALL")),"stopped")</f>
        <v>stopped</v>
      </c>
      <c r="H21" s="116" t="s">
        <v>70</v>
      </c>
      <c r="I21" s="2"/>
      <c r="J21" s="103"/>
      <c r="K21" s="103"/>
      <c r="L21" s="103"/>
      <c r="M21" s="128"/>
      <c r="N21" s="129"/>
      <c r="O21" s="129"/>
      <c r="P21" s="15" t="str">
        <f t="shared" si="13"/>
        <v>AUD3MU6</v>
      </c>
      <c r="Q21" s="16" t="e">
        <f>'3M Pricing'!H21</f>
        <v>#NUM!</v>
      </c>
      <c r="R21" s="16" t="e">
        <f t="shared" si="14"/>
        <v>#NUM!</v>
      </c>
      <c r="S21" s="103"/>
      <c r="T21" s="103"/>
      <c r="U21" s="103"/>
      <c r="V21" s="98" t="s">
        <v>70</v>
      </c>
      <c r="W21" s="104"/>
      <c r="X21" s="108"/>
      <c r="Y21" s="130"/>
      <c r="Z21" s="130"/>
      <c r="AA21" s="16" t="e">
        <f>ABS(_xll.RtGet(SourceAlias,$P21,BID)-Q21)</f>
        <v>#NUM!</v>
      </c>
      <c r="AB21" s="16" t="e">
        <f>ABS(_xll.RtGet(SourceAlias,$P21,ASK)-R21)</f>
        <v>#NUM!</v>
      </c>
      <c r="AC21" s="104"/>
      <c r="AD21" s="104"/>
      <c r="AE21" s="41" t="s">
        <v>70</v>
      </c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</row>
    <row r="22" spans="1:57" ht="11.25" customHeight="1" x14ac:dyDescent="0.2">
      <c r="A22" s="2" t="b">
        <v>1</v>
      </c>
      <c r="B22" s="121">
        <v>42713</v>
      </c>
      <c r="C22" s="172"/>
      <c r="D22" s="97" t="str">
        <f>_xll.qlASXcode(B22,Trigger)</f>
        <v>Z6</v>
      </c>
      <c r="E22" s="108" t="s">
        <v>70</v>
      </c>
      <c r="F22" s="146" t="s">
        <v>70</v>
      </c>
      <c r="G22" s="21" t="str">
        <f>IF(Contribute="abcd",IF($F$2&lt;&gt;-1,_xll.RtContribute(SourceAlias,P22,Fields,Q22:R22,"SCOPE:SERVER"),_xll.RtContribute(SourceAlias,"DDS_INSERT_S",$F$2:$H$2,P22:R22,"SCOPE:SERVER FTC:ALL")),"stopped")</f>
        <v>stopped</v>
      </c>
      <c r="H22" s="116" t="s">
        <v>70</v>
      </c>
      <c r="I22" s="2"/>
      <c r="J22" s="103"/>
      <c r="K22" s="103"/>
      <c r="L22" s="103"/>
      <c r="M22" s="128"/>
      <c r="N22" s="129"/>
      <c r="O22" s="129"/>
      <c r="P22" s="15" t="str">
        <f t="shared" si="13"/>
        <v>AUD3MZ6</v>
      </c>
      <c r="Q22" s="16" t="e">
        <f>'3M Pricing'!H22</f>
        <v>#NUM!</v>
      </c>
      <c r="R22" s="16" t="e">
        <f t="shared" si="14"/>
        <v>#NUM!</v>
      </c>
      <c r="S22" s="103"/>
      <c r="T22" s="103"/>
      <c r="U22" s="103"/>
      <c r="V22" s="98" t="s">
        <v>70</v>
      </c>
      <c r="W22" s="104"/>
      <c r="X22" s="108"/>
      <c r="Y22" s="130"/>
      <c r="Z22" s="130"/>
      <c r="AA22" s="16" t="e">
        <f>ABS(_xll.RtGet(SourceAlias,$P22,BID)-Q22)</f>
        <v>#NUM!</v>
      </c>
      <c r="AB22" s="16" t="e">
        <f>ABS(_xll.RtGet(SourceAlias,$P22,ASK)-R22)</f>
        <v>#NUM!</v>
      </c>
      <c r="AC22" s="104"/>
      <c r="AD22" s="104"/>
      <c r="AE22" s="41" t="s">
        <v>70</v>
      </c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</row>
    <row r="23" spans="1:57" ht="11.25" customHeight="1" x14ac:dyDescent="0.2">
      <c r="A23" s="2" t="b">
        <v>1</v>
      </c>
      <c r="B23" s="121">
        <v>42804</v>
      </c>
      <c r="C23" s="172"/>
      <c r="D23" s="97" t="str">
        <f>_xll.qlASXcode(B23,Trigger)</f>
        <v>H7</v>
      </c>
      <c r="E23" s="108" t="s">
        <v>70</v>
      </c>
      <c r="F23" s="146" t="s">
        <v>70</v>
      </c>
      <c r="G23" s="21" t="str">
        <f>IF(Contribute="abcd",IF($F$2&lt;&gt;-1,_xll.RtContribute(SourceAlias,P23,Fields,Q23:R23,"SCOPE:SERVER"),_xll.RtContribute(SourceAlias,"DDS_INSERT_S",$F$2:$H$2,P23:R23,"SCOPE:SERVER FTC:ALL")),"stopped")</f>
        <v>stopped</v>
      </c>
      <c r="H23" s="116" t="s">
        <v>70</v>
      </c>
      <c r="I23" s="2"/>
      <c r="J23" s="103"/>
      <c r="K23" s="103"/>
      <c r="L23" s="103"/>
      <c r="M23" s="128"/>
      <c r="N23" s="129"/>
      <c r="O23" s="129"/>
      <c r="P23" s="15" t="str">
        <f t="shared" si="13"/>
        <v>AUD3MH7</v>
      </c>
      <c r="Q23" s="16" t="e">
        <f>'3M Pricing'!H23</f>
        <v>#NUM!</v>
      </c>
      <c r="R23" s="16" t="e">
        <f t="shared" si="14"/>
        <v>#NUM!</v>
      </c>
      <c r="S23" s="103"/>
      <c r="T23" s="103"/>
      <c r="U23" s="103"/>
      <c r="V23" s="98" t="s">
        <v>70</v>
      </c>
      <c r="W23" s="104"/>
      <c r="X23" s="108"/>
      <c r="Y23" s="130"/>
      <c r="Z23" s="130"/>
      <c r="AA23" s="16" t="e">
        <f>ABS(_xll.RtGet(SourceAlias,$P23,BID)-Q23)</f>
        <v>#NUM!</v>
      </c>
      <c r="AB23" s="16" t="e">
        <f>ABS(_xll.RtGet(SourceAlias,$P23,ASK)-R23)</f>
        <v>#NUM!</v>
      </c>
      <c r="AC23" s="104"/>
      <c r="AD23" s="104"/>
      <c r="AE23" s="41" t="s">
        <v>70</v>
      </c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</row>
    <row r="24" spans="1:57" ht="11.25" customHeight="1" x14ac:dyDescent="0.2">
      <c r="A24" s="2" t="b">
        <v>1</v>
      </c>
      <c r="B24" s="121">
        <v>42895</v>
      </c>
      <c r="C24" s="172"/>
      <c r="D24" s="97" t="str">
        <f>_xll.qlASXcode(B24,Trigger)</f>
        <v>M7</v>
      </c>
      <c r="E24" s="108" t="s">
        <v>70</v>
      </c>
      <c r="F24" s="146" t="s">
        <v>70</v>
      </c>
      <c r="G24" s="21" t="str">
        <f>IF(Contribute="abcd",IF($F$2&lt;&gt;-1,_xll.RtContribute(SourceAlias,P24,Fields,Q24:R24,"SCOPE:SERVER"),_xll.RtContribute(SourceAlias,"DDS_INSERT_S",$F$2:$H$2,P24:R24,"SCOPE:SERVER FTC:ALL")),"stopped")</f>
        <v>stopped</v>
      </c>
      <c r="H24" s="116" t="s">
        <v>70</v>
      </c>
      <c r="I24" s="2"/>
      <c r="J24" s="103"/>
      <c r="K24" s="103"/>
      <c r="L24" s="103"/>
      <c r="M24" s="128"/>
      <c r="N24" s="129"/>
      <c r="O24" s="129"/>
      <c r="P24" s="15" t="str">
        <f t="shared" ref="P24" si="15">Currency&amp;$P$4&amp;D24</f>
        <v>AUD3MM7</v>
      </c>
      <c r="Q24" s="16" t="e">
        <f>'3M Pricing'!H24</f>
        <v>#NUM!</v>
      </c>
      <c r="R24" s="16" t="e">
        <f t="shared" ref="R24" si="16">Q24</f>
        <v>#NUM!</v>
      </c>
      <c r="S24" s="103"/>
      <c r="T24" s="103"/>
      <c r="U24" s="103"/>
      <c r="V24" s="98"/>
      <c r="W24" s="104"/>
      <c r="X24" s="108"/>
      <c r="Y24" s="130"/>
      <c r="Z24" s="130"/>
      <c r="AA24" s="16" t="e">
        <f>ABS(_xll.RtGet(SourceAlias,$P24,BID)-Q24)</f>
        <v>#NUM!</v>
      </c>
      <c r="AB24" s="16" t="e">
        <f>ABS(_xll.RtGet(SourceAlias,$P24,ASK)-R24)</f>
        <v>#NUM!</v>
      </c>
      <c r="AC24" s="104"/>
      <c r="AD24" s="104"/>
      <c r="AE24" s="41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</row>
    <row r="25" spans="1:57" ht="11.25" customHeight="1" x14ac:dyDescent="0.2">
      <c r="A25" s="2" t="b">
        <v>1</v>
      </c>
      <c r="B25" s="121">
        <v>42986</v>
      </c>
      <c r="C25" s="173"/>
      <c r="D25" s="148" t="str">
        <f>_xll.qlASXcode(B25,Trigger)</f>
        <v>U7</v>
      </c>
      <c r="E25" s="109" t="s">
        <v>70</v>
      </c>
      <c r="F25" s="147"/>
      <c r="G25" s="22" t="str">
        <f>IF(Contribute="abcd",IF($F$2&lt;&gt;-1,_xll.RtContribute(SourceAlias,P25,Fields,Q25:R25,"SCOPE:SERVER"),_xll.RtContribute(SourceAlias,"DDS_INSERT_S",$F$2:$H$2,P25:R25,"SCOPE:SERVER FTC:ALL")),"stopped")</f>
        <v>stopped</v>
      </c>
      <c r="H25" s="117" t="s">
        <v>70</v>
      </c>
      <c r="I25" s="2"/>
      <c r="J25" s="105"/>
      <c r="K25" s="105"/>
      <c r="L25" s="105"/>
      <c r="M25" s="131"/>
      <c r="N25" s="132"/>
      <c r="O25" s="132"/>
      <c r="P25" s="17" t="str">
        <f t="shared" si="13"/>
        <v>AUD3MU7</v>
      </c>
      <c r="Q25" s="18" t="e">
        <f>'3M Pricing'!H25</f>
        <v>#NUM!</v>
      </c>
      <c r="R25" s="18" t="e">
        <f t="shared" si="14"/>
        <v>#NUM!</v>
      </c>
      <c r="S25" s="105"/>
      <c r="T25" s="105"/>
      <c r="U25" s="105"/>
      <c r="V25" s="98" t="s">
        <v>70</v>
      </c>
      <c r="W25" s="106"/>
      <c r="X25" s="109"/>
      <c r="Y25" s="137"/>
      <c r="Z25" s="137"/>
      <c r="AA25" s="18" t="e">
        <f>ABS(_xll.RtGet(SourceAlias,$P25,BID)-Q25)</f>
        <v>#VALUE!</v>
      </c>
      <c r="AB25" s="18" t="e">
        <f>ABS(_xll.RtGet(SourceAlias,$P25,ASK)-R25)</f>
        <v>#VALUE!</v>
      </c>
      <c r="AC25" s="106"/>
      <c r="AD25" s="106"/>
      <c r="AE25" s="41" t="s">
        <v>70</v>
      </c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</row>
    <row r="26" spans="1:57" ht="11.25" customHeight="1" x14ac:dyDescent="0.2">
      <c r="A26" s="2"/>
      <c r="B26" s="2"/>
      <c r="C26" s="168" t="s">
        <v>93</v>
      </c>
      <c r="D26" s="20" t="s">
        <v>21</v>
      </c>
      <c r="E26" s="21" t="s">
        <v>70</v>
      </c>
      <c r="F26" s="143" t="str">
        <f>IF(Contribute="abcd",IF($F$2&lt;&gt;-1,_xll.RtContribute(SourceAlias,M26,Fields,N26:O26,"SCOPE:SERVER"),_xll.RtContribute(SourceAlias,"DDS_INSERT_S",$F$2:$H$2,M26:O26,"SCOPE:SERVER FTC:ALL")),"stopped")</f>
        <v>stopped</v>
      </c>
      <c r="G26" s="99" t="s">
        <v>70</v>
      </c>
      <c r="H26" s="21" t="s">
        <v>70</v>
      </c>
      <c r="I26" s="2"/>
      <c r="J26" s="13"/>
      <c r="K26" s="14"/>
      <c r="L26" s="14"/>
      <c r="M26" s="122" t="str">
        <f>Currency&amp;$M$4&amp;D26&amp;"="</f>
        <v>AUD1M3M=</v>
      </c>
      <c r="N26" s="123" t="e">
        <f>'1M Pricing'!H26*100</f>
        <v>#NUM!</v>
      </c>
      <c r="O26" s="123" t="e">
        <f>N26</f>
        <v>#NUM!</v>
      </c>
      <c r="P26" s="101"/>
      <c r="Q26" s="101"/>
      <c r="R26" s="101"/>
      <c r="S26" s="13"/>
      <c r="T26" s="14"/>
      <c r="U26" s="14"/>
      <c r="V26" s="98" t="s">
        <v>70</v>
      </c>
      <c r="W26" s="14"/>
      <c r="X26" s="14"/>
      <c r="Y26" s="124" t="e">
        <f>ABS(_xll.RtGet(SourceAlias,$M26,BID)-N26)</f>
        <v>#NUM!</v>
      </c>
      <c r="Z26" s="124" t="e">
        <f>ABS(_xll.RtGet(SourceAlias,$M26,ASK)-O26)</f>
        <v>#NUM!</v>
      </c>
      <c r="AA26" s="102"/>
      <c r="AB26" s="102"/>
      <c r="AC26" s="14"/>
      <c r="AD26" s="14"/>
      <c r="AE26" s="41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</row>
    <row r="27" spans="1:57" ht="11.25" customHeight="1" x14ac:dyDescent="0.2">
      <c r="A27" s="2"/>
      <c r="B27" s="2"/>
      <c r="C27" s="169"/>
      <c r="D27" s="21" t="s">
        <v>14</v>
      </c>
      <c r="E27" s="21" t="s">
        <v>70</v>
      </c>
      <c r="F27" s="143" t="str">
        <f>IF(Contribute="abcd",IF($F$2&lt;&gt;-1,_xll.RtContribute(SourceAlias,M27,Fields,N27:O27,"SCOPE:SERVER"),_xll.RtContribute(SourceAlias,"DDS_INSERT_S",$F$2:$H$2,M27:O27,"SCOPE:SERVER FTC:ALL")),"stopped")</f>
        <v>stopped</v>
      </c>
      <c r="G27" s="99" t="s">
        <v>70</v>
      </c>
      <c r="H27" s="21" t="s">
        <v>70</v>
      </c>
      <c r="I27" s="2"/>
      <c r="J27" s="15"/>
      <c r="K27" s="16"/>
      <c r="L27" s="16"/>
      <c r="M27" s="125" t="str">
        <f>Currency&amp;$M$4&amp;D27&amp;"="</f>
        <v>AUD1M6M=</v>
      </c>
      <c r="N27" s="126" t="e">
        <f>'1M Pricing'!H27*100</f>
        <v>#NUM!</v>
      </c>
      <c r="O27" s="126" t="e">
        <f>N27</f>
        <v>#NUM!</v>
      </c>
      <c r="P27" s="103"/>
      <c r="Q27" s="103"/>
      <c r="R27" s="103"/>
      <c r="S27" s="15"/>
      <c r="T27" s="16"/>
      <c r="U27" s="16"/>
      <c r="V27" s="98" t="s">
        <v>70</v>
      </c>
      <c r="W27" s="16"/>
      <c r="X27" s="16"/>
      <c r="Y27" s="127" t="e">
        <f>ABS(_xll.RtGet(SourceAlias,$M27,BID)-N27)</f>
        <v>#NUM!</v>
      </c>
      <c r="Z27" s="127" t="e">
        <f>ABS(_xll.RtGet(SourceAlias,$M27,ASK)-O27)</f>
        <v>#NUM!</v>
      </c>
      <c r="AA27" s="104"/>
      <c r="AB27" s="104"/>
      <c r="AC27" s="16"/>
      <c r="AD27" s="16"/>
      <c r="AE27" s="41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</row>
    <row r="28" spans="1:57" ht="11.25" customHeight="1" x14ac:dyDescent="0.2">
      <c r="A28" s="2"/>
      <c r="B28" s="2"/>
      <c r="C28" s="169"/>
      <c r="D28" s="21" t="s">
        <v>24</v>
      </c>
      <c r="E28" s="21" t="s">
        <v>70</v>
      </c>
      <c r="F28" s="143" t="str">
        <f>IF(Contribute="abcd",IF($F$2&lt;&gt;-1,_xll.RtContribute(SourceAlias,M28,Fields,N28:O28,"SCOPE:SERVER"),_xll.RtContribute(SourceAlias,"DDS_INSERT_S",$F$2:$H$2,M28:O28,"SCOPE:SERVER FTC:ALL")),"stopped")</f>
        <v>stopped</v>
      </c>
      <c r="G28" s="99" t="s">
        <v>70</v>
      </c>
      <c r="H28" s="21" t="s">
        <v>70</v>
      </c>
      <c r="I28" s="2"/>
      <c r="J28" s="15"/>
      <c r="K28" s="16"/>
      <c r="L28" s="16"/>
      <c r="M28" s="125" t="str">
        <f>Currency&amp;$M$4&amp;D28&amp;"="</f>
        <v>AUD1M9M=</v>
      </c>
      <c r="N28" s="126" t="e">
        <f>'1M Pricing'!H28*100</f>
        <v>#NUM!</v>
      </c>
      <c r="O28" s="126" t="e">
        <f>N28</f>
        <v>#NUM!</v>
      </c>
      <c r="P28" s="103"/>
      <c r="Q28" s="103"/>
      <c r="R28" s="103"/>
      <c r="S28" s="15"/>
      <c r="T28" s="16"/>
      <c r="U28" s="16"/>
      <c r="V28" s="98" t="s">
        <v>70</v>
      </c>
      <c r="W28" s="16"/>
      <c r="X28" s="16"/>
      <c r="Y28" s="127" t="e">
        <f>ABS(_xll.RtGet(SourceAlias,$M28,BID)-N28)</f>
        <v>#NUM!</v>
      </c>
      <c r="Z28" s="127" t="e">
        <f>ABS(_xll.RtGet(SourceAlias,$M28,ASK)-O28)</f>
        <v>#NUM!</v>
      </c>
      <c r="AA28" s="104"/>
      <c r="AB28" s="104"/>
      <c r="AC28" s="16"/>
      <c r="AD28" s="16"/>
      <c r="AE28" s="41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</row>
    <row r="29" spans="1:57" ht="11.25" customHeight="1" x14ac:dyDescent="0.2">
      <c r="A29" s="2"/>
      <c r="B29" s="167"/>
      <c r="C29" s="169"/>
      <c r="D29" s="21" t="s">
        <v>25</v>
      </c>
      <c r="E29" s="21" t="str">
        <f>IF(Contribute="abcd",IF($F$2&lt;&gt;-1,_xll.RtContribute(SourceAlias,J29,Fields,K29:L29,"SCOPE:SERVER"),_xll.RtContribute(SourceAlias,"DDS_INSERT_S",$F$2:$H$2,K29:L29,"SCOPE:SERVER FTC:ALL")),"stopped")</f>
        <v>stopped</v>
      </c>
      <c r="F29" s="143" t="str">
        <f>IF(Contribute="abcd",IF($F$2&lt;&gt;-1,_xll.RtContribute(SourceAlias,M29,Fields,N29:O29,"SCOPE:SERVER"),_xll.RtContribute(SourceAlias,"DDS_INSERT_S",$F$2:$H$2,M29:O29,"SCOPE:SERVER FTC:ALL")),"stopped")</f>
        <v>stopped</v>
      </c>
      <c r="G29" s="21" t="str">
        <f>IF(Contribute="abcd",IF($F$2&lt;&gt;-1,_xll.RtContribute(SourceAlias,P29,Fields,Q29:R29,"SCOPE:SERVER"),_xll.RtContribute(SourceAlias,"DDS_INSERT_S",$F$2:$H$2,P29:R29,"SCOPE:SERVER FTC:ALL")),"stopped")</f>
        <v>stopped</v>
      </c>
      <c r="H29" s="21" t="str">
        <f>IF(Contribute="abcd",IF($F$2&lt;&gt;-1,_xll.RtContribute(SourceAlias,S29,Fields,T29:U29,"SCOPE:SERVER"),_xll.RtContribute(SourceAlias,"DDS_INSERT_S",$F$2:$H$2,S29:U29,"SCOPE:SERVER FTC:ALL")),"stopped")</f>
        <v>stopped</v>
      </c>
      <c r="I29" s="2"/>
      <c r="J29" s="15" t="str">
        <f t="shared" ref="J29:J44" si="17">Currency&amp;"ON"&amp;D29&amp;"D"&amp;"="</f>
        <v>AUDON1YD=</v>
      </c>
      <c r="K29" s="16">
        <f>'ON Pricing'!H29*100</f>
        <v>1.9029999999809109</v>
      </c>
      <c r="L29" s="16">
        <f t="shared" ref="L29:L44" si="18">K29</f>
        <v>1.9029999999809109</v>
      </c>
      <c r="M29" s="125" t="str">
        <f>Currency&amp;$M$4&amp;D29&amp;"="</f>
        <v>AUD1M1Y=</v>
      </c>
      <c r="N29" s="126" t="e">
        <f>'1M Pricing'!H29*100</f>
        <v>#NUM!</v>
      </c>
      <c r="O29" s="126" t="e">
        <f>N29</f>
        <v>#NUM!</v>
      </c>
      <c r="P29" s="15" t="str">
        <f>Currency&amp;$P$4&amp;D29&amp;"="</f>
        <v>AUD3M1Y=</v>
      </c>
      <c r="Q29" s="16" t="e">
        <f>'3M Pricing'!H29*100</f>
        <v>#NUM!</v>
      </c>
      <c r="R29" s="16" t="e">
        <f>Q29</f>
        <v>#NUM!</v>
      </c>
      <c r="S29" s="15" t="str">
        <f>Currency&amp;$S$4&amp;D29&amp;"="</f>
        <v>AUD6M1Y=</v>
      </c>
      <c r="T29" s="16" t="e">
        <f>'6M Pricing'!H29*100</f>
        <v>#NUM!</v>
      </c>
      <c r="U29" s="16" t="e">
        <f>T29</f>
        <v>#NUM!</v>
      </c>
      <c r="V29" s="98" t="s">
        <v>70</v>
      </c>
      <c r="W29" s="16">
        <f>ABS(_xll.RtGet(SourceAlias,$J29,BID)-K29)</f>
        <v>1.9089174685404942E-11</v>
      </c>
      <c r="X29" s="16">
        <f>ABS(_xll.RtGet(SourceAlias,$J29,ASK)-L29)</f>
        <v>1.9089174685404942E-11</v>
      </c>
      <c r="Y29" s="127" t="e">
        <f>ABS(_xll.RtGet(SourceAlias,$M29,BID)-N29)</f>
        <v>#NUM!</v>
      </c>
      <c r="Z29" s="127" t="e">
        <f>ABS(_xll.RtGet(SourceAlias,$M29,ASK)-O29)</f>
        <v>#NUM!</v>
      </c>
      <c r="AA29" s="16" t="e">
        <f>ABS(_xll.RtGet(SourceAlias,$P29,BID)-Q29)</f>
        <v>#NUM!</v>
      </c>
      <c r="AB29" s="16" t="e">
        <f>ABS(_xll.RtGet(SourceAlias,$P29,ASK)-R29)</f>
        <v>#NUM!</v>
      </c>
      <c r="AC29" s="16" t="e">
        <f>ABS(_xll.RtGet(SourceAlias,$S29,BID)-T29)</f>
        <v>#NUM!</v>
      </c>
      <c r="AD29" s="16" t="e">
        <f>ABS(_xll.RtGet(SourceAlias,$S29,ASK)-U29)</f>
        <v>#NUM!</v>
      </c>
      <c r="AE29" s="41" t="s">
        <v>70</v>
      </c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</row>
    <row r="30" spans="1:57" ht="11.25" customHeight="1" x14ac:dyDescent="0.2">
      <c r="A30" s="2"/>
      <c r="B30" s="2"/>
      <c r="C30" s="169"/>
      <c r="D30" s="21" t="s">
        <v>67</v>
      </c>
      <c r="E30" s="21" t="str">
        <f>IF(Contribute="abcd",IF($F$2&lt;&gt;-1,_xll.RtContribute(SourceAlias,J30,Fields,K30:L30,"SCOPE:SERVER"),_xll.RtContribute(SourceAlias,"DDS_INSERT_S",$F$2:$H$2,K30:L30,"SCOPE:SERVER FTC:ALL")),"stopped")</f>
        <v>stopped</v>
      </c>
      <c r="F30" s="143" t="s">
        <v>70</v>
      </c>
      <c r="G30" s="21" t="s">
        <v>70</v>
      </c>
      <c r="H30" s="21" t="s">
        <v>70</v>
      </c>
      <c r="I30" s="2"/>
      <c r="J30" s="15" t="str">
        <f t="shared" si="17"/>
        <v>AUDON18MD=</v>
      </c>
      <c r="K30" s="16">
        <f>'ON Pricing'!H30*100</f>
        <v>1.8999999999871848</v>
      </c>
      <c r="L30" s="16">
        <f t="shared" si="18"/>
        <v>1.8999999999871848</v>
      </c>
      <c r="M30" s="125"/>
      <c r="N30" s="126"/>
      <c r="O30" s="126"/>
      <c r="P30" s="15"/>
      <c r="Q30" s="16"/>
      <c r="R30" s="16"/>
      <c r="S30" s="15"/>
      <c r="T30" s="16"/>
      <c r="U30" s="16"/>
      <c r="V30" s="98" t="s">
        <v>70</v>
      </c>
      <c r="W30" s="16">
        <f>ABS(_xll.RtGet(SourceAlias,$J30,BID)-K30)</f>
        <v>1.2815082328643257E-11</v>
      </c>
      <c r="X30" s="16">
        <f>ABS(_xll.RtGet(SourceAlias,$J30,ASK)-L30)</f>
        <v>1.2815082328643257E-11</v>
      </c>
      <c r="Y30" s="127"/>
      <c r="Z30" s="127"/>
      <c r="AA30" s="16"/>
      <c r="AB30" s="16"/>
      <c r="AC30" s="16"/>
      <c r="AD30" s="16"/>
      <c r="AE30" s="41" t="s">
        <v>70</v>
      </c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</row>
    <row r="31" spans="1:57" ht="11.25" customHeight="1" x14ac:dyDescent="0.2">
      <c r="A31" s="2"/>
      <c r="B31" s="2"/>
      <c r="C31" s="169"/>
      <c r="D31" s="21" t="s">
        <v>26</v>
      </c>
      <c r="E31" s="21" t="str">
        <f>IF(Contribute="abcd",IF($F$2&lt;&gt;-1,_xll.RtContribute(SourceAlias,J31,Fields,K31:L31,"SCOPE:SERVER"),_xll.RtContribute(SourceAlias,"DDS_INSERT_S",$F$2:$H$2,K31:L31,"SCOPE:SERVER FTC:ALL")),"stopped")</f>
        <v>stopped</v>
      </c>
      <c r="F31" s="143" t="str">
        <f>IF(Contribute="abcd",IF($F$2&lt;&gt;-1,_xll.RtContribute(SourceAlias,M31,Fields,N31:O31,"SCOPE:SERVER"),_xll.RtContribute(SourceAlias,"DDS_INSERT_S",$F$2:$H$2,M31:O31,"SCOPE:SERVER FTC:ALL")),"stopped")</f>
        <v>stopped</v>
      </c>
      <c r="G31" s="21" t="str">
        <f>IF(Contribute="abcd",IF($F$2&lt;&gt;-1,_xll.RtContribute(SourceAlias,P31,Fields,Q31:R31,"SCOPE:SERVER"),_xll.RtContribute(SourceAlias,"DDS_INSERT_S",$F$2:$H$2,P31:R31,"SCOPE:SERVER FTC:ALL")),"stopped")</f>
        <v>stopped</v>
      </c>
      <c r="H31" s="21" t="str">
        <f>IF(Contribute="abcd",IF($F$2&lt;&gt;-1,_xll.RtContribute(SourceAlias,S31,Fields,T31:U31,"SCOPE:SERVER"),_xll.RtContribute(SourceAlias,"DDS_INSERT_S",$F$2:$H$2,S31:U31,"SCOPE:SERVER FTC:ALL")),"stopped")</f>
        <v>stopped</v>
      </c>
      <c r="I31" s="2"/>
      <c r="J31" s="15" t="str">
        <f t="shared" si="17"/>
        <v>AUDON2YD=</v>
      </c>
      <c r="K31" s="16">
        <f>'ON Pricing'!H31*100</f>
        <v>1.9399999999903095</v>
      </c>
      <c r="L31" s="16">
        <f t="shared" si="18"/>
        <v>1.9399999999903095</v>
      </c>
      <c r="M31" s="125" t="str">
        <f t="shared" ref="M31:M38" si="19">Currency&amp;$M$4&amp;D31&amp;"="</f>
        <v>AUD1M2Y=</v>
      </c>
      <c r="N31" s="126" t="e">
        <f>'1M Pricing'!H31*100</f>
        <v>#NUM!</v>
      </c>
      <c r="O31" s="126" t="e">
        <f>N31</f>
        <v>#NUM!</v>
      </c>
      <c r="P31" s="15" t="str">
        <f t="shared" ref="P31:P38" si="20">Currency&amp;$P$4&amp;D31&amp;"="</f>
        <v>AUD3M2Y=</v>
      </c>
      <c r="Q31" s="16" t="e">
        <f>'3M Pricing'!H31*100</f>
        <v>#NUM!</v>
      </c>
      <c r="R31" s="16" t="e">
        <f>Q31</f>
        <v>#NUM!</v>
      </c>
      <c r="S31" s="15" t="str">
        <f t="shared" ref="S31:S38" si="21">Currency&amp;$S$4&amp;D31&amp;"="</f>
        <v>AUD6M2Y=</v>
      </c>
      <c r="T31" s="16" t="e">
        <f>'6M Pricing'!H31*100</f>
        <v>#NUM!</v>
      </c>
      <c r="U31" s="16" t="e">
        <f>T31</f>
        <v>#NUM!</v>
      </c>
      <c r="V31" s="98" t="s">
        <v>70</v>
      </c>
      <c r="W31" s="16">
        <f>ABS(_xll.RtGet(SourceAlias,$J31,BID)-K31)</f>
        <v>9.6904706481382163E-12</v>
      </c>
      <c r="X31" s="16">
        <f>ABS(_xll.RtGet(SourceAlias,$J31,ASK)-L31)</f>
        <v>9.6904706481382163E-12</v>
      </c>
      <c r="Y31" s="127" t="e">
        <f>ABS(_xll.RtGet(SourceAlias,$M31,BID)-N31)</f>
        <v>#NUM!</v>
      </c>
      <c r="Z31" s="127" t="e">
        <f>ABS(_xll.RtGet(SourceAlias,$M31,ASK)-O31)</f>
        <v>#NUM!</v>
      </c>
      <c r="AA31" s="16" t="e">
        <f>ABS(_xll.RtGet(SourceAlias,$P31,BID)-Q31)</f>
        <v>#NUM!</v>
      </c>
      <c r="AB31" s="16" t="e">
        <f>ABS(_xll.RtGet(SourceAlias,$P31,ASK)-R31)</f>
        <v>#NUM!</v>
      </c>
      <c r="AC31" s="16" t="e">
        <f>ABS(_xll.RtGet(SourceAlias,$S31,BID)-T31)</f>
        <v>#NUM!</v>
      </c>
      <c r="AD31" s="16" t="e">
        <f>ABS(_xll.RtGet(SourceAlias,$S31,ASK)-U31)</f>
        <v>#NUM!</v>
      </c>
      <c r="AE31" s="41" t="s">
        <v>70</v>
      </c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</row>
    <row r="32" spans="1:57" ht="11.25" customHeight="1" x14ac:dyDescent="0.2">
      <c r="A32" s="2"/>
      <c r="B32" s="2"/>
      <c r="C32" s="169"/>
      <c r="D32" s="21" t="s">
        <v>27</v>
      </c>
      <c r="E32" s="21" t="str">
        <f>IF(Contribute="abcd",IF($F$2&lt;&gt;-1,_xll.RtContribute(SourceAlias,J32,Fields,K32:L32,"SCOPE:SERVER"),_xll.RtContribute(SourceAlias,"DDS_INSERT_S",$F$2:$H$2,K32:L32,"SCOPE:SERVER FTC:ALL")),"stopped")</f>
        <v>stopped</v>
      </c>
      <c r="F32" s="143" t="str">
        <f>IF(Contribute="abcd",IF($F$2&lt;&gt;-1,_xll.RtContribute(SourceAlias,M32,Fields,N32:O32,"SCOPE:SERVER"),_xll.RtContribute(SourceAlias,"DDS_INSERT_S",$F$2:$H$2,M32:O32,"SCOPE:SERVER FTC:ALL")),"stopped")</f>
        <v>stopped</v>
      </c>
      <c r="G32" s="21" t="str">
        <f>IF(Contribute="abcd",IF($F$2&lt;&gt;-1,_xll.RtContribute(SourceAlias,P32,Fields,Q32:R32,"SCOPE:SERVER"),_xll.RtContribute(SourceAlias,"DDS_INSERT_S",$F$2:$H$2,P32:R32,"SCOPE:SERVER FTC:ALL")),"stopped")</f>
        <v>stopped</v>
      </c>
      <c r="H32" s="21" t="str">
        <f>IF(Contribute="abcd",IF($F$2&lt;&gt;-1,_xll.RtContribute(SourceAlias,S32,Fields,T32:U32,"SCOPE:SERVER"),_xll.RtContribute(SourceAlias,"DDS_INSERT_S",$F$2:$H$2,S32:U32,"SCOPE:SERVER FTC:ALL")),"stopped")</f>
        <v>stopped</v>
      </c>
      <c r="I32" s="2"/>
      <c r="J32" s="15" t="str">
        <f t="shared" si="17"/>
        <v>AUDON3YD=</v>
      </c>
      <c r="K32" s="16">
        <f>'ON Pricing'!H32*100</f>
        <v>2.0299999999934562</v>
      </c>
      <c r="L32" s="16">
        <f t="shared" si="18"/>
        <v>2.0299999999934562</v>
      </c>
      <c r="M32" s="125" t="str">
        <f t="shared" si="19"/>
        <v>AUD1M3Y=</v>
      </c>
      <c r="N32" s="126" t="e">
        <f>'1M Pricing'!H32*100</f>
        <v>#NUM!</v>
      </c>
      <c r="O32" s="126" t="e">
        <f>N32</f>
        <v>#NUM!</v>
      </c>
      <c r="P32" s="15" t="str">
        <f t="shared" si="20"/>
        <v>AUD3M3Y=</v>
      </c>
      <c r="Q32" s="16" t="e">
        <f>'3M Pricing'!H32*100</f>
        <v>#NUM!</v>
      </c>
      <c r="R32" s="16" t="e">
        <f>Q32</f>
        <v>#NUM!</v>
      </c>
      <c r="S32" s="15" t="str">
        <f t="shared" si="21"/>
        <v>AUD6M3Y=</v>
      </c>
      <c r="T32" s="16" t="e">
        <f>'6M Pricing'!H32*100</f>
        <v>#NUM!</v>
      </c>
      <c r="U32" s="16" t="e">
        <f>T32</f>
        <v>#NUM!</v>
      </c>
      <c r="V32" s="98" t="s">
        <v>70</v>
      </c>
      <c r="W32" s="16">
        <f>ABS(_xll.RtGet(SourceAlias,$J32,BID)-K32)</f>
        <v>6.5436545071406726E-12</v>
      </c>
      <c r="X32" s="16">
        <f>ABS(_xll.RtGet(SourceAlias,$J32,ASK)-L32)</f>
        <v>6.5436545071406726E-12</v>
      </c>
      <c r="Y32" s="127" t="e">
        <f>ABS(_xll.RtGet(SourceAlias,$M32,BID)-N32)</f>
        <v>#NUM!</v>
      </c>
      <c r="Z32" s="127" t="e">
        <f>ABS(_xll.RtGet(SourceAlias,$M32,ASK)-O32)</f>
        <v>#NUM!</v>
      </c>
      <c r="AA32" s="16" t="e">
        <f>ABS(_xll.RtGet(SourceAlias,$P32,BID)-Q32)</f>
        <v>#NUM!</v>
      </c>
      <c r="AB32" s="16" t="e">
        <f>ABS(_xll.RtGet(SourceAlias,$P32,ASK)-R32)</f>
        <v>#NUM!</v>
      </c>
      <c r="AC32" s="16" t="e">
        <f>ABS(_xll.RtGet(SourceAlias,$S32,BID)-T32)</f>
        <v>#NUM!</v>
      </c>
      <c r="AD32" s="16" t="e">
        <f>ABS(_xll.RtGet(SourceAlias,$S32,ASK)-U32)</f>
        <v>#NUM!</v>
      </c>
      <c r="AE32" s="41" t="s">
        <v>70</v>
      </c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</row>
    <row r="33" spans="1:57" ht="11.25" customHeight="1" x14ac:dyDescent="0.2">
      <c r="A33" s="2"/>
      <c r="B33" s="2"/>
      <c r="C33" s="169"/>
      <c r="D33" s="21" t="s">
        <v>28</v>
      </c>
      <c r="E33" s="21" t="str">
        <f>IF(Contribute="abcd",IF($F$2&lt;&gt;-1,_xll.RtContribute(SourceAlias,J33,Fields,K33:L33,"SCOPE:SERVER"),_xll.RtContribute(SourceAlias,"DDS_INSERT_S",$F$2:$H$2,K33:L33,"SCOPE:SERVER FTC:ALL")),"stopped")</f>
        <v>stopped</v>
      </c>
      <c r="F33" s="143" t="str">
        <f>IF(Contribute="abcd",IF($F$2&lt;&gt;-1,_xll.RtContribute(SourceAlias,M33,Fields,N33:O33,"SCOPE:SERVER"),_xll.RtContribute(SourceAlias,"DDS_INSERT_S",$F$2:$H$2,M33:O33,"SCOPE:SERVER FTC:ALL")),"stopped")</f>
        <v>stopped</v>
      </c>
      <c r="G33" s="21" t="str">
        <f>IF(Contribute="abcd",IF($F$2&lt;&gt;-1,_xll.RtContribute(SourceAlias,P33,Fields,Q33:R33,"SCOPE:SERVER"),_xll.RtContribute(SourceAlias,"DDS_INSERT_S",$F$2:$H$2,P33:R33,"SCOPE:SERVER FTC:ALL")),"stopped")</f>
        <v>stopped</v>
      </c>
      <c r="H33" s="21" t="str">
        <f>IF(Contribute="abcd",IF($F$2&lt;&gt;-1,_xll.RtContribute(SourceAlias,S33,Fields,T33:U33,"SCOPE:SERVER"),_xll.RtContribute(SourceAlias,"DDS_INSERT_S",$F$2:$H$2,S33:U33,"SCOPE:SERVER FTC:ALL")),"stopped")</f>
        <v>stopped</v>
      </c>
      <c r="I33" s="2"/>
      <c r="J33" s="15" t="str">
        <f t="shared" si="17"/>
        <v>AUDON4YD=</v>
      </c>
      <c r="K33" s="16">
        <f>'ON Pricing'!H33*100</f>
        <v>2.1479999999950428</v>
      </c>
      <c r="L33" s="16">
        <f t="shared" si="18"/>
        <v>2.1479999999950428</v>
      </c>
      <c r="M33" s="125" t="str">
        <f t="shared" si="19"/>
        <v>AUD1M4Y=</v>
      </c>
      <c r="N33" s="126" t="e">
        <f>'1M Pricing'!H33*100</f>
        <v>#NUM!</v>
      </c>
      <c r="O33" s="126" t="e">
        <f>N33</f>
        <v>#NUM!</v>
      </c>
      <c r="P33" s="15" t="str">
        <f t="shared" si="20"/>
        <v>AUD3M4Y=</v>
      </c>
      <c r="Q33" s="16" t="e">
        <f>'3M Pricing'!H33*100</f>
        <v>#NUM!</v>
      </c>
      <c r="R33" s="16" t="e">
        <f>Q33</f>
        <v>#NUM!</v>
      </c>
      <c r="S33" s="15" t="str">
        <f t="shared" si="21"/>
        <v>AUD6M4Y=</v>
      </c>
      <c r="T33" s="16" t="e">
        <f>'6M Pricing'!H33*100</f>
        <v>#NUM!</v>
      </c>
      <c r="U33" s="16" t="e">
        <f>T33</f>
        <v>#NUM!</v>
      </c>
      <c r="V33" s="98" t="s">
        <v>70</v>
      </c>
      <c r="W33" s="16">
        <f>ABS(_xll.RtGet(SourceAlias,$J33,BID)-K33)</f>
        <v>4.957367849556249E-12</v>
      </c>
      <c r="X33" s="16">
        <f>ABS(_xll.RtGet(SourceAlias,$J33,ASK)-L33)</f>
        <v>4.957367849556249E-12</v>
      </c>
      <c r="Y33" s="127" t="e">
        <f>ABS(_xll.RtGet(SourceAlias,$M33,BID)-N33)</f>
        <v>#NUM!</v>
      </c>
      <c r="Z33" s="127" t="e">
        <f>ABS(_xll.RtGet(SourceAlias,$M33,ASK)-O33)</f>
        <v>#NUM!</v>
      </c>
      <c r="AA33" s="16" t="e">
        <f>ABS(_xll.RtGet(SourceAlias,$P33,BID)-Q33)</f>
        <v>#NUM!</v>
      </c>
      <c r="AB33" s="16" t="e">
        <f>ABS(_xll.RtGet(SourceAlias,$P33,ASK)-R33)</f>
        <v>#NUM!</v>
      </c>
      <c r="AC33" s="16" t="e">
        <f>ABS(_xll.RtGet(SourceAlias,$S33,BID)-T33)</f>
        <v>#NUM!</v>
      </c>
      <c r="AD33" s="16" t="e">
        <f>ABS(_xll.RtGet(SourceAlias,$S33,ASK)-U33)</f>
        <v>#NUM!</v>
      </c>
      <c r="AE33" s="41" t="s">
        <v>70</v>
      </c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</row>
    <row r="34" spans="1:57" ht="11.25" customHeight="1" x14ac:dyDescent="0.2">
      <c r="A34" s="2"/>
      <c r="B34" s="2"/>
      <c r="C34" s="169"/>
      <c r="D34" s="21" t="s">
        <v>29</v>
      </c>
      <c r="E34" s="21" t="str">
        <f>IF(Contribute="abcd",IF($F$2&lt;&gt;-1,_xll.RtContribute(SourceAlias,J34,Fields,K34:L34,"SCOPE:SERVER"),_xll.RtContribute(SourceAlias,"DDS_INSERT_S",$F$2:$H$2,K34:L34,"SCOPE:SERVER FTC:ALL")),"stopped")</f>
        <v>stopped</v>
      </c>
      <c r="F34" s="143" t="str">
        <f>IF(Contribute="abcd",IF($F$2&lt;&gt;-1,_xll.RtContribute(SourceAlias,M34,Fields,N34:O34,"SCOPE:SERVER"),_xll.RtContribute(SourceAlias,"DDS_INSERT_S",$F$2:$H$2,M34:O34,"SCOPE:SERVER FTC:ALL")),"stopped")</f>
        <v>stopped</v>
      </c>
      <c r="G34" s="21" t="str">
        <f>IF(Contribute="abcd",IF($F$2&lt;&gt;-1,_xll.RtContribute(SourceAlias,P34,Fields,Q34:R34,"SCOPE:SERVER"),_xll.RtContribute(SourceAlias,"DDS_INSERT_S",$F$2:$H$2,P34:R34,"SCOPE:SERVER FTC:ALL")),"stopped")</f>
        <v>stopped</v>
      </c>
      <c r="H34" s="21" t="str">
        <f>IF(Contribute="abcd",IF($F$2&lt;&gt;-1,_xll.RtContribute(SourceAlias,S34,Fields,T34:U34,"SCOPE:SERVER"),_xll.RtContribute(SourceAlias,"DDS_INSERT_S",$F$2:$H$2,S34:U34,"SCOPE:SERVER FTC:ALL")),"stopped")</f>
        <v>stopped</v>
      </c>
      <c r="I34" s="2"/>
      <c r="J34" s="15" t="str">
        <f t="shared" si="17"/>
        <v>AUDON5YD=</v>
      </c>
      <c r="K34" s="16">
        <f>'ON Pricing'!H34*100</f>
        <v>2.2779999999959859</v>
      </c>
      <c r="L34" s="16">
        <f t="shared" si="18"/>
        <v>2.2779999999959859</v>
      </c>
      <c r="M34" s="125" t="str">
        <f t="shared" si="19"/>
        <v>AUD1M5Y=</v>
      </c>
      <c r="N34" s="126" t="e">
        <f>'1M Pricing'!H34*100</f>
        <v>#NUM!</v>
      </c>
      <c r="O34" s="126" t="e">
        <f>N34</f>
        <v>#NUM!</v>
      </c>
      <c r="P34" s="15" t="str">
        <f t="shared" si="20"/>
        <v>AUD3M5Y=</v>
      </c>
      <c r="Q34" s="16" t="e">
        <f>'3M Pricing'!H34*100</f>
        <v>#NUM!</v>
      </c>
      <c r="R34" s="16" t="e">
        <f>Q34</f>
        <v>#NUM!</v>
      </c>
      <c r="S34" s="15" t="str">
        <f t="shared" si="21"/>
        <v>AUD6M5Y=</v>
      </c>
      <c r="T34" s="16" t="e">
        <f>'6M Pricing'!H34*100</f>
        <v>#NUM!</v>
      </c>
      <c r="U34" s="16" t="e">
        <f>T34</f>
        <v>#NUM!</v>
      </c>
      <c r="V34" s="98" t="s">
        <v>70</v>
      </c>
      <c r="W34" s="16">
        <f>ABS(_xll.RtGet(SourceAlias,$J34,BID)-K34)</f>
        <v>4.014122367834716E-12</v>
      </c>
      <c r="X34" s="16">
        <f>ABS(_xll.RtGet(SourceAlias,$J34,ASK)-L34)</f>
        <v>4.014122367834716E-12</v>
      </c>
      <c r="Y34" s="127" t="e">
        <f>ABS(_xll.RtGet(SourceAlias,$M34,BID)-N34)</f>
        <v>#NUM!</v>
      </c>
      <c r="Z34" s="127" t="e">
        <f>ABS(_xll.RtGet(SourceAlias,$M34,ASK)-O34)</f>
        <v>#NUM!</v>
      </c>
      <c r="AA34" s="16" t="e">
        <f>ABS(_xll.RtGet(SourceAlias,$P34,BID)-Q34)</f>
        <v>#NUM!</v>
      </c>
      <c r="AB34" s="16" t="e">
        <f>ABS(_xll.RtGet(SourceAlias,$P34,ASK)-R34)</f>
        <v>#NUM!</v>
      </c>
      <c r="AC34" s="16" t="e">
        <f>ABS(_xll.RtGet(SourceAlias,$S34,BID)-T34)</f>
        <v>#NUM!</v>
      </c>
      <c r="AD34" s="16" t="e">
        <f>ABS(_xll.RtGet(SourceAlias,$S34,ASK)-U34)</f>
        <v>#NUM!</v>
      </c>
      <c r="AE34" s="41" t="s">
        <v>70</v>
      </c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</row>
    <row r="35" spans="1:57" ht="11.25" customHeight="1" x14ac:dyDescent="0.2">
      <c r="A35" s="2"/>
      <c r="B35" s="2"/>
      <c r="C35" s="169"/>
      <c r="D35" s="21" t="s">
        <v>30</v>
      </c>
      <c r="E35" s="21" t="str">
        <f>IF(Contribute="abcd",IF($F$2&lt;&gt;-1,_xll.RtContribute(SourceAlias,J35,Fields,K35:L35,"SCOPE:SERVER"),_xll.RtContribute(SourceAlias,"DDS_INSERT_S",$F$2:$H$2,K35:L35,"SCOPE:SERVER FTC:ALL")),"stopped")</f>
        <v>stopped</v>
      </c>
      <c r="F35" s="143" t="str">
        <f>IF(Contribute="abcd",IF($F$2&lt;&gt;-1,_xll.RtContribute(SourceAlias,M35,Fields,N35:O35,"SCOPE:SERVER"),_xll.RtContribute(SourceAlias,"DDS_INSERT_S",$F$2:$H$2,M35:O35,"SCOPE:SERVER FTC:ALL")),"stopped")</f>
        <v>stopped</v>
      </c>
      <c r="G35" s="21" t="str">
        <f>IF(Contribute="abcd",IF($F$2&lt;&gt;-1,_xll.RtContribute(SourceAlias,P35,Fields,Q35:R35,"SCOPE:SERVER"),_xll.RtContribute(SourceAlias,"DDS_INSERT_S",$F$2:$H$2,P35:R35,"SCOPE:SERVER FTC:ALL")),"stopped")</f>
        <v>stopped</v>
      </c>
      <c r="H35" s="21" t="str">
        <f>IF(Contribute="abcd",IF($F$2&lt;&gt;-1,_xll.RtContribute(SourceAlias,S35,Fields,T35:U35,"SCOPE:SERVER"),_xll.RtContribute(SourceAlias,"DDS_INSERT_S",$F$2:$H$2,S35:U35,"SCOPE:SERVER FTC:ALL")),"stopped")</f>
        <v>stopped</v>
      </c>
      <c r="I35" s="2"/>
      <c r="J35" s="15" t="str">
        <f t="shared" si="17"/>
        <v>AUDON6YD=</v>
      </c>
      <c r="K35" s="16">
        <f>'ON Pricing'!H35*100</f>
        <v>2.399999999996604</v>
      </c>
      <c r="L35" s="16">
        <f t="shared" si="18"/>
        <v>2.399999999996604</v>
      </c>
      <c r="M35" s="125" t="str">
        <f t="shared" si="19"/>
        <v>AUD1M6Y=</v>
      </c>
      <c r="N35" s="126" t="e">
        <f>'1M Pricing'!H35*100</f>
        <v>#NUM!</v>
      </c>
      <c r="O35" s="126" t="e">
        <f t="shared" ref="O35:O38" si="22">N35</f>
        <v>#NUM!</v>
      </c>
      <c r="P35" s="15" t="str">
        <f t="shared" si="20"/>
        <v>AUD3M6Y=</v>
      </c>
      <c r="Q35" s="16" t="e">
        <f>'3M Pricing'!H35*100</f>
        <v>#NUM!</v>
      </c>
      <c r="R35" s="16" t="e">
        <f t="shared" ref="R35:R38" si="23">Q35</f>
        <v>#NUM!</v>
      </c>
      <c r="S35" s="15" t="str">
        <f t="shared" si="21"/>
        <v>AUD6M6Y=</v>
      </c>
      <c r="T35" s="16" t="e">
        <f>'6M Pricing'!H35*100</f>
        <v>#NUM!</v>
      </c>
      <c r="U35" s="16" t="e">
        <f t="shared" ref="U35:U38" si="24">T35</f>
        <v>#NUM!</v>
      </c>
      <c r="V35" s="98" t="s">
        <v>70</v>
      </c>
      <c r="W35" s="16">
        <f>ABS(_xll.RtGet(SourceAlias,$J35,BID)-K35)</f>
        <v>3.3959501877234288E-12</v>
      </c>
      <c r="X35" s="16">
        <f>ABS(_xll.RtGet(SourceAlias,$J35,ASK)-L35)</f>
        <v>3.3959501877234288E-12</v>
      </c>
      <c r="Y35" s="127" t="e">
        <f>ABS(_xll.RtGet(SourceAlias,$M35,BID)-N35)</f>
        <v>#NUM!</v>
      </c>
      <c r="Z35" s="127" t="e">
        <f>ABS(_xll.RtGet(SourceAlias,$M35,ASK)-O35)</f>
        <v>#NUM!</v>
      </c>
      <c r="AA35" s="16" t="e">
        <f>ABS(_xll.RtGet(SourceAlias,$P35,BID)-Q35)</f>
        <v>#NUM!</v>
      </c>
      <c r="AB35" s="16" t="e">
        <f>ABS(_xll.RtGet(SourceAlias,$P35,ASK)-R35)</f>
        <v>#NUM!</v>
      </c>
      <c r="AC35" s="16" t="e">
        <f>ABS(_xll.RtGet(SourceAlias,$S35,BID)-T35)</f>
        <v>#NUM!</v>
      </c>
      <c r="AD35" s="16" t="e">
        <f>ABS(_xll.RtGet(SourceAlias,$S35,ASK)-U35)</f>
        <v>#NUM!</v>
      </c>
      <c r="AE35" s="41" t="s">
        <v>70</v>
      </c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</row>
    <row r="36" spans="1:57" ht="11.25" customHeight="1" x14ac:dyDescent="0.2">
      <c r="A36" s="2"/>
      <c r="B36" s="2"/>
      <c r="C36" s="169"/>
      <c r="D36" s="21" t="s">
        <v>31</v>
      </c>
      <c r="E36" s="21" t="str">
        <f>IF(Contribute="abcd",IF($F$2&lt;&gt;-1,_xll.RtContribute(SourceAlias,J36,Fields,K36:L36,"SCOPE:SERVER"),_xll.RtContribute(SourceAlias,"DDS_INSERT_S",$F$2:$H$2,K36:L36,"SCOPE:SERVER FTC:ALL")),"stopped")</f>
        <v>stopped</v>
      </c>
      <c r="F36" s="143" t="str">
        <f>IF(Contribute="abcd",IF($F$2&lt;&gt;-1,_xll.RtContribute(SourceAlias,M36,Fields,N36:O36,"SCOPE:SERVER"),_xll.RtContribute(SourceAlias,"DDS_INSERT_S",$F$2:$H$2,M36:O36,"SCOPE:SERVER FTC:ALL")),"stopped")</f>
        <v>stopped</v>
      </c>
      <c r="G36" s="21" t="str">
        <f>IF(Contribute="abcd",IF($F$2&lt;&gt;-1,_xll.RtContribute(SourceAlias,P36,Fields,Q36:R36,"SCOPE:SERVER"),_xll.RtContribute(SourceAlias,"DDS_INSERT_S",$F$2:$H$2,P36:R36,"SCOPE:SERVER FTC:ALL")),"stopped")</f>
        <v>stopped</v>
      </c>
      <c r="H36" s="21" t="str">
        <f>IF(Contribute="abcd",IF($F$2&lt;&gt;-1,_xll.RtContribute(SourceAlias,S36,Fields,T36:U36,"SCOPE:SERVER"),_xll.RtContribute(SourceAlias,"DDS_INSERT_S",$F$2:$H$2,S36:U36,"SCOPE:SERVER FTC:ALL")),"stopped")</f>
        <v>stopped</v>
      </c>
      <c r="I36" s="2"/>
      <c r="J36" s="15" t="str">
        <f t="shared" si="17"/>
        <v>AUDON7YD=</v>
      </c>
      <c r="K36" s="16">
        <f>'ON Pricing'!H36*100</f>
        <v>2.5199999999970459</v>
      </c>
      <c r="L36" s="16">
        <f t="shared" si="18"/>
        <v>2.5199999999970459</v>
      </c>
      <c r="M36" s="125" t="str">
        <f t="shared" si="19"/>
        <v>AUD1M7Y=</v>
      </c>
      <c r="N36" s="126" t="e">
        <f>'1M Pricing'!H36*100</f>
        <v>#NUM!</v>
      </c>
      <c r="O36" s="126" t="e">
        <f t="shared" si="22"/>
        <v>#NUM!</v>
      </c>
      <c r="P36" s="15" t="str">
        <f t="shared" si="20"/>
        <v>AUD3M7Y=</v>
      </c>
      <c r="Q36" s="16" t="e">
        <f>'3M Pricing'!H36*100</f>
        <v>#NUM!</v>
      </c>
      <c r="R36" s="16" t="e">
        <f t="shared" si="23"/>
        <v>#NUM!</v>
      </c>
      <c r="S36" s="15" t="str">
        <f t="shared" si="21"/>
        <v>AUD6M7Y=</v>
      </c>
      <c r="T36" s="16" t="e">
        <f>'6M Pricing'!H36*100</f>
        <v>#NUM!</v>
      </c>
      <c r="U36" s="16" t="e">
        <f t="shared" si="24"/>
        <v>#NUM!</v>
      </c>
      <c r="V36" s="98" t="s">
        <v>70</v>
      </c>
      <c r="W36" s="16">
        <f>ABS(_xll.RtGet(SourceAlias,$J36,BID)-K36)</f>
        <v>2.9540814239226165E-12</v>
      </c>
      <c r="X36" s="16">
        <f>ABS(_xll.RtGet(SourceAlias,$J36,ASK)-L36)</f>
        <v>2.9540814239226165E-12</v>
      </c>
      <c r="Y36" s="127" t="e">
        <f>ABS(_xll.RtGet(SourceAlias,$M36,BID)-N36)</f>
        <v>#NUM!</v>
      </c>
      <c r="Z36" s="127" t="e">
        <f>ABS(_xll.RtGet(SourceAlias,$M36,ASK)-O36)</f>
        <v>#NUM!</v>
      </c>
      <c r="AA36" s="16" t="e">
        <f>ABS(_xll.RtGet(SourceAlias,$P36,BID)-Q36)</f>
        <v>#NUM!</v>
      </c>
      <c r="AB36" s="16" t="e">
        <f>ABS(_xll.RtGet(SourceAlias,$P36,ASK)-R36)</f>
        <v>#NUM!</v>
      </c>
      <c r="AC36" s="16" t="e">
        <f>ABS(_xll.RtGet(SourceAlias,$S36,BID)-T36)</f>
        <v>#NUM!</v>
      </c>
      <c r="AD36" s="16" t="e">
        <f>ABS(_xll.RtGet(SourceAlias,$S36,ASK)-U36)</f>
        <v>#NUM!</v>
      </c>
      <c r="AE36" s="41" t="s">
        <v>70</v>
      </c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</row>
    <row r="37" spans="1:57" ht="11.25" customHeight="1" x14ac:dyDescent="0.2">
      <c r="A37" s="2"/>
      <c r="B37" s="2"/>
      <c r="C37" s="169"/>
      <c r="D37" s="21" t="s">
        <v>32</v>
      </c>
      <c r="E37" s="21" t="str">
        <f>IF(Contribute="abcd",IF($F$2&lt;&gt;-1,_xll.RtContribute(SourceAlias,J37,Fields,K37:L37,"SCOPE:SERVER"),_xll.RtContribute(SourceAlias,"DDS_INSERT_S",$F$2:$H$2,K37:L37,"SCOPE:SERVER FTC:ALL")),"stopped")</f>
        <v>stopped</v>
      </c>
      <c r="F37" s="143" t="str">
        <f>IF(Contribute="abcd",IF($F$2&lt;&gt;-1,_xll.RtContribute(SourceAlias,M37,Fields,N37:O37,"SCOPE:SERVER"),_xll.RtContribute(SourceAlias,"DDS_INSERT_S",$F$2:$H$2,M37:O37,"SCOPE:SERVER FTC:ALL")),"stopped")</f>
        <v>stopped</v>
      </c>
      <c r="G37" s="21" t="str">
        <f>IF(Contribute="abcd",IF($F$2&lt;&gt;-1,_xll.RtContribute(SourceAlias,P37,Fields,Q37:R37,"SCOPE:SERVER"),_xll.RtContribute(SourceAlias,"DDS_INSERT_S",$F$2:$H$2,P37:R37,"SCOPE:SERVER FTC:ALL")),"stopped")</f>
        <v>stopped</v>
      </c>
      <c r="H37" s="21" t="str">
        <f>IF(Contribute="abcd",IF($F$2&lt;&gt;-1,_xll.RtContribute(SourceAlias,S37,Fields,T37:U37,"SCOPE:SERVER"),_xll.RtContribute(SourceAlias,"DDS_INSERT_S",$F$2:$H$2,S37:U37,"SCOPE:SERVER FTC:ALL")),"stopped")</f>
        <v>stopped</v>
      </c>
      <c r="I37" s="2"/>
      <c r="J37" s="15" t="str">
        <f t="shared" si="17"/>
        <v>AUDON8YD=</v>
      </c>
      <c r="K37" s="16">
        <f>'ON Pricing'!H37*100</f>
        <v>2.6029999999973863</v>
      </c>
      <c r="L37" s="16">
        <f t="shared" si="18"/>
        <v>2.6029999999973863</v>
      </c>
      <c r="M37" s="125" t="str">
        <f t="shared" si="19"/>
        <v>AUD1M8Y=</v>
      </c>
      <c r="N37" s="126" t="e">
        <f>'1M Pricing'!H37*100</f>
        <v>#NUM!</v>
      </c>
      <c r="O37" s="126" t="e">
        <f t="shared" si="22"/>
        <v>#NUM!</v>
      </c>
      <c r="P37" s="15" t="str">
        <f t="shared" si="20"/>
        <v>AUD3M8Y=</v>
      </c>
      <c r="Q37" s="16" t="e">
        <f>'3M Pricing'!H37*100</f>
        <v>#NUM!</v>
      </c>
      <c r="R37" s="16" t="e">
        <f t="shared" si="23"/>
        <v>#NUM!</v>
      </c>
      <c r="S37" s="15" t="str">
        <f t="shared" si="21"/>
        <v>AUD6M8Y=</v>
      </c>
      <c r="T37" s="16" t="e">
        <f>'6M Pricing'!H37*100</f>
        <v>#NUM!</v>
      </c>
      <c r="U37" s="16" t="e">
        <f t="shared" si="24"/>
        <v>#NUM!</v>
      </c>
      <c r="V37" s="98" t="s">
        <v>70</v>
      </c>
      <c r="W37" s="16">
        <f>ABS(_xll.RtGet(SourceAlias,$J37,BID)-K37)</f>
        <v>2.6134649999676185E-12</v>
      </c>
      <c r="X37" s="16">
        <f>ABS(_xll.RtGet(SourceAlias,$J37,ASK)-L37)</f>
        <v>2.6134649999676185E-12</v>
      </c>
      <c r="Y37" s="127" t="e">
        <f>ABS(_xll.RtGet(SourceAlias,$M37,BID)-N37)</f>
        <v>#NUM!</v>
      </c>
      <c r="Z37" s="127" t="e">
        <f>ABS(_xll.RtGet(SourceAlias,$M37,ASK)-O37)</f>
        <v>#NUM!</v>
      </c>
      <c r="AA37" s="16" t="e">
        <f>ABS(_xll.RtGet(SourceAlias,$P37,BID)-Q37)</f>
        <v>#NUM!</v>
      </c>
      <c r="AB37" s="16" t="e">
        <f>ABS(_xll.RtGet(SourceAlias,$P37,ASK)-R37)</f>
        <v>#NUM!</v>
      </c>
      <c r="AC37" s="16" t="e">
        <f>ABS(_xll.RtGet(SourceAlias,$S37,BID)-T37)</f>
        <v>#NUM!</v>
      </c>
      <c r="AD37" s="16" t="e">
        <f>ABS(_xll.RtGet(SourceAlias,$S37,ASK)-U37)</f>
        <v>#NUM!</v>
      </c>
      <c r="AE37" s="41" t="s">
        <v>70</v>
      </c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</row>
    <row r="38" spans="1:57" ht="11.25" customHeight="1" x14ac:dyDescent="0.2">
      <c r="A38" s="2"/>
      <c r="B38" s="2"/>
      <c r="C38" s="169"/>
      <c r="D38" s="21" t="s">
        <v>33</v>
      </c>
      <c r="E38" s="21" t="str">
        <f>IF(Contribute="abcd",IF($F$2&lt;&gt;-1,_xll.RtContribute(SourceAlias,J38,Fields,K38:L38,"SCOPE:SERVER"),_xll.RtContribute(SourceAlias,"DDS_INSERT_S",$F$2:$H$2,K38:L38,"SCOPE:SERVER FTC:ALL")),"stopped")</f>
        <v>stopped</v>
      </c>
      <c r="F38" s="143" t="str">
        <f>IF(Contribute="abcd",IF($F$2&lt;&gt;-1,_xll.RtContribute(SourceAlias,M38,Fields,N38:O38,"SCOPE:SERVER"),_xll.RtContribute(SourceAlias,"DDS_INSERT_S",$F$2:$H$2,M38:O38,"SCOPE:SERVER FTC:ALL")),"stopped")</f>
        <v>stopped</v>
      </c>
      <c r="G38" s="21" t="str">
        <f>IF(Contribute="abcd",IF($F$2&lt;&gt;-1,_xll.RtContribute(SourceAlias,P38,Fields,Q38:R38,"SCOPE:SERVER"),_xll.RtContribute(SourceAlias,"DDS_INSERT_S",$F$2:$H$2,P38:R38,"SCOPE:SERVER FTC:ALL")),"stopped")</f>
        <v>stopped</v>
      </c>
      <c r="H38" s="21" t="str">
        <f>IF(Contribute="abcd",IF($F$2&lt;&gt;-1,_xll.RtContribute(SourceAlias,S38,Fields,T38:U38,"SCOPE:SERVER"),_xll.RtContribute(SourceAlias,"DDS_INSERT_S",$F$2:$H$2,S38:U38,"SCOPE:SERVER FTC:ALL")),"stopped")</f>
        <v>stopped</v>
      </c>
      <c r="I38" s="2"/>
      <c r="J38" s="15" t="str">
        <f t="shared" si="17"/>
        <v>AUDON9YD=</v>
      </c>
      <c r="K38" s="16">
        <f>'ON Pricing'!H38*100</f>
        <v>2.6879999999976372</v>
      </c>
      <c r="L38" s="16">
        <f t="shared" si="18"/>
        <v>2.6879999999976372</v>
      </c>
      <c r="M38" s="125" t="str">
        <f t="shared" si="19"/>
        <v>AUD1M9Y=</v>
      </c>
      <c r="N38" s="126" t="e">
        <f>'1M Pricing'!H38*100</f>
        <v>#NUM!</v>
      </c>
      <c r="O38" s="126" t="e">
        <f t="shared" si="22"/>
        <v>#NUM!</v>
      </c>
      <c r="P38" s="15" t="str">
        <f t="shared" si="20"/>
        <v>AUD3M9Y=</v>
      </c>
      <c r="Q38" s="16" t="e">
        <f>'3M Pricing'!H38*100</f>
        <v>#NUM!</v>
      </c>
      <c r="R38" s="16" t="e">
        <f t="shared" si="23"/>
        <v>#NUM!</v>
      </c>
      <c r="S38" s="15" t="str">
        <f t="shared" si="21"/>
        <v>AUD6M9Y=</v>
      </c>
      <c r="T38" s="16" t="e">
        <f>'6M Pricing'!H38*100</f>
        <v>#NUM!</v>
      </c>
      <c r="U38" s="16" t="e">
        <f t="shared" si="24"/>
        <v>#NUM!</v>
      </c>
      <c r="V38" s="98" t="s">
        <v>70</v>
      </c>
      <c r="W38" s="16">
        <f>ABS(_xll.RtGet(SourceAlias,$J38,BID)-K38)</f>
        <v>2.3625545964023331E-12</v>
      </c>
      <c r="X38" s="16">
        <f>ABS(_xll.RtGet(SourceAlias,$J38,ASK)-L38)</f>
        <v>2.3625545964023331E-12</v>
      </c>
      <c r="Y38" s="127" t="e">
        <f>ABS(_xll.RtGet(SourceAlias,$M38,BID)-N38)</f>
        <v>#NUM!</v>
      </c>
      <c r="Z38" s="127" t="e">
        <f>ABS(_xll.RtGet(SourceAlias,$M38,ASK)-O38)</f>
        <v>#NUM!</v>
      </c>
      <c r="AA38" s="16" t="e">
        <f>ABS(_xll.RtGet(SourceAlias,$P38,BID)-Q38)</f>
        <v>#NUM!</v>
      </c>
      <c r="AB38" s="16" t="e">
        <f>ABS(_xll.RtGet(SourceAlias,$P38,ASK)-R38)</f>
        <v>#NUM!</v>
      </c>
      <c r="AC38" s="16" t="e">
        <f>ABS(_xll.RtGet(SourceAlias,$S38,BID)-T38)</f>
        <v>#NUM!</v>
      </c>
      <c r="AD38" s="16" t="e">
        <f>ABS(_xll.RtGet(SourceAlias,$S38,ASK)-U38)</f>
        <v>#NUM!</v>
      </c>
      <c r="AE38" s="41" t="s">
        <v>70</v>
      </c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</row>
    <row r="39" spans="1:57" x14ac:dyDescent="0.2">
      <c r="A39" s="2"/>
      <c r="B39" s="2"/>
      <c r="C39" s="169"/>
      <c r="D39" s="21" t="s">
        <v>34</v>
      </c>
      <c r="E39" s="21" t="str">
        <f>IF(Contribute="abcd",IF($F$2&lt;&gt;-1,_xll.RtContribute(SourceAlias,J39,Fields,K39:L39,"SCOPE:SERVER"),_xll.RtContribute(SourceAlias,"DDS_INSERT_S",$F$2:$H$2,K39:L39,"SCOPE:SERVER FTC:ALL")),"stopped")</f>
        <v>stopped</v>
      </c>
      <c r="F39" s="143" t="str">
        <f>IF(Contribute="abcd",IF($F$2&lt;&gt;-1,_xll.RtContribute(SourceAlias,M39,Fields,N39:O39,"SCOPE:SERVER"),_xll.RtContribute(SourceAlias,"DDS_INSERT_S",$F$2:$H$2,M39:O39,"SCOPE:SERVER FTC:ALL")),"stopped")</f>
        <v>stopped</v>
      </c>
      <c r="G39" s="21" t="str">
        <f>IF(Contribute="abcd",IF($F$2&lt;&gt;-1,_xll.RtContribute(SourceAlias,P39,Fields,Q39:R39,"SCOPE:SERVER"),_xll.RtContribute(SourceAlias,"DDS_INSERT_S",$F$2:$H$2,P39:R39,"SCOPE:SERVER FTC:ALL")),"stopped")</f>
        <v>stopped</v>
      </c>
      <c r="H39" s="21" t="str">
        <f>IF(Contribute="abcd",IF($F$2&lt;&gt;-1,_xll.RtContribute(SourceAlias,S39,Fields,T39:U39,"SCOPE:SERVER"),_xll.RtContribute(SourceAlias,"DDS_INSERT_S",$F$2:$H$2,S39:U39,"SCOPE:SERVER FTC:ALL")),"stopped")</f>
        <v>stopped</v>
      </c>
      <c r="I39" s="2"/>
      <c r="J39" s="15" t="str">
        <f t="shared" si="17"/>
        <v>AUDON10YD=</v>
      </c>
      <c r="K39" s="16">
        <f>'ON Pricing'!H39*100</f>
        <v>2.7699999999978506</v>
      </c>
      <c r="L39" s="16">
        <f t="shared" si="18"/>
        <v>2.7699999999978506</v>
      </c>
      <c r="M39" s="125" t="str">
        <f t="shared" ref="M39:M44" si="25">Currency&amp;$M$4&amp;D39&amp;"="</f>
        <v>AUD1M10Y=</v>
      </c>
      <c r="N39" s="126" t="e">
        <f>'1M Pricing'!H39*100</f>
        <v>#NUM!</v>
      </c>
      <c r="O39" s="126" t="e">
        <f t="shared" ref="O39:O44" si="26">N39</f>
        <v>#NUM!</v>
      </c>
      <c r="P39" s="15" t="str">
        <f t="shared" ref="P39:P44" si="27">Currency&amp;$P$4&amp;D39&amp;"="</f>
        <v>AUD3M10Y=</v>
      </c>
      <c r="Q39" s="16" t="e">
        <f>'3M Pricing'!H39*100</f>
        <v>#NUM!</v>
      </c>
      <c r="R39" s="16" t="e">
        <f t="shared" ref="R39:R44" si="28">Q39</f>
        <v>#NUM!</v>
      </c>
      <c r="S39" s="15" t="str">
        <f t="shared" ref="S39:S44" si="29">Currency&amp;$S$4&amp;D39&amp;"="</f>
        <v>AUD6M10Y=</v>
      </c>
      <c r="T39" s="16" t="e">
        <f>'6M Pricing'!H39*100</f>
        <v>#NUM!</v>
      </c>
      <c r="U39" s="16" t="e">
        <f t="shared" ref="U39:U44" si="30">T39</f>
        <v>#NUM!</v>
      </c>
      <c r="V39" s="98" t="s">
        <v>70</v>
      </c>
      <c r="W39" s="16">
        <f>ABS(_xll.RtGet(SourceAlias,$J39,BID)-K39)</f>
        <v>2.1493917756743031E-12</v>
      </c>
      <c r="X39" s="16">
        <f>ABS(_xll.RtGet(SourceAlias,$J39,ASK)-L39)</f>
        <v>2.1493917756743031E-12</v>
      </c>
      <c r="Y39" s="127" t="e">
        <f>ABS(_xll.RtGet(SourceAlias,$M39,BID)-N39)</f>
        <v>#NUM!</v>
      </c>
      <c r="Z39" s="127" t="e">
        <f>ABS(_xll.RtGet(SourceAlias,$M39,ASK)-O39)</f>
        <v>#NUM!</v>
      </c>
      <c r="AA39" s="16" t="e">
        <f>ABS(_xll.RtGet(SourceAlias,$P39,BID)-Q39)</f>
        <v>#NUM!</v>
      </c>
      <c r="AB39" s="16" t="e">
        <f>ABS(_xll.RtGet(SourceAlias,$P39,ASK)-R39)</f>
        <v>#NUM!</v>
      </c>
      <c r="AC39" s="16" t="e">
        <f>ABS(_xll.RtGet(SourceAlias,$S39,BID)-T39)</f>
        <v>#NUM!</v>
      </c>
      <c r="AD39" s="16" t="e">
        <f>ABS(_xll.RtGet(SourceAlias,$S39,ASK)-U39)</f>
        <v>#NUM!</v>
      </c>
      <c r="AE39" s="41" t="s">
        <v>70</v>
      </c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</row>
    <row r="40" spans="1:57" x14ac:dyDescent="0.2">
      <c r="A40" s="2"/>
      <c r="B40" s="2"/>
      <c r="C40" s="169"/>
      <c r="D40" s="21" t="s">
        <v>35</v>
      </c>
      <c r="E40" s="21" t="str">
        <f>IF(Contribute="abcd",IF($F$2&lt;&gt;-1,_xll.RtContribute(SourceAlias,J40,Fields,K40:L40,"SCOPE:SERVER"),_xll.RtContribute(SourceAlias,"DDS_INSERT_S",$F$2:$H$2,K40:L40,"SCOPE:SERVER FTC:ALL")),"stopped")</f>
        <v>stopped</v>
      </c>
      <c r="F40" s="143" t="str">
        <f>IF(Contribute="abcd",IF($F$2&lt;&gt;-1,_xll.RtContribute(SourceAlias,M40,Fields,N40:O40,"SCOPE:SERVER"),_xll.RtContribute(SourceAlias,"DDS_INSERT_S",$F$2:$H$2,M40:O40,"SCOPE:SERVER FTC:ALL")),"stopped")</f>
        <v>stopped</v>
      </c>
      <c r="G40" s="21" t="str">
        <f>IF(Contribute="abcd",IF($F$2&lt;&gt;-1,_xll.RtContribute(SourceAlias,P40,Fields,Q40:R40,"SCOPE:SERVER"),_xll.RtContribute(SourceAlias,"DDS_INSERT_S",$F$2:$H$2,P40:R40,"SCOPE:SERVER FTC:ALL")),"stopped")</f>
        <v>stopped</v>
      </c>
      <c r="H40" s="21" t="str">
        <f>IF(Contribute="abcd",IF($F$2&lt;&gt;-1,_xll.RtContribute(SourceAlias,S40,Fields,T40:U40,"SCOPE:SERVER"),_xll.RtContribute(SourceAlias,"DDS_INSERT_S",$F$2:$H$2,S40:U40,"SCOPE:SERVER FTC:ALL")),"stopped")</f>
        <v>stopped</v>
      </c>
      <c r="I40" s="2"/>
      <c r="J40" s="15" t="str">
        <f t="shared" si="17"/>
        <v>AUDON12YD=</v>
      </c>
      <c r="K40" s="16">
        <f>'ON Pricing'!H40*100</f>
        <v>2.9029999999926863</v>
      </c>
      <c r="L40" s="16">
        <f t="shared" si="18"/>
        <v>2.9029999999926863</v>
      </c>
      <c r="M40" s="125" t="str">
        <f t="shared" si="25"/>
        <v>AUD1M12Y=</v>
      </c>
      <c r="N40" s="126" t="e">
        <f>'1M Pricing'!H40*100</f>
        <v>#NUM!</v>
      </c>
      <c r="O40" s="126" t="e">
        <f t="shared" si="26"/>
        <v>#NUM!</v>
      </c>
      <c r="P40" s="15" t="str">
        <f t="shared" si="27"/>
        <v>AUD3M12Y=</v>
      </c>
      <c r="Q40" s="16" t="e">
        <f>'3M Pricing'!H40*100</f>
        <v>#NUM!</v>
      </c>
      <c r="R40" s="16" t="e">
        <f t="shared" si="28"/>
        <v>#NUM!</v>
      </c>
      <c r="S40" s="15" t="str">
        <f t="shared" si="29"/>
        <v>AUD6M12Y=</v>
      </c>
      <c r="T40" s="16" t="e">
        <f>'6M Pricing'!H40*100</f>
        <v>#NUM!</v>
      </c>
      <c r="U40" s="16" t="e">
        <f t="shared" si="30"/>
        <v>#NUM!</v>
      </c>
      <c r="V40" s="98" t="s">
        <v>70</v>
      </c>
      <c r="W40" s="16">
        <f>ABS(_xll.RtGet(SourceAlias,$J40,BID)-K40)</f>
        <v>7.3137051970206812E-12</v>
      </c>
      <c r="X40" s="16">
        <f>ABS(_xll.RtGet(SourceAlias,$J40,ASK)-L40)</f>
        <v>7.3137051970206812E-12</v>
      </c>
      <c r="Y40" s="127" t="e">
        <f>ABS(_xll.RtGet(SourceAlias,$M40,BID)-N40)</f>
        <v>#NUM!</v>
      </c>
      <c r="Z40" s="127" t="e">
        <f>ABS(_xll.RtGet(SourceAlias,$M40,ASK)-O40)</f>
        <v>#NUM!</v>
      </c>
      <c r="AA40" s="16" t="e">
        <f>ABS(_xll.RtGet(SourceAlias,$P40,BID)-Q40)</f>
        <v>#NUM!</v>
      </c>
      <c r="AB40" s="16" t="e">
        <f>ABS(_xll.RtGet(SourceAlias,$P40,ASK)-R40)</f>
        <v>#NUM!</v>
      </c>
      <c r="AC40" s="16" t="e">
        <f>ABS(_xll.RtGet(SourceAlias,$S40,BID)-T40)</f>
        <v>#NUM!</v>
      </c>
      <c r="AD40" s="16" t="e">
        <f>ABS(_xll.RtGet(SourceAlias,$S40,ASK)-U40)</f>
        <v>#NUM!</v>
      </c>
      <c r="AE40" s="41" t="s">
        <v>70</v>
      </c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</row>
    <row r="41" spans="1:57" x14ac:dyDescent="0.2">
      <c r="A41" s="2"/>
      <c r="B41" s="2"/>
      <c r="C41" s="169"/>
      <c r="D41" s="21" t="s">
        <v>36</v>
      </c>
      <c r="E41" s="21" t="str">
        <f>IF(Contribute="abcd",IF($F$2&lt;&gt;-1,_xll.RtContribute(SourceAlias,J41,Fields,K41:L41,"SCOPE:SERVER"),_xll.RtContribute(SourceAlias,"DDS_INSERT_S",$F$2:$H$2,K41:L41,"SCOPE:SERVER FTC:ALL")),"stopped")</f>
        <v>stopped</v>
      </c>
      <c r="F41" s="143" t="str">
        <f>IF(Contribute="abcd",IF($F$2&lt;&gt;-1,_xll.RtContribute(SourceAlias,M41,Fields,N41:O41,"SCOPE:SERVER"),_xll.RtContribute(SourceAlias,"DDS_INSERT_S",$F$2:$H$2,M41:O41,"SCOPE:SERVER FTC:ALL")),"stopped")</f>
        <v>stopped</v>
      </c>
      <c r="G41" s="21" t="str">
        <f>IF(Contribute="abcd",IF($F$2&lt;&gt;-1,_xll.RtContribute(SourceAlias,P41,Fields,Q41:R41,"SCOPE:SERVER"),_xll.RtContribute(SourceAlias,"DDS_INSERT_S",$F$2:$H$2,P41:R41,"SCOPE:SERVER FTC:ALL")),"stopped")</f>
        <v>stopped</v>
      </c>
      <c r="H41" s="21" t="str">
        <f>IF(Contribute="abcd",IF($F$2&lt;&gt;-1,_xll.RtContribute(SourceAlias,S41,Fields,T41:U41,"SCOPE:SERVER"),_xll.RtContribute(SourceAlias,"DDS_INSERT_S",$F$2:$H$2,S41:U41,"SCOPE:SERVER FTC:ALL")),"stopped")</f>
        <v>stopped</v>
      </c>
      <c r="I41" s="2"/>
      <c r="J41" s="15" t="str">
        <f t="shared" si="17"/>
        <v>AUDON15YD=</v>
      </c>
      <c r="K41" s="16">
        <f>'ON Pricing'!H41*100</f>
        <v>3.053000000000103</v>
      </c>
      <c r="L41" s="16">
        <f t="shared" si="18"/>
        <v>3.053000000000103</v>
      </c>
      <c r="M41" s="125" t="str">
        <f t="shared" si="25"/>
        <v>AUD1M15Y=</v>
      </c>
      <c r="N41" s="126" t="e">
        <f>'1M Pricing'!H41*100</f>
        <v>#NUM!</v>
      </c>
      <c r="O41" s="126" t="e">
        <f t="shared" si="26"/>
        <v>#NUM!</v>
      </c>
      <c r="P41" s="15" t="str">
        <f t="shared" si="27"/>
        <v>AUD3M15Y=</v>
      </c>
      <c r="Q41" s="16" t="e">
        <f>'3M Pricing'!H41*100</f>
        <v>#NUM!</v>
      </c>
      <c r="R41" s="16" t="e">
        <f t="shared" si="28"/>
        <v>#NUM!</v>
      </c>
      <c r="S41" s="15" t="str">
        <f t="shared" si="29"/>
        <v>AUD6M15Y=</v>
      </c>
      <c r="T41" s="16" t="e">
        <f>'6M Pricing'!H41*100</f>
        <v>#NUM!</v>
      </c>
      <c r="U41" s="16" t="e">
        <f t="shared" si="30"/>
        <v>#NUM!</v>
      </c>
      <c r="V41" s="98" t="s">
        <v>70</v>
      </c>
      <c r="W41" s="16">
        <f>ABS(_xll.RtGet(SourceAlias,$J41,BID)-K41)</f>
        <v>1.0302869668521453E-13</v>
      </c>
      <c r="X41" s="16">
        <f>ABS(_xll.RtGet(SourceAlias,$J41,ASK)-L41)</f>
        <v>1.0302869668521453E-13</v>
      </c>
      <c r="Y41" s="127" t="e">
        <f>ABS(_xll.RtGet(SourceAlias,$M41,BID)-N41)</f>
        <v>#NUM!</v>
      </c>
      <c r="Z41" s="127" t="e">
        <f>ABS(_xll.RtGet(SourceAlias,$M41,ASK)-O41)</f>
        <v>#NUM!</v>
      </c>
      <c r="AA41" s="16" t="e">
        <f>ABS(_xll.RtGet(SourceAlias,$P41,BID)-Q41)</f>
        <v>#NUM!</v>
      </c>
      <c r="AB41" s="16" t="e">
        <f>ABS(_xll.RtGet(SourceAlias,$P41,ASK)-R41)</f>
        <v>#NUM!</v>
      </c>
      <c r="AC41" s="16" t="e">
        <f>ABS(_xll.RtGet(SourceAlias,$S41,BID)-T41)</f>
        <v>#NUM!</v>
      </c>
      <c r="AD41" s="16" t="e">
        <f>ABS(_xll.RtGet(SourceAlias,$S41,ASK)-U41)</f>
        <v>#NUM!</v>
      </c>
      <c r="AE41" s="41" t="s">
        <v>70</v>
      </c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</row>
    <row r="42" spans="1:57" x14ac:dyDescent="0.2">
      <c r="A42" s="2"/>
      <c r="B42" s="2"/>
      <c r="C42" s="169"/>
      <c r="D42" s="21" t="s">
        <v>37</v>
      </c>
      <c r="E42" s="21" t="str">
        <f>IF(Contribute="abcd",IF($F$2&lt;&gt;-1,_xll.RtContribute(SourceAlias,J42,Fields,K42:L42,"SCOPE:SERVER"),_xll.RtContribute(SourceAlias,"DDS_INSERT_S",$F$2:$H$2,K42:L42,"SCOPE:SERVER FTC:ALL")),"stopped")</f>
        <v>stopped</v>
      </c>
      <c r="F42" s="143" t="str">
        <f>IF(Contribute="abcd",IF($F$2&lt;&gt;-1,_xll.RtContribute(SourceAlias,M42,Fields,N42:O42,"SCOPE:SERVER"),_xll.RtContribute(SourceAlias,"DDS_INSERT_S",$F$2:$H$2,M42:O42,"SCOPE:SERVER FTC:ALL")),"stopped")</f>
        <v>stopped</v>
      </c>
      <c r="G42" s="21" t="str">
        <f>IF(Contribute="abcd",IF($F$2&lt;&gt;-1,_xll.RtContribute(SourceAlias,P42,Fields,Q42:R42,"SCOPE:SERVER"),_xll.RtContribute(SourceAlias,"DDS_INSERT_S",$F$2:$H$2,P42:R42,"SCOPE:SERVER FTC:ALL")),"stopped")</f>
        <v>stopped</v>
      </c>
      <c r="H42" s="21" t="str">
        <f>IF(Contribute="abcd",IF($F$2&lt;&gt;-1,_xll.RtContribute(SourceAlias,S42,Fields,T42:U42,"SCOPE:SERVER"),_xll.RtContribute(SourceAlias,"DDS_INSERT_S",$F$2:$H$2,S42:U42,"SCOPE:SERVER FTC:ALL")),"stopped")</f>
        <v>stopped</v>
      </c>
      <c r="I42" s="2"/>
      <c r="J42" s="15" t="str">
        <f t="shared" si="17"/>
        <v>AUDON20YD=</v>
      </c>
      <c r="K42" s="16">
        <f>'ON Pricing'!H42*100</f>
        <v>3.2150000000007442</v>
      </c>
      <c r="L42" s="16">
        <f t="shared" si="18"/>
        <v>3.2150000000007442</v>
      </c>
      <c r="M42" s="125" t="str">
        <f t="shared" si="25"/>
        <v>AUD1M20Y=</v>
      </c>
      <c r="N42" s="126" t="e">
        <f>'1M Pricing'!H42*100</f>
        <v>#NUM!</v>
      </c>
      <c r="O42" s="126" t="e">
        <f t="shared" si="26"/>
        <v>#NUM!</v>
      </c>
      <c r="P42" s="15" t="str">
        <f t="shared" si="27"/>
        <v>AUD3M20Y=</v>
      </c>
      <c r="Q42" s="16" t="e">
        <f>'3M Pricing'!H42*100</f>
        <v>#NUM!</v>
      </c>
      <c r="R42" s="16" t="e">
        <f t="shared" si="28"/>
        <v>#NUM!</v>
      </c>
      <c r="S42" s="15" t="str">
        <f t="shared" si="29"/>
        <v>AUD6M20Y=</v>
      </c>
      <c r="T42" s="16" t="e">
        <f>'6M Pricing'!H42*100</f>
        <v>#NUM!</v>
      </c>
      <c r="U42" s="16" t="e">
        <f t="shared" si="30"/>
        <v>#NUM!</v>
      </c>
      <c r="V42" s="98" t="s">
        <v>70</v>
      </c>
      <c r="W42" s="16">
        <f>ABS(_xll.RtGet(SourceAlias,$J42,BID)-K42)</f>
        <v>7.4429351570870494E-13</v>
      </c>
      <c r="X42" s="16">
        <f>ABS(_xll.RtGet(SourceAlias,$J42,ASK)-L42)</f>
        <v>7.4429351570870494E-13</v>
      </c>
      <c r="Y42" s="127" t="e">
        <f>ABS(_xll.RtGet(SourceAlias,$M42,BID)-N42)</f>
        <v>#NUM!</v>
      </c>
      <c r="Z42" s="127" t="e">
        <f>ABS(_xll.RtGet(SourceAlias,$M42,ASK)-O42)</f>
        <v>#NUM!</v>
      </c>
      <c r="AA42" s="16" t="e">
        <f>ABS(_xll.RtGet(SourceAlias,$P42,BID)-Q42)</f>
        <v>#NUM!</v>
      </c>
      <c r="AB42" s="16" t="e">
        <f>ABS(_xll.RtGet(SourceAlias,$P42,ASK)-R42)</f>
        <v>#NUM!</v>
      </c>
      <c r="AC42" s="16" t="e">
        <f>ABS(_xll.RtGet(SourceAlias,$S42,BID)-T42)</f>
        <v>#NUM!</v>
      </c>
      <c r="AD42" s="16" t="e">
        <f>ABS(_xll.RtGet(SourceAlias,$S42,ASK)-U42)</f>
        <v>#NUM!</v>
      </c>
      <c r="AE42" s="41" t="s">
        <v>70</v>
      </c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</row>
    <row r="43" spans="1:57" x14ac:dyDescent="0.2">
      <c r="A43" s="2"/>
      <c r="B43" s="2"/>
      <c r="C43" s="169"/>
      <c r="D43" s="21" t="s">
        <v>38</v>
      </c>
      <c r="E43" s="21" t="str">
        <f>IF(Contribute="abcd",IF($F$2&lt;&gt;-1,_xll.RtContribute(SourceAlias,J43,Fields,K43:L43,"SCOPE:SERVER"),_xll.RtContribute(SourceAlias,"DDS_INSERT_S",$F$2:$H$2,K43:L43,"SCOPE:SERVER FTC:ALL")),"stopped")</f>
        <v>stopped</v>
      </c>
      <c r="F43" s="143" t="str">
        <f>IF(Contribute="abcd",IF($F$2&lt;&gt;-1,_xll.RtContribute(SourceAlias,M43,Fields,N43:O43,"SCOPE:SERVER"),_xll.RtContribute(SourceAlias,"DDS_INSERT_S",$F$2:$H$2,M43:O43,"SCOPE:SERVER FTC:ALL")),"stopped")</f>
        <v>stopped</v>
      </c>
      <c r="G43" s="21" t="str">
        <f>IF(Contribute="abcd",IF($F$2&lt;&gt;-1,_xll.RtContribute(SourceAlias,P43,Fields,Q43:R43,"SCOPE:SERVER"),_xll.RtContribute(SourceAlias,"DDS_INSERT_S",$F$2:$H$2,P43:R43,"SCOPE:SERVER FTC:ALL")),"stopped")</f>
        <v>stopped</v>
      </c>
      <c r="H43" s="21" t="str">
        <f>IF(Contribute="abcd",IF($F$2&lt;&gt;-1,_xll.RtContribute(SourceAlias,S43,Fields,T43:U43,"SCOPE:SERVER"),_xll.RtContribute(SourceAlias,"DDS_INSERT_S",$F$2:$H$2,S43:U43,"SCOPE:SERVER FTC:ALL")),"stopped")</f>
        <v>stopped</v>
      </c>
      <c r="I43" s="2"/>
      <c r="J43" s="15" t="str">
        <f t="shared" si="17"/>
        <v>AUDON25YD=</v>
      </c>
      <c r="K43" s="16">
        <f>'ON Pricing'!H43*100</f>
        <v>3.264999999997837</v>
      </c>
      <c r="L43" s="16">
        <f t="shared" si="18"/>
        <v>3.264999999997837</v>
      </c>
      <c r="M43" s="125" t="str">
        <f t="shared" si="25"/>
        <v>AUD1M25Y=</v>
      </c>
      <c r="N43" s="126" t="e">
        <f>'1M Pricing'!H43*100</f>
        <v>#NUM!</v>
      </c>
      <c r="O43" s="126" t="e">
        <f t="shared" si="26"/>
        <v>#NUM!</v>
      </c>
      <c r="P43" s="15" t="str">
        <f t="shared" si="27"/>
        <v>AUD3M25Y=</v>
      </c>
      <c r="Q43" s="16" t="e">
        <f>'3M Pricing'!H43*100</f>
        <v>#NUM!</v>
      </c>
      <c r="R43" s="16" t="e">
        <f t="shared" si="28"/>
        <v>#NUM!</v>
      </c>
      <c r="S43" s="15" t="str">
        <f t="shared" si="29"/>
        <v>AUD6M25Y=</v>
      </c>
      <c r="T43" s="16" t="e">
        <f>'6M Pricing'!H43*100</f>
        <v>#NUM!</v>
      </c>
      <c r="U43" s="16" t="e">
        <f t="shared" si="30"/>
        <v>#NUM!</v>
      </c>
      <c r="V43" s="98" t="s">
        <v>70</v>
      </c>
      <c r="W43" s="16">
        <f>ABS(_xll.RtGet(SourceAlias,$J43,BID)-K43)</f>
        <v>2.163158541179655E-12</v>
      </c>
      <c r="X43" s="16">
        <f>ABS(_xll.RtGet(SourceAlias,$J43,ASK)-L43)</f>
        <v>2.163158541179655E-12</v>
      </c>
      <c r="Y43" s="127" t="e">
        <f>ABS(_xll.RtGet(SourceAlias,$M43,BID)-N43)</f>
        <v>#NUM!</v>
      </c>
      <c r="Z43" s="127" t="e">
        <f>ABS(_xll.RtGet(SourceAlias,$M43,ASK)-O43)</f>
        <v>#NUM!</v>
      </c>
      <c r="AA43" s="16" t="e">
        <f>ABS(_xll.RtGet(SourceAlias,$P43,BID)-Q43)</f>
        <v>#NUM!</v>
      </c>
      <c r="AB43" s="16" t="e">
        <f>ABS(_xll.RtGet(SourceAlias,$P43,ASK)-R43)</f>
        <v>#NUM!</v>
      </c>
      <c r="AC43" s="16" t="e">
        <f>ABS(_xll.RtGet(SourceAlias,$S43,BID)-T43)</f>
        <v>#NUM!</v>
      </c>
      <c r="AD43" s="16" t="e">
        <f>ABS(_xll.RtGet(SourceAlias,$S43,ASK)-U43)</f>
        <v>#NUM!</v>
      </c>
      <c r="AE43" s="41" t="s">
        <v>70</v>
      </c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</row>
    <row r="44" spans="1:57" x14ac:dyDescent="0.2">
      <c r="A44" s="2"/>
      <c r="B44" s="2"/>
      <c r="C44" s="170"/>
      <c r="D44" s="22" t="s">
        <v>39</v>
      </c>
      <c r="E44" s="22" t="str">
        <f>IF(Contribute="abcd",IF($F$2&lt;&gt;-1,_xll.RtContribute(SourceAlias,J44,Fields,K44:L44,"SCOPE:SERVER"),_xll.RtContribute(SourceAlias,"DDS_INSERT_S",$F$2:$H$2,K44:L44,"SCOPE:SERVER FTC:ALL")),"stopped")</f>
        <v>stopped</v>
      </c>
      <c r="F44" s="144" t="str">
        <f>IF(Contribute="abcd",IF($F$2&lt;&gt;-1,_xll.RtContribute(SourceAlias,M44,Fields,N44:O44,"SCOPE:SERVER"),_xll.RtContribute(SourceAlias,"DDS_INSERT_S",$F$2:$H$2,M44:O44,"SCOPE:SERVER FTC:ALL")),"stopped")</f>
        <v>stopped</v>
      </c>
      <c r="G44" s="22" t="str">
        <f>IF(Contribute="abcd",IF($F$2&lt;&gt;-1,_xll.RtContribute(SourceAlias,P44,Fields,Q44:R44,"SCOPE:SERVER"),_xll.RtContribute(SourceAlias,"DDS_INSERT_S",$F$2:$H$2,P44:R44,"SCOPE:SERVER FTC:ALL")),"stopped")</f>
        <v>stopped</v>
      </c>
      <c r="H44" s="22" t="str">
        <f>IF(Contribute="abcd",IF($F$2&lt;&gt;-1,_xll.RtContribute(SourceAlias,S44,Fields,T44:U44,"SCOPE:SERVER"),_xll.RtContribute(SourceAlias,"DDS_INSERT_S",$F$2:$H$2,S44:U44,"SCOPE:SERVER FTC:ALL")),"stopped")</f>
        <v>stopped</v>
      </c>
      <c r="I44" s="2"/>
      <c r="J44" s="17" t="str">
        <f t="shared" si="17"/>
        <v>AUDON30YD=</v>
      </c>
      <c r="K44" s="18">
        <f>'ON Pricing'!H44*100</f>
        <v>3.2449999999996781</v>
      </c>
      <c r="L44" s="18">
        <f t="shared" si="18"/>
        <v>3.2449999999996781</v>
      </c>
      <c r="M44" s="138" t="str">
        <f t="shared" si="25"/>
        <v>AUD1M30Y=</v>
      </c>
      <c r="N44" s="139" t="e">
        <f>'1M Pricing'!H44*100</f>
        <v>#NUM!</v>
      </c>
      <c r="O44" s="139" t="e">
        <f t="shared" si="26"/>
        <v>#NUM!</v>
      </c>
      <c r="P44" s="17" t="str">
        <f t="shared" si="27"/>
        <v>AUD3M30Y=</v>
      </c>
      <c r="Q44" s="18" t="e">
        <f>'3M Pricing'!H44*100</f>
        <v>#NUM!</v>
      </c>
      <c r="R44" s="18" t="e">
        <f t="shared" si="28"/>
        <v>#NUM!</v>
      </c>
      <c r="S44" s="17" t="str">
        <f t="shared" si="29"/>
        <v>AUD6M30Y=</v>
      </c>
      <c r="T44" s="18" t="e">
        <f>'6M Pricing'!H44*100</f>
        <v>#NUM!</v>
      </c>
      <c r="U44" s="18" t="e">
        <f t="shared" si="30"/>
        <v>#NUM!</v>
      </c>
      <c r="V44" s="98" t="s">
        <v>70</v>
      </c>
      <c r="W44" s="18">
        <f>ABS(_xll.RtGet(SourceAlias,$J44,BID)-K44)</f>
        <v>3.219646771412954E-13</v>
      </c>
      <c r="X44" s="18">
        <f>ABS(_xll.RtGet(SourceAlias,$J44,ASK)-L44)</f>
        <v>3.219646771412954E-13</v>
      </c>
      <c r="Y44" s="140" t="e">
        <f>ABS(_xll.RtGet(SourceAlias,$M44,BID)-N44)</f>
        <v>#NUM!</v>
      </c>
      <c r="Z44" s="140" t="e">
        <f>ABS(_xll.RtGet(SourceAlias,$M44,ASK)-O44)</f>
        <v>#NUM!</v>
      </c>
      <c r="AA44" s="18" t="e">
        <f>ABS(_xll.RtGet(SourceAlias,$P44,BID)-Q44)</f>
        <v>#NUM!</v>
      </c>
      <c r="AB44" s="18" t="e">
        <f>ABS(_xll.RtGet(SourceAlias,$P44,ASK)-R44)</f>
        <v>#NUM!</v>
      </c>
      <c r="AC44" s="18" t="e">
        <f>ABS(_xll.RtGet(SourceAlias,$S44,BID)-T44)</f>
        <v>#NUM!</v>
      </c>
      <c r="AD44" s="18" t="e">
        <f>ABS(_xll.RtGet(SourceAlias,$S44,ASK)-U44)</f>
        <v>#NUM!</v>
      </c>
      <c r="AE44" s="41" t="s">
        <v>70</v>
      </c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</row>
    <row r="45" spans="1:57" x14ac:dyDescent="0.2">
      <c r="A45" s="2"/>
      <c r="B45" s="2"/>
      <c r="C45" s="2"/>
      <c r="D45" s="2"/>
      <c r="E45" s="2"/>
      <c r="F45" s="2"/>
      <c r="G45" s="2"/>
      <c r="H45" s="2"/>
      <c r="I45" s="3"/>
      <c r="J45" s="8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  <c r="Y45" s="2"/>
      <c r="Z45" s="3"/>
      <c r="AA45" s="2"/>
      <c r="AB45" s="3"/>
      <c r="AC45" s="2"/>
      <c r="AD45" s="3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</row>
    <row r="46" spans="1:57" x14ac:dyDescent="0.2">
      <c r="A46" s="2"/>
      <c r="B46" s="2"/>
      <c r="C46" s="2"/>
      <c r="D46" s="2"/>
      <c r="E46" s="2"/>
      <c r="F46" s="2"/>
      <c r="G46" s="2"/>
      <c r="H46" s="2"/>
      <c r="I46" s="3"/>
      <c r="J46" s="8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  <c r="Y46" s="2"/>
      <c r="Z46" s="3"/>
      <c r="AA46" s="2"/>
      <c r="AB46" s="3"/>
      <c r="AC46" s="2"/>
      <c r="AD46" s="3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</row>
    <row r="47" spans="1:57" x14ac:dyDescent="0.2">
      <c r="A47" s="2"/>
      <c r="B47" s="2"/>
      <c r="C47" s="2"/>
      <c r="D47" s="2"/>
      <c r="E47" s="2"/>
      <c r="F47" s="2"/>
      <c r="G47" s="2"/>
      <c r="H47" s="2"/>
      <c r="I47" s="3"/>
      <c r="J47" s="8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  <c r="Y47" s="2"/>
      <c r="Z47" s="3"/>
      <c r="AA47" s="2"/>
      <c r="AB47" s="3"/>
      <c r="AC47" s="2"/>
      <c r="AD47" s="3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</row>
    <row r="48" spans="1:57" x14ac:dyDescent="0.2">
      <c r="A48" s="2"/>
      <c r="B48" s="2"/>
      <c r="C48" s="2"/>
      <c r="D48" s="2"/>
      <c r="E48" s="2"/>
      <c r="F48" s="2"/>
      <c r="G48" s="2"/>
      <c r="H48" s="2"/>
      <c r="I48" s="3"/>
      <c r="J48" s="8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  <c r="Y48" s="2"/>
      <c r="Z48" s="3"/>
      <c r="AA48" s="2"/>
      <c r="AB48" s="3"/>
      <c r="AC48" s="2"/>
      <c r="AD48" s="3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</row>
    <row r="49" spans="1:57" x14ac:dyDescent="0.2">
      <c r="A49" s="2"/>
      <c r="B49" s="2"/>
      <c r="C49" s="2"/>
      <c r="D49" s="2"/>
      <c r="E49" s="2"/>
      <c r="F49" s="2"/>
      <c r="G49" s="2"/>
      <c r="H49" s="2"/>
      <c r="I49" s="3"/>
      <c r="J49" s="8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  <c r="Y49" s="2"/>
      <c r="Z49" s="3"/>
      <c r="AA49" s="2"/>
      <c r="AB49" s="3"/>
      <c r="AC49" s="2"/>
      <c r="AD49" s="3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</row>
    <row r="50" spans="1:57" x14ac:dyDescent="0.2">
      <c r="A50" s="2"/>
      <c r="B50" s="2"/>
      <c r="C50" s="2"/>
      <c r="D50" s="2"/>
      <c r="E50" s="2"/>
      <c r="F50" s="2"/>
      <c r="G50" s="2"/>
      <c r="H50" s="2"/>
      <c r="I50" s="3"/>
      <c r="J50" s="8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  <c r="Y50" s="2"/>
      <c r="Z50" s="3"/>
      <c r="AA50" s="2"/>
      <c r="AB50" s="3"/>
      <c r="AC50" s="2"/>
      <c r="AD50" s="3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</row>
    <row r="51" spans="1:57" x14ac:dyDescent="0.2">
      <c r="A51" s="2"/>
      <c r="B51" s="2"/>
      <c r="C51" s="2"/>
      <c r="D51" s="2"/>
      <c r="E51" s="2"/>
      <c r="F51" s="2"/>
      <c r="G51" s="2"/>
      <c r="H51" s="2"/>
      <c r="I51" s="3"/>
      <c r="J51" s="8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3"/>
      <c r="Y51" s="2"/>
      <c r="Z51" s="3"/>
      <c r="AA51" s="2"/>
      <c r="AB51" s="3"/>
      <c r="AC51" s="2"/>
      <c r="AD51" s="3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</row>
    <row r="52" spans="1:57" x14ac:dyDescent="0.2">
      <c r="A52" s="2"/>
      <c r="B52" s="2"/>
      <c r="C52" s="2"/>
      <c r="D52" s="2"/>
      <c r="E52" s="2"/>
      <c r="F52" s="2"/>
      <c r="G52" s="2"/>
      <c r="H52" s="2"/>
      <c r="I52" s="3"/>
      <c r="J52" s="8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3"/>
      <c r="Y52" s="2"/>
      <c r="Z52" s="3"/>
      <c r="AA52" s="2"/>
      <c r="AB52" s="3"/>
      <c r="AC52" s="2"/>
      <c r="AD52" s="3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</row>
    <row r="53" spans="1:57" x14ac:dyDescent="0.2">
      <c r="A53" s="2"/>
      <c r="B53" s="2"/>
      <c r="C53" s="2"/>
      <c r="D53" s="2"/>
      <c r="E53" s="2"/>
      <c r="F53" s="2"/>
      <c r="G53" s="2"/>
      <c r="H53" s="2"/>
      <c r="I53" s="3"/>
      <c r="J53" s="8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3"/>
      <c r="Y53" s="2"/>
      <c r="Z53" s="3"/>
      <c r="AA53" s="2"/>
      <c r="AB53" s="3"/>
      <c r="AC53" s="2"/>
      <c r="AD53" s="3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</row>
    <row r="54" spans="1:57" x14ac:dyDescent="0.2">
      <c r="A54" s="2"/>
      <c r="B54" s="2"/>
      <c r="C54" s="2"/>
      <c r="D54" s="2"/>
      <c r="E54" s="2"/>
      <c r="F54" s="2"/>
      <c r="G54" s="2"/>
      <c r="H54" s="2"/>
      <c r="I54" s="3"/>
      <c r="J54" s="8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3"/>
      <c r="Y54" s="2"/>
      <c r="Z54" s="3"/>
      <c r="AA54" s="2"/>
      <c r="AB54" s="3"/>
      <c r="AC54" s="2"/>
      <c r="AD54" s="3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</row>
    <row r="55" spans="1:57" x14ac:dyDescent="0.2">
      <c r="A55" s="2"/>
      <c r="B55" s="2"/>
      <c r="C55" s="2"/>
      <c r="D55" s="2"/>
      <c r="E55" s="2"/>
      <c r="F55" s="2"/>
      <c r="G55" s="2"/>
      <c r="H55" s="2"/>
      <c r="I55" s="3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3"/>
      <c r="Y55" s="2"/>
      <c r="Z55" s="3"/>
      <c r="AA55" s="2"/>
      <c r="AB55" s="3"/>
      <c r="AC55" s="2"/>
      <c r="AD55" s="3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</row>
    <row r="56" spans="1:57" x14ac:dyDescent="0.2">
      <c r="A56" s="2"/>
      <c r="B56" s="2"/>
      <c r="C56" s="2"/>
      <c r="D56" s="2"/>
      <c r="E56" s="2"/>
      <c r="F56" s="2"/>
      <c r="G56" s="2"/>
      <c r="H56" s="2"/>
      <c r="I56" s="3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3"/>
      <c r="Y56" s="2"/>
      <c r="Z56" s="3"/>
      <c r="AA56" s="2"/>
      <c r="AB56" s="3"/>
      <c r="AC56" s="2"/>
      <c r="AD56" s="3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</row>
    <row r="57" spans="1:57" x14ac:dyDescent="0.2">
      <c r="A57" s="2"/>
      <c r="B57" s="2"/>
      <c r="C57" s="2"/>
      <c r="D57" s="2"/>
      <c r="E57" s="2"/>
      <c r="F57" s="2"/>
      <c r="G57" s="2"/>
      <c r="H57" s="2"/>
      <c r="I57" s="3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3"/>
      <c r="Y57" s="2"/>
      <c r="Z57" s="3"/>
      <c r="AA57" s="2"/>
      <c r="AB57" s="3"/>
      <c r="AC57" s="2"/>
      <c r="AD57" s="3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</row>
    <row r="58" spans="1:57" x14ac:dyDescent="0.2">
      <c r="A58" s="2"/>
      <c r="B58" s="2"/>
      <c r="C58" s="2"/>
      <c r="D58" s="2"/>
      <c r="E58" s="2"/>
      <c r="F58" s="2"/>
      <c r="G58" s="2"/>
      <c r="H58" s="2"/>
      <c r="I58" s="3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3"/>
      <c r="Y58" s="2"/>
      <c r="Z58" s="3"/>
      <c r="AA58" s="2"/>
      <c r="AB58" s="3"/>
      <c r="AC58" s="2"/>
      <c r="AD58" s="3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</row>
    <row r="59" spans="1:57" x14ac:dyDescent="0.2">
      <c r="A59" s="2"/>
      <c r="B59" s="2"/>
      <c r="C59" s="2"/>
      <c r="D59" s="2"/>
      <c r="E59" s="2"/>
      <c r="F59" s="2"/>
      <c r="G59" s="2"/>
      <c r="H59" s="2"/>
      <c r="I59" s="3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3"/>
      <c r="Y59" s="2"/>
      <c r="Z59" s="3"/>
      <c r="AA59" s="2"/>
      <c r="AB59" s="3"/>
      <c r="AC59" s="2"/>
      <c r="AD59" s="3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</row>
    <row r="60" spans="1:57" x14ac:dyDescent="0.2">
      <c r="A60" s="2"/>
      <c r="B60" s="2"/>
      <c r="C60" s="2"/>
      <c r="D60" s="2"/>
      <c r="E60" s="2"/>
      <c r="F60" s="2"/>
      <c r="G60" s="2"/>
      <c r="H60" s="2"/>
      <c r="I60" s="3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3"/>
      <c r="Y60" s="2"/>
      <c r="Z60" s="3"/>
      <c r="AA60" s="2"/>
      <c r="AB60" s="3"/>
      <c r="AC60" s="2"/>
      <c r="AD60" s="3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</row>
    <row r="61" spans="1:57" x14ac:dyDescent="0.2">
      <c r="A61" s="2"/>
      <c r="B61" s="2"/>
      <c r="C61" s="2"/>
      <c r="D61" s="2"/>
      <c r="E61" s="2"/>
      <c r="F61" s="2"/>
      <c r="G61" s="2"/>
      <c r="H61" s="2"/>
      <c r="I61" s="3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3"/>
      <c r="Y61" s="2"/>
      <c r="Z61" s="3"/>
      <c r="AA61" s="2"/>
      <c r="AB61" s="3"/>
      <c r="AC61" s="2"/>
      <c r="AD61" s="3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</row>
    <row r="62" spans="1:57" x14ac:dyDescent="0.2">
      <c r="A62" s="2"/>
      <c r="B62" s="2"/>
      <c r="C62" s="2"/>
      <c r="D62" s="2"/>
      <c r="E62" s="2"/>
      <c r="F62" s="2"/>
      <c r="G62" s="2"/>
      <c r="H62" s="2"/>
      <c r="I62" s="3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3"/>
      <c r="Y62" s="2"/>
      <c r="Z62" s="3"/>
      <c r="AA62" s="2"/>
      <c r="AB62" s="3"/>
      <c r="AC62" s="2"/>
      <c r="AD62" s="3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</row>
    <row r="63" spans="1:57" x14ac:dyDescent="0.2">
      <c r="A63" s="2"/>
      <c r="B63" s="2"/>
      <c r="C63" s="2"/>
      <c r="D63" s="2"/>
      <c r="E63" s="2"/>
      <c r="F63" s="2"/>
      <c r="G63" s="2"/>
      <c r="H63" s="2"/>
      <c r="I63" s="3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3"/>
      <c r="Y63" s="2"/>
      <c r="Z63" s="3"/>
      <c r="AA63" s="2"/>
      <c r="AB63" s="3"/>
      <c r="AC63" s="2"/>
      <c r="AD63" s="3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</row>
    <row r="64" spans="1:57" x14ac:dyDescent="0.2">
      <c r="A64" s="2"/>
      <c r="B64" s="2"/>
      <c r="C64" s="2"/>
      <c r="D64" s="2"/>
      <c r="E64" s="2"/>
      <c r="F64" s="2"/>
      <c r="G64" s="2"/>
      <c r="H64" s="2"/>
      <c r="I64" s="3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3"/>
      <c r="Y64" s="2"/>
      <c r="Z64" s="3"/>
      <c r="AA64" s="2"/>
      <c r="AB64" s="3"/>
      <c r="AC64" s="2"/>
      <c r="AD64" s="3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</row>
    <row r="65" spans="1:57" x14ac:dyDescent="0.2">
      <c r="A65" s="2"/>
      <c r="B65" s="2"/>
      <c r="C65" s="2"/>
      <c r="D65" s="2"/>
      <c r="E65" s="2"/>
      <c r="F65" s="2"/>
      <c r="G65" s="2"/>
      <c r="H65" s="2"/>
      <c r="I65" s="3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3"/>
      <c r="Y65" s="2"/>
      <c r="Z65" s="3"/>
      <c r="AA65" s="2"/>
      <c r="AB65" s="3"/>
      <c r="AC65" s="2"/>
      <c r="AD65" s="3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</row>
    <row r="66" spans="1:57" x14ac:dyDescent="0.2">
      <c r="A66" s="2"/>
      <c r="B66" s="2"/>
      <c r="C66" s="2"/>
      <c r="D66" s="2"/>
      <c r="E66" s="2"/>
      <c r="F66" s="2"/>
      <c r="G66" s="2"/>
      <c r="H66" s="2"/>
      <c r="I66" s="3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3"/>
      <c r="Y66" s="2"/>
      <c r="Z66" s="3"/>
      <c r="AA66" s="2"/>
      <c r="AB66" s="3"/>
      <c r="AC66" s="2"/>
      <c r="AD66" s="3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</row>
    <row r="67" spans="1:57" x14ac:dyDescent="0.2">
      <c r="A67" s="2"/>
      <c r="B67" s="2"/>
      <c r="C67" s="2"/>
      <c r="D67" s="2"/>
      <c r="E67" s="2"/>
      <c r="F67" s="2"/>
      <c r="G67" s="2"/>
      <c r="H67" s="2"/>
      <c r="I67" s="3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3"/>
      <c r="Y67" s="2"/>
      <c r="Z67" s="3"/>
      <c r="AA67" s="2"/>
      <c r="AB67" s="3"/>
      <c r="AC67" s="2"/>
      <c r="AD67" s="3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</row>
    <row r="68" spans="1:57" x14ac:dyDescent="0.2">
      <c r="A68" s="2"/>
      <c r="B68" s="2"/>
      <c r="C68" s="2"/>
      <c r="D68" s="2"/>
      <c r="E68" s="2"/>
      <c r="F68" s="2"/>
      <c r="G68" s="2"/>
      <c r="H68" s="2"/>
      <c r="I68" s="3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3"/>
      <c r="Y68" s="2"/>
      <c r="Z68" s="3"/>
      <c r="AA68" s="2"/>
      <c r="AB68" s="3"/>
      <c r="AC68" s="2"/>
      <c r="AD68" s="3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</row>
    <row r="69" spans="1:57" x14ac:dyDescent="0.2">
      <c r="A69" s="2"/>
      <c r="B69" s="2"/>
      <c r="C69" s="2"/>
      <c r="D69" s="2"/>
      <c r="E69" s="2"/>
      <c r="F69" s="2"/>
      <c r="G69" s="2"/>
      <c r="H69" s="2"/>
      <c r="I69" s="3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3"/>
      <c r="Y69" s="2"/>
      <c r="Z69" s="3"/>
      <c r="AA69" s="2"/>
      <c r="AB69" s="3"/>
      <c r="AC69" s="2"/>
      <c r="AD69" s="3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</row>
    <row r="70" spans="1:57" x14ac:dyDescent="0.2">
      <c r="A70" s="2"/>
      <c r="B70" s="2"/>
      <c r="C70" s="2"/>
      <c r="D70" s="2"/>
      <c r="E70" s="2"/>
      <c r="F70" s="2"/>
      <c r="G70" s="2"/>
      <c r="H70" s="2"/>
      <c r="I70" s="3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3"/>
      <c r="Y70" s="2"/>
      <c r="Z70" s="3"/>
      <c r="AA70" s="2"/>
      <c r="AB70" s="3"/>
      <c r="AC70" s="2"/>
      <c r="AD70" s="3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</row>
    <row r="71" spans="1:57" x14ac:dyDescent="0.2">
      <c r="A71" s="2"/>
      <c r="B71" s="2"/>
      <c r="C71" s="2"/>
      <c r="D71" s="2"/>
      <c r="E71" s="2"/>
      <c r="F71" s="2"/>
      <c r="G71" s="2"/>
      <c r="H71" s="2"/>
      <c r="I71" s="3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3"/>
      <c r="Y71" s="2"/>
      <c r="Z71" s="3"/>
      <c r="AA71" s="2"/>
      <c r="AB71" s="3"/>
      <c r="AC71" s="2"/>
      <c r="AD71" s="3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</row>
    <row r="72" spans="1:57" x14ac:dyDescent="0.2">
      <c r="A72" s="2"/>
      <c r="B72" s="2"/>
      <c r="C72" s="2"/>
      <c r="D72" s="2"/>
      <c r="E72" s="2"/>
      <c r="F72" s="2"/>
      <c r="G72" s="2"/>
      <c r="H72" s="2"/>
      <c r="I72" s="3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3"/>
      <c r="Y72" s="2"/>
      <c r="Z72" s="3"/>
      <c r="AA72" s="2"/>
      <c r="AB72" s="3"/>
      <c r="AC72" s="2"/>
      <c r="AD72" s="3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</row>
    <row r="73" spans="1:57" x14ac:dyDescent="0.2">
      <c r="A73" s="2"/>
      <c r="B73" s="2"/>
      <c r="C73" s="2"/>
      <c r="D73" s="2"/>
      <c r="E73" s="2"/>
      <c r="F73" s="2"/>
      <c r="G73" s="2"/>
      <c r="H73" s="2"/>
      <c r="I73" s="3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3"/>
      <c r="Y73" s="2"/>
      <c r="Z73" s="3"/>
      <c r="AA73" s="2"/>
      <c r="AB73" s="3"/>
      <c r="AC73" s="2"/>
      <c r="AD73" s="3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</row>
    <row r="74" spans="1:57" x14ac:dyDescent="0.2">
      <c r="A74" s="2"/>
      <c r="B74" s="2"/>
      <c r="C74" s="2"/>
      <c r="D74" s="2"/>
      <c r="E74" s="2"/>
      <c r="F74" s="2"/>
      <c r="G74" s="2"/>
      <c r="H74" s="2"/>
      <c r="I74" s="3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3"/>
      <c r="Y74" s="2"/>
      <c r="Z74" s="3"/>
      <c r="AA74" s="2"/>
      <c r="AB74" s="3"/>
      <c r="AC74" s="2"/>
      <c r="AD74" s="3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</row>
    <row r="75" spans="1:57" x14ac:dyDescent="0.2">
      <c r="A75" s="2"/>
      <c r="B75" s="2"/>
      <c r="C75" s="2"/>
      <c r="D75" s="2"/>
      <c r="E75" s="2"/>
      <c r="F75" s="2"/>
      <c r="G75" s="2"/>
      <c r="H75" s="2"/>
      <c r="I75" s="3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3"/>
      <c r="Y75" s="2"/>
      <c r="Z75" s="3"/>
      <c r="AA75" s="2"/>
      <c r="AB75" s="3"/>
      <c r="AC75" s="2"/>
      <c r="AD75" s="3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</row>
    <row r="76" spans="1:57" x14ac:dyDescent="0.2">
      <c r="A76" s="2"/>
      <c r="B76" s="2"/>
      <c r="C76" s="2"/>
      <c r="D76" s="2"/>
      <c r="E76" s="2"/>
      <c r="F76" s="2"/>
      <c r="G76" s="2"/>
      <c r="H76" s="2"/>
      <c r="I76" s="3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3"/>
      <c r="Y76" s="2"/>
      <c r="Z76" s="3"/>
      <c r="AA76" s="2"/>
      <c r="AB76" s="3"/>
      <c r="AC76" s="2"/>
      <c r="AD76" s="3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</row>
    <row r="77" spans="1:57" x14ac:dyDescent="0.2">
      <c r="A77" s="2"/>
      <c r="B77" s="2"/>
      <c r="C77" s="2"/>
      <c r="D77" s="2"/>
      <c r="E77" s="2"/>
      <c r="F77" s="2"/>
      <c r="G77" s="2"/>
      <c r="H77" s="2"/>
      <c r="I77" s="3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3"/>
      <c r="Y77" s="2"/>
      <c r="Z77" s="3"/>
      <c r="AA77" s="2"/>
      <c r="AB77" s="3"/>
      <c r="AC77" s="2"/>
      <c r="AD77" s="3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</row>
    <row r="78" spans="1:57" x14ac:dyDescent="0.2">
      <c r="A78" s="2"/>
      <c r="B78" s="2"/>
      <c r="C78" s="2"/>
      <c r="D78" s="2"/>
      <c r="E78" s="2"/>
      <c r="F78" s="2"/>
      <c r="G78" s="2"/>
      <c r="H78" s="2"/>
      <c r="I78" s="3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3"/>
      <c r="Y78" s="2"/>
      <c r="Z78" s="3"/>
      <c r="AA78" s="2"/>
      <c r="AB78" s="3"/>
      <c r="AC78" s="2"/>
      <c r="AD78" s="3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</row>
    <row r="79" spans="1:57" x14ac:dyDescent="0.2">
      <c r="A79" s="2"/>
      <c r="B79" s="2"/>
      <c r="C79" s="2"/>
      <c r="D79" s="2"/>
      <c r="E79" s="2"/>
      <c r="F79" s="2"/>
      <c r="G79" s="2"/>
      <c r="H79" s="2"/>
      <c r="I79" s="3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3"/>
      <c r="Y79" s="2"/>
      <c r="Z79" s="3"/>
      <c r="AA79" s="2"/>
      <c r="AB79" s="3"/>
      <c r="AC79" s="2"/>
      <c r="AD79" s="3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</row>
    <row r="80" spans="1:57" x14ac:dyDescent="0.2">
      <c r="A80" s="2"/>
      <c r="B80" s="2"/>
      <c r="C80" s="2"/>
      <c r="D80" s="2"/>
      <c r="E80" s="2"/>
      <c r="F80" s="2"/>
      <c r="G80" s="2"/>
      <c r="H80" s="2"/>
      <c r="I80" s="3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3"/>
      <c r="Y80" s="2"/>
      <c r="Z80" s="3"/>
      <c r="AA80" s="2"/>
      <c r="AB80" s="3"/>
      <c r="AC80" s="2"/>
      <c r="AD80" s="3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</row>
    <row r="81" spans="1:57" x14ac:dyDescent="0.2">
      <c r="A81" s="2"/>
      <c r="B81" s="2"/>
      <c r="C81" s="2"/>
      <c r="D81" s="2"/>
      <c r="E81" s="2"/>
      <c r="F81" s="2"/>
      <c r="G81" s="2"/>
      <c r="H81" s="2"/>
      <c r="I81" s="3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3"/>
      <c r="Y81" s="2"/>
      <c r="Z81" s="3"/>
      <c r="AA81" s="2"/>
      <c r="AB81" s="3"/>
      <c r="AC81" s="2"/>
      <c r="AD81" s="3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</row>
    <row r="82" spans="1:57" x14ac:dyDescent="0.2">
      <c r="A82" s="2"/>
      <c r="B82" s="2"/>
      <c r="C82" s="2"/>
      <c r="D82" s="2"/>
      <c r="E82" s="2"/>
      <c r="F82" s="2"/>
      <c r="G82" s="2"/>
      <c r="H82" s="2"/>
      <c r="I82" s="3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3"/>
      <c r="Y82" s="2"/>
      <c r="Z82" s="3"/>
      <c r="AA82" s="2"/>
      <c r="AB82" s="3"/>
      <c r="AC82" s="2"/>
      <c r="AD82" s="3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</row>
    <row r="83" spans="1:57" x14ac:dyDescent="0.2">
      <c r="A83" s="2"/>
      <c r="B83" s="2"/>
      <c r="C83" s="2"/>
      <c r="D83" s="2"/>
      <c r="E83" s="2"/>
      <c r="F83" s="2"/>
      <c r="G83" s="2"/>
      <c r="H83" s="2"/>
      <c r="I83" s="3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3"/>
      <c r="Y83" s="2"/>
      <c r="Z83" s="3"/>
      <c r="AA83" s="2"/>
      <c r="AB83" s="3"/>
      <c r="AC83" s="2"/>
      <c r="AD83" s="3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</row>
    <row r="84" spans="1:57" x14ac:dyDescent="0.2">
      <c r="A84" s="2"/>
      <c r="B84" s="2"/>
      <c r="C84" s="2"/>
      <c r="D84" s="2"/>
      <c r="E84" s="2"/>
      <c r="F84" s="2"/>
      <c r="G84" s="2"/>
      <c r="H84" s="2"/>
      <c r="I84" s="3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3"/>
      <c r="Y84" s="2"/>
      <c r="Z84" s="3"/>
      <c r="AA84" s="2"/>
      <c r="AB84" s="3"/>
      <c r="AC84" s="2"/>
      <c r="AD84" s="3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</row>
    <row r="85" spans="1:57" x14ac:dyDescent="0.2">
      <c r="A85" s="2"/>
      <c r="B85" s="2"/>
      <c r="C85" s="2"/>
      <c r="D85" s="2"/>
      <c r="E85" s="2"/>
      <c r="F85" s="2"/>
      <c r="G85" s="2"/>
      <c r="H85" s="2"/>
      <c r="I85" s="3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3"/>
      <c r="Y85" s="2"/>
      <c r="Z85" s="3"/>
      <c r="AA85" s="2"/>
      <c r="AB85" s="3"/>
      <c r="AC85" s="2"/>
      <c r="AD85" s="3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</row>
    <row r="86" spans="1:57" x14ac:dyDescent="0.2">
      <c r="A86" s="2"/>
      <c r="B86" s="2"/>
      <c r="C86" s="2"/>
      <c r="D86" s="2"/>
      <c r="E86" s="2"/>
      <c r="F86" s="2"/>
      <c r="G86" s="2"/>
      <c r="H86" s="2"/>
      <c r="I86" s="3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3"/>
      <c r="Y86" s="2"/>
      <c r="Z86" s="3"/>
      <c r="AA86" s="2"/>
      <c r="AB86" s="3"/>
      <c r="AC86" s="2"/>
      <c r="AD86" s="3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</row>
    <row r="87" spans="1:57" x14ac:dyDescent="0.2">
      <c r="A87" s="2"/>
      <c r="B87" s="2"/>
      <c r="C87" s="2"/>
      <c r="D87" s="2"/>
      <c r="E87" s="2"/>
      <c r="F87" s="2"/>
      <c r="G87" s="2"/>
      <c r="H87" s="2"/>
      <c r="I87" s="3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3"/>
      <c r="Y87" s="2"/>
      <c r="Z87" s="3"/>
      <c r="AA87" s="2"/>
      <c r="AB87" s="3"/>
      <c r="AC87" s="2"/>
      <c r="AD87" s="3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</row>
    <row r="88" spans="1:57" x14ac:dyDescent="0.2">
      <c r="A88" s="2"/>
      <c r="B88" s="2"/>
      <c r="C88" s="2"/>
      <c r="D88" s="2"/>
      <c r="E88" s="2"/>
      <c r="F88" s="2"/>
      <c r="G88" s="2"/>
      <c r="H88" s="2"/>
      <c r="I88" s="3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3"/>
      <c r="Y88" s="2"/>
      <c r="Z88" s="3"/>
      <c r="AA88" s="2"/>
      <c r="AB88" s="3"/>
      <c r="AC88" s="2"/>
      <c r="AD88" s="3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</row>
    <row r="89" spans="1:57" x14ac:dyDescent="0.2">
      <c r="A89" s="2"/>
      <c r="B89" s="2"/>
      <c r="C89" s="2"/>
      <c r="D89" s="2"/>
      <c r="E89" s="2"/>
      <c r="F89" s="2"/>
      <c r="G89" s="2"/>
      <c r="H89" s="2"/>
      <c r="I89" s="3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3"/>
      <c r="Y89" s="2"/>
      <c r="Z89" s="3"/>
      <c r="AA89" s="2"/>
      <c r="AB89" s="3"/>
      <c r="AC89" s="2"/>
      <c r="AD89" s="3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</row>
    <row r="90" spans="1:57" x14ac:dyDescent="0.2">
      <c r="A90" s="2"/>
      <c r="B90" s="2"/>
      <c r="C90" s="2"/>
      <c r="D90" s="2"/>
      <c r="E90" s="2"/>
      <c r="F90" s="2"/>
      <c r="G90" s="2"/>
      <c r="H90" s="2"/>
      <c r="I90" s="3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3"/>
      <c r="Y90" s="2"/>
      <c r="Z90" s="3"/>
      <c r="AA90" s="2"/>
      <c r="AB90" s="3"/>
      <c r="AC90" s="2"/>
      <c r="AD90" s="3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</row>
    <row r="91" spans="1:57" x14ac:dyDescent="0.2">
      <c r="A91" s="2"/>
      <c r="B91" s="2"/>
      <c r="C91" s="2"/>
      <c r="D91" s="2"/>
      <c r="E91" s="2"/>
      <c r="F91" s="2"/>
      <c r="G91" s="2"/>
      <c r="H91" s="2"/>
      <c r="I91" s="3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3"/>
      <c r="Y91" s="2"/>
      <c r="Z91" s="3"/>
      <c r="AA91" s="2"/>
      <c r="AB91" s="3"/>
      <c r="AC91" s="2"/>
      <c r="AD91" s="3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</row>
    <row r="92" spans="1:57" x14ac:dyDescent="0.2">
      <c r="A92" s="2"/>
      <c r="B92" s="2"/>
      <c r="C92" s="2"/>
      <c r="D92" s="2"/>
      <c r="E92" s="2"/>
      <c r="F92" s="2"/>
      <c r="G92" s="2"/>
      <c r="H92" s="2"/>
      <c r="I92" s="3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3"/>
      <c r="Y92" s="2"/>
      <c r="Z92" s="3"/>
      <c r="AA92" s="2"/>
      <c r="AB92" s="3"/>
      <c r="AC92" s="2"/>
      <c r="AD92" s="3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</row>
    <row r="93" spans="1:57" x14ac:dyDescent="0.2">
      <c r="A93" s="2"/>
      <c r="B93" s="2"/>
      <c r="C93" s="2"/>
      <c r="D93" s="2"/>
      <c r="E93" s="2"/>
      <c r="F93" s="2"/>
      <c r="G93" s="2"/>
      <c r="H93" s="2"/>
      <c r="I93" s="3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3"/>
      <c r="Y93" s="2"/>
      <c r="Z93" s="3"/>
      <c r="AA93" s="2"/>
      <c r="AB93" s="3"/>
      <c r="AC93" s="2"/>
      <c r="AD93" s="3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</row>
    <row r="94" spans="1:57" x14ac:dyDescent="0.2">
      <c r="A94" s="2"/>
      <c r="B94" s="2"/>
      <c r="C94" s="2"/>
      <c r="D94" s="2"/>
      <c r="E94" s="2"/>
      <c r="F94" s="2"/>
      <c r="G94" s="2"/>
      <c r="H94" s="2"/>
      <c r="I94" s="3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3"/>
      <c r="Y94" s="2"/>
      <c r="Z94" s="3"/>
      <c r="AA94" s="2"/>
      <c r="AB94" s="3"/>
      <c r="AC94" s="2"/>
      <c r="AD94" s="3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</row>
    <row r="95" spans="1:57" x14ac:dyDescent="0.2">
      <c r="A95" s="2"/>
      <c r="B95" s="2"/>
      <c r="C95" s="2"/>
      <c r="D95" s="2"/>
      <c r="E95" s="2"/>
      <c r="F95" s="2"/>
      <c r="G95" s="2"/>
      <c r="H95" s="2"/>
      <c r="I95" s="3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3"/>
      <c r="Y95" s="2"/>
      <c r="Z95" s="3"/>
      <c r="AA95" s="2"/>
      <c r="AB95" s="3"/>
      <c r="AC95" s="2"/>
      <c r="AD95" s="3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</row>
    <row r="96" spans="1:57" x14ac:dyDescent="0.2">
      <c r="A96" s="2"/>
      <c r="B96" s="2"/>
      <c r="C96" s="2"/>
      <c r="D96" s="2"/>
      <c r="E96" s="2"/>
      <c r="F96" s="2"/>
      <c r="G96" s="2"/>
      <c r="H96" s="2"/>
      <c r="I96" s="3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3"/>
      <c r="Y96" s="2"/>
      <c r="Z96" s="3"/>
      <c r="AA96" s="2"/>
      <c r="AB96" s="3"/>
      <c r="AC96" s="2"/>
      <c r="AD96" s="3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</row>
    <row r="97" spans="1:57" x14ac:dyDescent="0.2">
      <c r="A97" s="2"/>
      <c r="B97" s="2"/>
      <c r="C97" s="2"/>
      <c r="D97" s="2"/>
      <c r="E97" s="2"/>
      <c r="F97" s="2"/>
      <c r="G97" s="2"/>
      <c r="H97" s="2"/>
      <c r="I97" s="3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3"/>
      <c r="Y97" s="2"/>
      <c r="Z97" s="3"/>
      <c r="AA97" s="2"/>
      <c r="AB97" s="3"/>
      <c r="AC97" s="2"/>
      <c r="AD97" s="3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</row>
    <row r="98" spans="1:57" x14ac:dyDescent="0.2">
      <c r="A98" s="2"/>
      <c r="B98" s="2"/>
      <c r="C98" s="2"/>
      <c r="D98" s="2"/>
      <c r="E98" s="2"/>
      <c r="F98" s="2"/>
      <c r="G98" s="2"/>
      <c r="H98" s="2"/>
      <c r="I98" s="3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3"/>
      <c r="Y98" s="2"/>
      <c r="Z98" s="3"/>
      <c r="AA98" s="2"/>
      <c r="AB98" s="3"/>
      <c r="AC98" s="2"/>
      <c r="AD98" s="3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</row>
    <row r="99" spans="1:57" x14ac:dyDescent="0.2">
      <c r="A99" s="2"/>
      <c r="B99" s="2"/>
      <c r="C99" s="2"/>
      <c r="D99" s="2"/>
      <c r="E99" s="2"/>
      <c r="F99" s="2"/>
      <c r="G99" s="2"/>
      <c r="H99" s="2"/>
      <c r="I99" s="3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3"/>
      <c r="Y99" s="2"/>
      <c r="Z99" s="3"/>
      <c r="AA99" s="2"/>
      <c r="AB99" s="3"/>
      <c r="AC99" s="2"/>
      <c r="AD99" s="3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</row>
    <row r="100" spans="1:57" x14ac:dyDescent="0.2">
      <c r="A100" s="2"/>
      <c r="B100" s="2"/>
      <c r="C100" s="2"/>
      <c r="D100" s="2"/>
      <c r="E100" s="2"/>
      <c r="F100" s="2"/>
      <c r="G100" s="2"/>
      <c r="H100" s="2"/>
      <c r="I100" s="3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3"/>
      <c r="Y100" s="2"/>
      <c r="Z100" s="3"/>
      <c r="AA100" s="2"/>
      <c r="AB100" s="3"/>
      <c r="AC100" s="2"/>
      <c r="AD100" s="3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</row>
    <row r="101" spans="1:57" x14ac:dyDescent="0.2">
      <c r="A101" s="2"/>
      <c r="B101" s="2"/>
      <c r="C101" s="2"/>
      <c r="D101" s="2"/>
      <c r="E101" s="2"/>
      <c r="F101" s="2"/>
      <c r="G101" s="2"/>
      <c r="H101" s="2"/>
      <c r="I101" s="3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3"/>
      <c r="Y101" s="2"/>
      <c r="Z101" s="3"/>
      <c r="AA101" s="2"/>
      <c r="AB101" s="3"/>
      <c r="AC101" s="2"/>
      <c r="AD101" s="3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</row>
    <row r="102" spans="1:57" x14ac:dyDescent="0.2">
      <c r="A102" s="2"/>
      <c r="B102" s="2"/>
      <c r="C102" s="2"/>
      <c r="D102" s="2"/>
      <c r="E102" s="2"/>
      <c r="F102" s="2"/>
      <c r="G102" s="2"/>
      <c r="H102" s="2"/>
      <c r="I102" s="3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3"/>
      <c r="Y102" s="2"/>
      <c r="Z102" s="3"/>
      <c r="AA102" s="2"/>
      <c r="AB102" s="3"/>
      <c r="AC102" s="2"/>
      <c r="AD102" s="3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</row>
    <row r="103" spans="1:57" x14ac:dyDescent="0.2">
      <c r="A103" s="2"/>
      <c r="B103" s="2"/>
      <c r="C103" s="2"/>
      <c r="D103" s="2"/>
      <c r="E103" s="2"/>
      <c r="F103" s="2"/>
      <c r="G103" s="2"/>
      <c r="H103" s="2"/>
      <c r="I103" s="3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3"/>
      <c r="Y103" s="2"/>
      <c r="Z103" s="3"/>
      <c r="AA103" s="2"/>
      <c r="AB103" s="3"/>
      <c r="AC103" s="2"/>
      <c r="AD103" s="3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</row>
  </sheetData>
  <mergeCells count="3">
    <mergeCell ref="C6:C18"/>
    <mergeCell ref="C19:C25"/>
    <mergeCell ref="C26:C44"/>
  </mergeCells>
  <conditionalFormatting sqref="D2">
    <cfRule type="cellIs" dxfId="1" priority="12" operator="equal">
      <formula>"abcd"</formula>
    </cfRule>
  </conditionalFormatting>
  <conditionalFormatting sqref="E6:H44">
    <cfRule type="containsText" dxfId="0" priority="1" operator="containsText" text="Failure">
      <formula>NOT(ISERROR(SEARCH("Failure",E6)))</formula>
    </cfRule>
  </conditionalFormatting>
  <pageMargins left="0.7" right="0.7" top="0.75" bottom="0.75" header="0.3" footer="0.3"/>
  <pageSetup paperSize="9" orientation="portrait" r:id="rId1"/>
  <ignoredErrors>
    <ignoredError sqref="N6:N12 N26:N34 O25:O34 Q25:U34 Q39:U44 N39:N44 O39:O44 Q6:U23 O6:O23" evalError="1"/>
  </ignoredErrors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Q130"/>
  <sheetViews>
    <sheetView showGridLines="0" workbookViewId="0"/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10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1" hidden="1" customWidth="1" outlineLevel="1"/>
    <col min="14" max="14" width="14.140625" style="1" hidden="1" customWidth="1" outlineLevel="1"/>
    <col min="15" max="16" width="19.28515625" style="1" hidden="1" customWidth="1" outlineLevel="1"/>
    <col min="17" max="17" width="2.7109375" style="1" customWidth="1" collapsed="1"/>
    <col min="18" max="25" width="14.85546875" style="1" customWidth="1"/>
    <col min="26" max="29" width="14.85546875" style="11" customWidth="1"/>
    <col min="30" max="146" width="14.85546875" style="1" customWidth="1"/>
    <col min="147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9"/>
      <c r="K1" s="6"/>
      <c r="L1" s="6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" t="s">
        <v>76</v>
      </c>
      <c r="E2" s="19" t="s">
        <v>15</v>
      </c>
      <c r="F2" s="57"/>
      <c r="G2" s="57"/>
      <c r="H2" s="57"/>
      <c r="I2" s="57"/>
      <c r="J2" s="59"/>
      <c r="K2" s="57"/>
      <c r="L2" s="6"/>
      <c r="M2" s="2"/>
      <c r="N2" s="41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x14ac:dyDescent="0.2">
      <c r="A3" s="91"/>
      <c r="B3" s="91"/>
      <c r="C3" s="3"/>
      <c r="D3" s="51" t="s">
        <v>77</v>
      </c>
      <c r="E3" s="19" t="str">
        <f>Currency&amp;CurveTenor</f>
        <v>AUDON</v>
      </c>
      <c r="F3" s="57"/>
      <c r="G3" s="57"/>
      <c r="H3" s="57"/>
      <c r="I3" s="57"/>
      <c r="J3" s="59"/>
      <c r="K3" s="57"/>
      <c r="L3" s="6"/>
      <c r="M3" s="2"/>
      <c r="N3" s="41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6"/>
      <c r="E4" s="57"/>
      <c r="F4" s="57"/>
      <c r="G4" s="57"/>
      <c r="H4" s="57"/>
      <c r="I4" s="57"/>
      <c r="J4" s="59"/>
      <c r="K4" s="57"/>
      <c r="L4" s="6"/>
      <c r="M4" s="2"/>
      <c r="N4" s="41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">
      <c r="A5" s="91"/>
      <c r="B5" s="91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61"/>
      <c r="L5" s="8" t="s">
        <v>69</v>
      </c>
      <c r="M5" s="41"/>
      <c r="N5" s="41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">
      <c r="A6" s="91"/>
      <c r="B6" s="91"/>
      <c r="C6" s="20" t="s">
        <v>15</v>
      </c>
      <c r="D6" s="161" t="s">
        <v>65</v>
      </c>
      <c r="E6" s="162">
        <f t="shared" ref="E6" si="0">EvaluationDate</f>
        <v>42354</v>
      </c>
      <c r="F6" s="162">
        <f>_xll.qlInterestRateIndexValueDate(OvernightIndex,E6,)</f>
        <v>42354</v>
      </c>
      <c r="G6" s="162">
        <f>_xll.qlInterestRateIndexMaturity(OvernightIndex,F6)</f>
        <v>42355</v>
      </c>
      <c r="H6" s="52">
        <f>_xll.qlIndexFixing(OvernightIndex,E6,TRUE,InterestRatesTrigger)</f>
        <v>1.9998364093573029E-2</v>
      </c>
      <c r="I6" s="55" t="str">
        <f>Contribution!J6</f>
        <v>AUDONOND=</v>
      </c>
      <c r="J6" s="55"/>
      <c r="K6" s="41"/>
      <c r="L6" s="95" t="s">
        <v>89</v>
      </c>
      <c r="M6" s="41"/>
      <c r="N6" s="41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">
      <c r="A7" s="91"/>
      <c r="B7" s="91"/>
      <c r="C7" s="163" t="s">
        <v>97</v>
      </c>
      <c r="D7" s="155" t="s">
        <v>65</v>
      </c>
      <c r="E7" s="156">
        <f>G6</f>
        <v>42355</v>
      </c>
      <c r="F7" s="156">
        <f>_xll.qlInterestRateIndexValueDate(OvernightIndex,E7,)</f>
        <v>42355</v>
      </c>
      <c r="G7" s="156">
        <f>_xll.qlInterestRateIndexMaturity(OvernightIndex,F7)</f>
        <v>42356</v>
      </c>
      <c r="H7" s="157">
        <f>_xll.qlIndexFixing(OvernightIndex,E7,TRUE,InterestRatesTrigger)</f>
        <v>1.9998226511594996E-2</v>
      </c>
      <c r="I7" s="153" t="str">
        <f>Contribution!J7</f>
        <v>AUDONTND=</v>
      </c>
      <c r="J7" s="153"/>
      <c r="K7" s="61"/>
      <c r="L7" s="41"/>
      <c r="M7" s="41"/>
      <c r="N7" s="41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">
      <c r="A8" s="91"/>
      <c r="B8" s="91"/>
      <c r="C8" s="164" t="s">
        <v>98</v>
      </c>
      <c r="D8" s="158" t="s">
        <v>65</v>
      </c>
      <c r="E8" s="159">
        <f>G6</f>
        <v>42355</v>
      </c>
      <c r="F8" s="159">
        <f>_xll.qlInterestRateIndexValueDate(OvernightIndex,E8,)</f>
        <v>42355</v>
      </c>
      <c r="G8" s="159">
        <f>_xll.qlInterestRateIndexMaturity(OvernightIndex,F8)</f>
        <v>42356</v>
      </c>
      <c r="H8" s="160">
        <f>_xll.qlIndexFixing(OvernightIndex,E8,TRUE,InterestRatesTrigger)</f>
        <v>1.9998226511594996E-2</v>
      </c>
      <c r="I8" s="154" t="str">
        <f>Contribution!J8</f>
        <v>AUDONSND=</v>
      </c>
      <c r="J8" s="154"/>
      <c r="K8" s="61"/>
      <c r="L8" s="86" t="s">
        <v>46</v>
      </c>
      <c r="M8" s="41"/>
      <c r="N8" s="86" t="s">
        <v>41</v>
      </c>
      <c r="O8" s="86" t="s">
        <v>78</v>
      </c>
      <c r="P8" s="86" t="s">
        <v>42</v>
      </c>
      <c r="Q8" s="2"/>
      <c r="R8" s="2"/>
      <c r="S8" s="2"/>
      <c r="T8" s="2"/>
      <c r="U8" s="2"/>
      <c r="V8" s="2"/>
      <c r="W8" s="2"/>
      <c r="X8" s="2"/>
      <c r="Y8" s="2"/>
    </row>
    <row r="9" spans="1:25" x14ac:dyDescent="0.2">
      <c r="A9" s="91"/>
      <c r="B9" s="91"/>
      <c r="C9" s="21" t="s">
        <v>103</v>
      </c>
      <c r="D9" s="29" t="s">
        <v>59</v>
      </c>
      <c r="E9" s="48"/>
      <c r="F9" s="48">
        <f>_xll.qlSwapStartDate(L9)</f>
        <v>42355</v>
      </c>
      <c r="G9" s="48">
        <f>_xll.qlSwapMaturityDate(L9)</f>
        <v>42362</v>
      </c>
      <c r="H9" s="47">
        <f>_xll.qlOvernightIndexedSwapFairRate(L9,InterestRatesTrigger)</f>
        <v>2.0000000001161308E-2</v>
      </c>
      <c r="I9" s="38" t="str">
        <f>Contribution!J9</f>
        <v>AUDONSWD=</v>
      </c>
      <c r="J9" s="38" t="str">
        <f>Currency&amp;C9&amp;"OIS=ICAA"</f>
        <v>AUD1WOIS=ICAA</v>
      </c>
      <c r="K9" s="61"/>
      <c r="L9" s="29" t="str">
        <f>_xll.qlMakeOIS(,1,C9,OvernightIndex,,"0D",FixedLegDayCounter,,,Trigger)</f>
        <v>obj_002a5#0000</v>
      </c>
      <c r="M9" s="41"/>
      <c r="N9" s="87" t="s">
        <v>25</v>
      </c>
      <c r="O9" s="93" t="s">
        <v>60</v>
      </c>
      <c r="P9" s="87" t="s">
        <v>43</v>
      </c>
      <c r="Q9" s="2"/>
      <c r="R9" s="2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91"/>
      <c r="C10" s="21" t="s">
        <v>17</v>
      </c>
      <c r="D10" s="29" t="s">
        <v>59</v>
      </c>
      <c r="E10" s="48" t="s">
        <v>104</v>
      </c>
      <c r="F10" s="48">
        <f>_xll.qlSwapStartDate(L10)</f>
        <v>42355</v>
      </c>
      <c r="G10" s="48">
        <f>_xll.qlSwapMaturityDate(L10)</f>
        <v>42369</v>
      </c>
      <c r="H10" s="47">
        <f>_xll.qlOvernightIndexedSwapFairRate(L10,InterestRatesTrigger)</f>
        <v>2.0000502627993931E-2</v>
      </c>
      <c r="I10" s="38"/>
      <c r="J10" s="38"/>
      <c r="K10" s="60"/>
      <c r="L10" s="29" t="str">
        <f>_xll.qlMakeOIS(,1,C10,OvernightIndex,,"0D",FixedLegDayCounter,,,Trigger)</f>
        <v>obj_002a6#0000</v>
      </c>
      <c r="M10" s="92"/>
      <c r="N10" s="41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91"/>
      <c r="C11" s="21" t="s">
        <v>18</v>
      </c>
      <c r="D11" s="29" t="s">
        <v>59</v>
      </c>
      <c r="E11" s="48"/>
      <c r="F11" s="48">
        <f>_xll.qlSwapStartDate(L11)</f>
        <v>42355</v>
      </c>
      <c r="G11" s="48">
        <f>_xll.qlSwapMaturityDate(L11)</f>
        <v>42376</v>
      </c>
      <c r="H11" s="47">
        <f>_xll.qlOvernightIndexedSwapFairRate(L11,InterestRatesTrigger)</f>
        <v>2.000049487496584E-2</v>
      </c>
      <c r="I11" s="38"/>
      <c r="J11" s="38"/>
      <c r="K11" s="60"/>
      <c r="L11" s="29" t="str">
        <f>_xll.qlMakeOIS(,1,C11,OvernightIndex,,"0D",FixedLegDayCounter,,,Trigger)</f>
        <v>obj_002a0#0000</v>
      </c>
      <c r="M11" s="41"/>
      <c r="N11" s="41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91"/>
      <c r="C12" s="21" t="s">
        <v>19</v>
      </c>
      <c r="D12" s="29" t="s">
        <v>59</v>
      </c>
      <c r="E12" s="48"/>
      <c r="F12" s="48">
        <f>_xll.qlSwapStartDate(L12)</f>
        <v>42355</v>
      </c>
      <c r="G12" s="48">
        <f>_xll.qlSwapMaturityDate(L12)</f>
        <v>42387</v>
      </c>
      <c r="H12" s="47">
        <f>_xll.qlOvernightIndexedSwapFairRate(L12,InterestRatesTrigger)</f>
        <v>1.9999999999241527E-2</v>
      </c>
      <c r="I12" s="38" t="str">
        <f>Contribution!J12</f>
        <v>AUDON1MD=</v>
      </c>
      <c r="J12" s="38" t="str">
        <f t="shared" ref="J12:J17" si="1">Currency&amp;C12&amp;"OIS=ICAA"</f>
        <v>AUD1MOIS=ICAA</v>
      </c>
      <c r="K12" s="60"/>
      <c r="L12" s="29" t="str">
        <f>_xll.qlMakeOIS(,1,C12,OvernightIndex,,"0D",FixedLegDayCounter,,,Trigger)</f>
        <v>obj_002a7#0000</v>
      </c>
      <c r="M12" s="41"/>
      <c r="N12" s="41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91"/>
      <c r="C13" s="21" t="s">
        <v>20</v>
      </c>
      <c r="D13" s="29" t="s">
        <v>59</v>
      </c>
      <c r="E13" s="48"/>
      <c r="F13" s="48">
        <f>_xll.qlSwapStartDate(L13)</f>
        <v>42355</v>
      </c>
      <c r="G13" s="48">
        <f>_xll.qlSwapMaturityDate(L13)</f>
        <v>42417</v>
      </c>
      <c r="H13" s="47">
        <f>_xll.qlOvernightIndexedSwapFairRate(L13,InterestRatesTrigger)</f>
        <v>1.994999999869183E-2</v>
      </c>
      <c r="I13" s="38" t="str">
        <f>Contribution!J13</f>
        <v>AUDON2MD=</v>
      </c>
      <c r="J13" s="38" t="str">
        <f t="shared" si="1"/>
        <v>AUD2MOIS=ICAA</v>
      </c>
      <c r="K13" s="60"/>
      <c r="L13" s="29" t="str">
        <f>_xll.qlMakeOIS(,1,C13,OvernightIndex,,"0D",FixedLegDayCounter,,,Trigger)</f>
        <v>obj_0029a#0000</v>
      </c>
      <c r="M13" s="41"/>
      <c r="N13" s="41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91"/>
      <c r="C14" s="21" t="s">
        <v>21</v>
      </c>
      <c r="D14" s="29" t="s">
        <v>59</v>
      </c>
      <c r="E14" s="48"/>
      <c r="F14" s="48">
        <f>_xll.qlSwapStartDate(L14)</f>
        <v>42355</v>
      </c>
      <c r="G14" s="48">
        <f>_xll.qlSwapMaturityDate(L14)</f>
        <v>42446</v>
      </c>
      <c r="H14" s="47">
        <f>_xll.qlOvernightIndexedSwapFairRate(L14,InterestRatesTrigger)</f>
        <v>1.9809999999269714E-2</v>
      </c>
      <c r="I14" s="38" t="str">
        <f>Contribution!J14</f>
        <v>AUDON3MD=</v>
      </c>
      <c r="J14" s="38" t="str">
        <f t="shared" si="1"/>
        <v>AUD3MOIS=ICAA</v>
      </c>
      <c r="K14" s="60"/>
      <c r="L14" s="29" t="str">
        <f>_xll.qlMakeOIS(,1,C14,OvernightIndex,,"0D",FixedLegDayCounter,,,Trigger)</f>
        <v>obj_00299#0000</v>
      </c>
      <c r="M14" s="41"/>
      <c r="N14" s="41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91"/>
      <c r="C15" s="21" t="s">
        <v>22</v>
      </c>
      <c r="D15" s="29" t="s">
        <v>59</v>
      </c>
      <c r="E15" s="48"/>
      <c r="F15" s="48">
        <f>_xll.qlSwapStartDate(L15)</f>
        <v>42355</v>
      </c>
      <c r="G15" s="48">
        <f>_xll.qlSwapMaturityDate(L15)</f>
        <v>42478</v>
      </c>
      <c r="H15" s="47">
        <f>_xll.qlOvernightIndexedSwapFairRate(L15,InterestRatesTrigger)</f>
        <v>1.9684999999428805E-2</v>
      </c>
      <c r="I15" s="38" t="str">
        <f>Contribution!J15</f>
        <v>AUDON4MD=</v>
      </c>
      <c r="J15" s="38" t="str">
        <f t="shared" si="1"/>
        <v>AUD4MOIS=ICAA</v>
      </c>
      <c r="K15" s="60"/>
      <c r="L15" s="29" t="str">
        <f>_xll.qlMakeOIS(,1,C15,OvernightIndex,,"0D",FixedLegDayCounter,,,Trigger)</f>
        <v>obj_002a4#0000</v>
      </c>
      <c r="M15" s="41"/>
      <c r="N15" s="41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91"/>
      <c r="C16" s="21" t="s">
        <v>23</v>
      </c>
      <c r="D16" s="29" t="s">
        <v>59</v>
      </c>
      <c r="E16" s="48"/>
      <c r="F16" s="48">
        <f>_xll.qlSwapStartDate(L16)</f>
        <v>42355</v>
      </c>
      <c r="G16" s="48">
        <f>_xll.qlSwapMaturityDate(L16)</f>
        <v>42507</v>
      </c>
      <c r="H16" s="47">
        <f>_xll.qlOvernightIndexedSwapFairRate(L16,InterestRatesTrigger)</f>
        <v>1.9549999999544179E-2</v>
      </c>
      <c r="I16" s="38" t="str">
        <f>Contribution!J16</f>
        <v>AUDON5MD=</v>
      </c>
      <c r="J16" s="38" t="str">
        <f t="shared" si="1"/>
        <v>AUD5MOIS=ICAA</v>
      </c>
      <c r="K16" s="60"/>
      <c r="L16" s="29" t="str">
        <f>_xll.qlMakeOIS(,1,C16,OvernightIndex,,"0D",FixedLegDayCounter,,,Trigger)</f>
        <v>obj_002a2#0000</v>
      </c>
      <c r="M16" s="41"/>
      <c r="N16" s="41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91"/>
      <c r="C17" s="21" t="s">
        <v>14</v>
      </c>
      <c r="D17" s="29" t="s">
        <v>59</v>
      </c>
      <c r="E17" s="48"/>
      <c r="F17" s="48">
        <f>_xll.qlSwapStartDate(L17)</f>
        <v>42355</v>
      </c>
      <c r="G17" s="48">
        <f>_xll.qlSwapMaturityDate(L17)</f>
        <v>42538</v>
      </c>
      <c r="H17" s="47">
        <f>_xll.qlOvernightIndexedSwapFairRate(L17,InterestRatesTrigger)</f>
        <v>1.944999999961957E-2</v>
      </c>
      <c r="I17" s="38" t="str">
        <f>Contribution!J17</f>
        <v>AUDON6MD=</v>
      </c>
      <c r="J17" s="38" t="str">
        <f t="shared" si="1"/>
        <v>AUD6MOIS=ICAA</v>
      </c>
      <c r="K17" s="60"/>
      <c r="L17" s="29" t="str">
        <f>_xll.qlMakeOIS(,1,C17,OvernightIndex,,"0D",FixedLegDayCounter,,,Trigger)</f>
        <v>obj_0029f#0000</v>
      </c>
      <c r="M17" s="41"/>
      <c r="N17" s="41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91"/>
      <c r="C18" s="22" t="s">
        <v>24</v>
      </c>
      <c r="D18" s="31" t="s">
        <v>59</v>
      </c>
      <c r="E18" s="49"/>
      <c r="F18" s="49">
        <f>_xll.qlSwapStartDate(L18)</f>
        <v>42355</v>
      </c>
      <c r="G18" s="49">
        <f>_xll.qlSwapMaturityDate(L18)</f>
        <v>42632</v>
      </c>
      <c r="H18" s="50">
        <f>_xll.qlOvernightIndexedSwapFairRate(L18,InterestRatesTrigger)</f>
        <v>1.9149999999747494E-2</v>
      </c>
      <c r="I18" s="40" t="str">
        <f>Contribution!J18</f>
        <v>AUDON9MD=</v>
      </c>
      <c r="J18" s="40" t="str">
        <f>Currency&amp;C18&amp;"OIS=ICAA"</f>
        <v>AUD9MOIS=ICAA</v>
      </c>
      <c r="K18" s="60"/>
      <c r="L18" s="29" t="str">
        <f>_xll.qlMakeOIS(,1,C18,OvernightIndex,,"0D",FixedLegDayCounter,,,Trigger)</f>
        <v>obj_00297#0000</v>
      </c>
      <c r="M18" s="41"/>
      <c r="N18" s="41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91"/>
      <c r="C19" s="20"/>
      <c r="D19" s="28"/>
      <c r="E19" s="45"/>
      <c r="F19" s="45"/>
      <c r="G19" s="45"/>
      <c r="H19" s="46"/>
      <c r="I19" s="39"/>
      <c r="J19" s="39"/>
      <c r="K19" s="60"/>
      <c r="L19" s="29"/>
      <c r="M19" s="41"/>
      <c r="N19" s="41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91"/>
      <c r="C20" s="21"/>
      <c r="D20" s="29"/>
      <c r="E20" s="48"/>
      <c r="F20" s="48"/>
      <c r="G20" s="48"/>
      <c r="H20" s="47"/>
      <c r="I20" s="38"/>
      <c r="J20" s="38"/>
      <c r="K20" s="60"/>
      <c r="L20" s="29"/>
      <c r="M20" s="41"/>
      <c r="N20" s="41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91"/>
      <c r="C21" s="21"/>
      <c r="D21" s="29"/>
      <c r="E21" s="48"/>
      <c r="F21" s="48"/>
      <c r="G21" s="48"/>
      <c r="H21" s="47"/>
      <c r="I21" s="38"/>
      <c r="J21" s="38"/>
      <c r="K21" s="60"/>
      <c r="L21" s="29"/>
      <c r="M21" s="41"/>
      <c r="N21" s="41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91"/>
      <c r="C22" s="21"/>
      <c r="D22" s="29"/>
      <c r="E22" s="48"/>
      <c r="F22" s="48"/>
      <c r="G22" s="48"/>
      <c r="H22" s="47"/>
      <c r="I22" s="38"/>
      <c r="J22" s="38"/>
      <c r="K22" s="60"/>
      <c r="L22" s="29"/>
      <c r="M22" s="41"/>
      <c r="N22" s="41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91"/>
      <c r="C23" s="21"/>
      <c r="D23" s="29"/>
      <c r="E23" s="48"/>
      <c r="F23" s="48"/>
      <c r="G23" s="48"/>
      <c r="H23" s="47"/>
      <c r="I23" s="38"/>
      <c r="J23" s="38"/>
      <c r="K23" s="60"/>
      <c r="L23" s="29"/>
      <c r="M23" s="41"/>
      <c r="N23" s="41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91"/>
      <c r="C24" s="21"/>
      <c r="D24" s="29"/>
      <c r="E24" s="48"/>
      <c r="F24" s="48"/>
      <c r="G24" s="48"/>
      <c r="H24" s="47"/>
      <c r="I24" s="38"/>
      <c r="J24" s="38"/>
      <c r="K24" s="60"/>
      <c r="L24" s="29"/>
      <c r="M24" s="41"/>
      <c r="N24" s="41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91"/>
      <c r="C25" s="22"/>
      <c r="D25" s="31"/>
      <c r="E25" s="49"/>
      <c r="F25" s="49"/>
      <c r="G25" s="49"/>
      <c r="H25" s="50"/>
      <c r="I25" s="40"/>
      <c r="J25" s="40"/>
      <c r="K25" s="60"/>
      <c r="L25" s="29"/>
      <c r="M25" s="41"/>
      <c r="N25" s="41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91"/>
      <c r="C26" s="20"/>
      <c r="D26" s="29"/>
      <c r="E26" s="48"/>
      <c r="F26" s="48"/>
      <c r="G26" s="48"/>
      <c r="H26" s="47"/>
      <c r="I26" s="38"/>
      <c r="J26" s="38"/>
      <c r="K26" s="60"/>
      <c r="L26" s="29"/>
      <c r="M26" s="41"/>
      <c r="N26" s="41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91"/>
      <c r="C27" s="21"/>
      <c r="D27" s="29"/>
      <c r="E27" s="48"/>
      <c r="F27" s="48"/>
      <c r="G27" s="48"/>
      <c r="H27" s="47"/>
      <c r="I27" s="38"/>
      <c r="J27" s="38"/>
      <c r="K27" s="60"/>
      <c r="L27" s="29"/>
      <c r="M27" s="41"/>
      <c r="N27" s="41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91"/>
      <c r="C28" s="21"/>
      <c r="D28" s="29"/>
      <c r="E28" s="48"/>
      <c r="F28" s="48"/>
      <c r="G28" s="48"/>
      <c r="H28" s="47"/>
      <c r="I28" s="38"/>
      <c r="J28" s="38"/>
      <c r="K28" s="60"/>
      <c r="L28" s="29"/>
      <c r="M28" s="41"/>
      <c r="N28" s="41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91"/>
      <c r="C29" s="21" t="s">
        <v>25</v>
      </c>
      <c r="D29" s="29" t="s">
        <v>59</v>
      </c>
      <c r="E29" s="48"/>
      <c r="F29" s="48">
        <f>_xll.qlSwapStartDate(L29)</f>
        <v>42355</v>
      </c>
      <c r="G29" s="48">
        <f>_xll.qlSwapMaturityDate(L29)</f>
        <v>42723</v>
      </c>
      <c r="H29" s="47">
        <f>_xll.qlOvernightIndexedSwapFairRate(L29,InterestRatesTrigger)</f>
        <v>1.9029999999809109E-2</v>
      </c>
      <c r="I29" s="38" t="str">
        <f>Contribution!J29</f>
        <v>AUDON1YD=</v>
      </c>
      <c r="J29" s="38" t="str">
        <f t="shared" ref="J29:J44" si="2">Currency&amp;C29&amp;"MTOIS=ICAA"</f>
        <v>AUD1YMTOIS=ICAA</v>
      </c>
      <c r="K29" s="60"/>
      <c r="L29" s="29" t="str">
        <f>_xll.qlMakeOIS(,1,C29,OvernightIndex,,"0D",FixedLegDayCounter,,,Trigger)</f>
        <v>obj_00293#0000</v>
      </c>
      <c r="M29" s="41"/>
      <c r="N29" s="41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91"/>
      <c r="C30" s="21" t="s">
        <v>67</v>
      </c>
      <c r="D30" s="29" t="s">
        <v>59</v>
      </c>
      <c r="E30" s="48"/>
      <c r="F30" s="48">
        <f>_xll.qlSwapStartDate(L30)</f>
        <v>42355</v>
      </c>
      <c r="G30" s="48">
        <f>_xll.qlSwapMaturityDate(L30)</f>
        <v>42905</v>
      </c>
      <c r="H30" s="47">
        <f>_xll.qlOvernightIndexedSwapFairRate(L30,InterestRatesTrigger)</f>
        <v>1.8999999999871849E-2</v>
      </c>
      <c r="I30" s="38" t="str">
        <f>Contribution!J30</f>
        <v>AUDON18MD=</v>
      </c>
      <c r="J30" s="38" t="str">
        <f t="shared" si="2"/>
        <v>AUD18MMTOIS=ICAA</v>
      </c>
      <c r="K30" s="60"/>
      <c r="L30" s="29" t="str">
        <f>_xll.qlMakeOIS(,1,C30,OvernightIndex,,"0D",FixedLegDayCounter,,,Trigger)</f>
        <v>obj_00290#0000</v>
      </c>
      <c r="M30" s="41"/>
      <c r="N30" s="41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91"/>
      <c r="C31" s="21" t="s">
        <v>26</v>
      </c>
      <c r="D31" s="29" t="s">
        <v>59</v>
      </c>
      <c r="E31" s="48"/>
      <c r="F31" s="48">
        <f>_xll.qlSwapStartDate(L31)</f>
        <v>42355</v>
      </c>
      <c r="G31" s="48">
        <f>_xll.qlSwapMaturityDate(L31)</f>
        <v>43087</v>
      </c>
      <c r="H31" s="47">
        <f>_xll.qlOvernightIndexedSwapFairRate(L31,InterestRatesTrigger)</f>
        <v>1.9399999999903095E-2</v>
      </c>
      <c r="I31" s="38" t="str">
        <f>Contribution!J31</f>
        <v>AUDON2YD=</v>
      </c>
      <c r="J31" s="38" t="str">
        <f t="shared" si="2"/>
        <v>AUD2YMTOIS=ICAA</v>
      </c>
      <c r="K31" s="60"/>
      <c r="L31" s="29" t="str">
        <f>_xll.qlMakeOIS(,1,C31,OvernightIndex,,"0D",FixedLegDayCounter,,,Trigger)</f>
        <v>obj_00292#0000</v>
      </c>
      <c r="M31" s="41"/>
      <c r="N31" s="41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91"/>
      <c r="C32" s="21" t="s">
        <v>27</v>
      </c>
      <c r="D32" s="29" t="s">
        <v>59</v>
      </c>
      <c r="E32" s="48"/>
      <c r="F32" s="48">
        <f>_xll.qlSwapStartDate(L32)</f>
        <v>42355</v>
      </c>
      <c r="G32" s="48">
        <f>_xll.qlSwapMaturityDate(L32)</f>
        <v>43451</v>
      </c>
      <c r="H32" s="47">
        <f>_xll.qlOvernightIndexedSwapFairRate(L32,InterestRatesTrigger)</f>
        <v>2.0299999999934561E-2</v>
      </c>
      <c r="I32" s="38" t="str">
        <f>Contribution!J32</f>
        <v>AUDON3YD=</v>
      </c>
      <c r="J32" s="38" t="str">
        <f t="shared" si="2"/>
        <v>AUD3YMTOIS=ICAA</v>
      </c>
      <c r="K32" s="60"/>
      <c r="L32" s="29" t="str">
        <f>_xll.qlMakeOIS(,1,C32,OvernightIndex,,"0D",FixedLegDayCounter,,,Trigger)</f>
        <v>obj_00294#0000</v>
      </c>
      <c r="M32" s="41"/>
      <c r="N32" s="41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91"/>
      <c r="C33" s="21" t="s">
        <v>28</v>
      </c>
      <c r="D33" s="29" t="s">
        <v>59</v>
      </c>
      <c r="E33" s="48"/>
      <c r="F33" s="48">
        <f>_xll.qlSwapStartDate(L33)</f>
        <v>42355</v>
      </c>
      <c r="G33" s="48">
        <f>_xll.qlSwapMaturityDate(L33)</f>
        <v>43816</v>
      </c>
      <c r="H33" s="47">
        <f>_xll.qlOvernightIndexedSwapFairRate(L33,InterestRatesTrigger)</f>
        <v>2.1479999999950428E-2</v>
      </c>
      <c r="I33" s="38" t="str">
        <f>Contribution!J33</f>
        <v>AUDON4YD=</v>
      </c>
      <c r="J33" s="38" t="str">
        <f t="shared" si="2"/>
        <v>AUD4YMTOIS=ICAA</v>
      </c>
      <c r="K33" s="60"/>
      <c r="L33" s="29" t="str">
        <f>_xll.qlMakeOIS(,1,C33,OvernightIndex,,"0D",FixedLegDayCounter,,,Trigger)</f>
        <v>obj_0029d#0000</v>
      </c>
      <c r="M33" s="41"/>
      <c r="N33" s="41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91"/>
      <c r="C34" s="21" t="s">
        <v>29</v>
      </c>
      <c r="D34" s="29" t="s">
        <v>59</v>
      </c>
      <c r="E34" s="48"/>
      <c r="F34" s="48">
        <f>_xll.qlSwapStartDate(L34)</f>
        <v>42355</v>
      </c>
      <c r="G34" s="48">
        <f>_xll.qlSwapMaturityDate(L34)</f>
        <v>44182</v>
      </c>
      <c r="H34" s="47">
        <f>_xll.qlOvernightIndexedSwapFairRate(L34,InterestRatesTrigger)</f>
        <v>2.277999999995986E-2</v>
      </c>
      <c r="I34" s="38" t="str">
        <f>Contribution!J34</f>
        <v>AUDON5YD=</v>
      </c>
      <c r="J34" s="38" t="str">
        <f t="shared" si="2"/>
        <v>AUD5YMTOIS=ICAA</v>
      </c>
      <c r="K34" s="60"/>
      <c r="L34" s="29" t="str">
        <f>_xll.qlMakeOIS(,1,C34,OvernightIndex,,"0D",FixedLegDayCounter,,,Trigger)</f>
        <v>obj_002a3#0000</v>
      </c>
      <c r="M34" s="41"/>
      <c r="N34" s="41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91"/>
      <c r="C35" s="21" t="s">
        <v>30</v>
      </c>
      <c r="D35" s="29" t="s">
        <v>59</v>
      </c>
      <c r="E35" s="48"/>
      <c r="F35" s="48">
        <f>_xll.qlSwapStartDate(L35)</f>
        <v>42355</v>
      </c>
      <c r="G35" s="48">
        <f>_xll.qlSwapMaturityDate(L35)</f>
        <v>44547</v>
      </c>
      <c r="H35" s="47">
        <f>_xll.qlOvernightIndexedSwapFairRate(L35,InterestRatesTrigger)</f>
        <v>2.3999999999966042E-2</v>
      </c>
      <c r="I35" s="38" t="str">
        <f>Contribution!J35</f>
        <v>AUDON6YD=</v>
      </c>
      <c r="J35" s="38" t="str">
        <f t="shared" si="2"/>
        <v>AUD6YMTOIS=ICAA</v>
      </c>
      <c r="K35" s="60"/>
      <c r="L35" s="29" t="str">
        <f>_xll.qlMakeOIS(,1,C35,OvernightIndex,,"0D",FixedLegDayCounter,,,Trigger)</f>
        <v>obj_0029c#0000</v>
      </c>
      <c r="M35" s="41"/>
      <c r="N35" s="41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91"/>
      <c r="C36" s="21" t="s">
        <v>31</v>
      </c>
      <c r="D36" s="29" t="s">
        <v>59</v>
      </c>
      <c r="E36" s="48"/>
      <c r="F36" s="48">
        <f>_xll.qlSwapStartDate(L36)</f>
        <v>42355</v>
      </c>
      <c r="G36" s="48">
        <f>_xll.qlSwapMaturityDate(L36)</f>
        <v>44914</v>
      </c>
      <c r="H36" s="47">
        <f>_xll.qlOvernightIndexedSwapFairRate(L36,InterestRatesTrigger)</f>
        <v>2.5199999999970461E-2</v>
      </c>
      <c r="I36" s="38" t="str">
        <f>Contribution!J36</f>
        <v>AUDON7YD=</v>
      </c>
      <c r="J36" s="38" t="str">
        <f t="shared" si="2"/>
        <v>AUD7YMTOIS=ICAA</v>
      </c>
      <c r="K36" s="60"/>
      <c r="L36" s="29" t="str">
        <f>_xll.qlMakeOIS(,1,C36,OvernightIndex,,"0D",FixedLegDayCounter,,,Trigger)</f>
        <v>obj_002a8#0000</v>
      </c>
      <c r="M36" s="41"/>
      <c r="N36" s="41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91"/>
      <c r="C37" s="21" t="s">
        <v>32</v>
      </c>
      <c r="D37" s="29" t="s">
        <v>59</v>
      </c>
      <c r="E37" s="48"/>
      <c r="F37" s="48">
        <f>_xll.qlSwapStartDate(L37)</f>
        <v>42355</v>
      </c>
      <c r="G37" s="48">
        <f>_xll.qlSwapMaturityDate(L37)</f>
        <v>45278</v>
      </c>
      <c r="H37" s="47">
        <f>_xll.qlOvernightIndexedSwapFairRate(L37,InterestRatesTrigger)</f>
        <v>2.6029999999973862E-2</v>
      </c>
      <c r="I37" s="38" t="str">
        <f>Contribution!J37</f>
        <v>AUDON8YD=</v>
      </c>
      <c r="J37" s="38" t="str">
        <f t="shared" si="2"/>
        <v>AUD8YMTOIS=ICAA</v>
      </c>
      <c r="K37" s="60"/>
      <c r="L37" s="29" t="str">
        <f>_xll.qlMakeOIS(,1,C37,OvernightIndex,,"0D",FixedLegDayCounter,,,Trigger)</f>
        <v>obj_0029b#0000</v>
      </c>
      <c r="M37" s="41"/>
      <c r="N37" s="41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91"/>
      <c r="C38" s="21" t="s">
        <v>33</v>
      </c>
      <c r="D38" s="29" t="s">
        <v>59</v>
      </c>
      <c r="E38" s="48"/>
      <c r="F38" s="48">
        <f>_xll.qlSwapStartDate(L38)</f>
        <v>42355</v>
      </c>
      <c r="G38" s="48">
        <f>_xll.qlSwapMaturityDate(L38)</f>
        <v>45643</v>
      </c>
      <c r="H38" s="47">
        <f>_xll.qlOvernightIndexedSwapFairRate(L38,InterestRatesTrigger)</f>
        <v>2.6879999999976371E-2</v>
      </c>
      <c r="I38" s="38" t="str">
        <f>Contribution!J38</f>
        <v>AUDON9YD=</v>
      </c>
      <c r="J38" s="38" t="str">
        <f t="shared" si="2"/>
        <v>AUD9YMTOIS=ICAA</v>
      </c>
      <c r="K38" s="60"/>
      <c r="L38" s="29" t="str">
        <f>_xll.qlMakeOIS(,1,C38,OvernightIndex,,"0D",FixedLegDayCounter,,,Trigger)</f>
        <v>obj_002a9#0000</v>
      </c>
      <c r="M38" s="41"/>
      <c r="N38" s="41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91"/>
      <c r="C39" s="21" t="s">
        <v>34</v>
      </c>
      <c r="D39" s="29" t="s">
        <v>59</v>
      </c>
      <c r="E39" s="48"/>
      <c r="F39" s="48">
        <f>_xll.qlSwapStartDate(L39)</f>
        <v>42355</v>
      </c>
      <c r="G39" s="48">
        <f>_xll.qlSwapMaturityDate(L39)</f>
        <v>46008</v>
      </c>
      <c r="H39" s="47">
        <f>_xll.qlOvernightIndexedSwapFairRate(L39,InterestRatesTrigger)</f>
        <v>2.7699999999978506E-2</v>
      </c>
      <c r="I39" s="38" t="str">
        <f>Contribution!J39</f>
        <v>AUDON10YD=</v>
      </c>
      <c r="J39" s="38" t="str">
        <f t="shared" si="2"/>
        <v>AUD10YMTOIS=ICAA</v>
      </c>
      <c r="K39" s="60"/>
      <c r="L39" s="29" t="str">
        <f>_xll.qlMakeOIS(,1,C39,OvernightIndex,,"0D",FixedLegDayCounter,,,Trigger)</f>
        <v>obj_00291#0000</v>
      </c>
      <c r="M39" s="41"/>
      <c r="N39" s="41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">
      <c r="A40" s="91"/>
      <c r="B40" s="91"/>
      <c r="C40" s="21" t="s">
        <v>35</v>
      </c>
      <c r="D40" s="29" t="s">
        <v>59</v>
      </c>
      <c r="E40" s="48"/>
      <c r="F40" s="48">
        <f>_xll.qlSwapStartDate(L40)</f>
        <v>42355</v>
      </c>
      <c r="G40" s="48">
        <f>_xll.qlSwapMaturityDate(L40)</f>
        <v>46738</v>
      </c>
      <c r="H40" s="47">
        <f>_xll.qlOvernightIndexedSwapFairRate(L40,InterestRatesTrigger)</f>
        <v>2.9029999999926864E-2</v>
      </c>
      <c r="I40" s="38" t="str">
        <f>Contribution!J40</f>
        <v>AUDON12YD=</v>
      </c>
      <c r="J40" s="38" t="str">
        <f t="shared" si="2"/>
        <v>AUD12YMTOIS=ICAA</v>
      </c>
      <c r="K40" s="60"/>
      <c r="L40" s="29" t="str">
        <f>_xll.qlMakeOIS(,1,C40,OvernightIndex,,"0D",FixedLegDayCounter,,,Trigger)</f>
        <v>obj_0029e#0000</v>
      </c>
      <c r="M40" s="41"/>
      <c r="N40" s="41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">
      <c r="A41" s="91"/>
      <c r="B41" s="91"/>
      <c r="C41" s="21" t="s">
        <v>36</v>
      </c>
      <c r="D41" s="29" t="s">
        <v>59</v>
      </c>
      <c r="E41" s="48"/>
      <c r="F41" s="48">
        <f>_xll.qlSwapStartDate(L41)</f>
        <v>42355</v>
      </c>
      <c r="G41" s="48">
        <f>_xll.qlSwapMaturityDate(L41)</f>
        <v>47834</v>
      </c>
      <c r="H41" s="47">
        <f>_xll.qlOvernightIndexedSwapFairRate(L41,InterestRatesTrigger)</f>
        <v>3.0530000000001029E-2</v>
      </c>
      <c r="I41" s="38" t="str">
        <f>Contribution!J41</f>
        <v>AUDON15YD=</v>
      </c>
      <c r="J41" s="38" t="str">
        <f t="shared" si="2"/>
        <v>AUD15YMTOIS=ICAA</v>
      </c>
      <c r="K41" s="60"/>
      <c r="L41" s="29" t="str">
        <f>_xll.qlMakeOIS(,1,C41,OvernightIndex,,"0D",FixedLegDayCounter,,,Trigger)</f>
        <v>obj_00298#0000</v>
      </c>
      <c r="M41" s="41"/>
      <c r="N41" s="41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91"/>
      <c r="C42" s="21" t="s">
        <v>37</v>
      </c>
      <c r="D42" s="29" t="s">
        <v>59</v>
      </c>
      <c r="E42" s="48"/>
      <c r="F42" s="48">
        <f>_xll.qlSwapStartDate(L42)</f>
        <v>42355</v>
      </c>
      <c r="G42" s="48">
        <f>_xll.qlSwapMaturityDate(L42)</f>
        <v>49660</v>
      </c>
      <c r="H42" s="47">
        <f>_xll.qlOvernightIndexedSwapFairRate(L42,InterestRatesTrigger)</f>
        <v>3.2150000000007443E-2</v>
      </c>
      <c r="I42" s="38" t="str">
        <f>Contribution!J42</f>
        <v>AUDON20YD=</v>
      </c>
      <c r="J42" s="38" t="str">
        <f t="shared" si="2"/>
        <v>AUD20YMTOIS=ICAA</v>
      </c>
      <c r="K42" s="60"/>
      <c r="L42" s="29" t="str">
        <f>_xll.qlMakeOIS(,1,C42,OvernightIndex,,"0D",FixedLegDayCounter,,,Trigger)</f>
        <v>obj_002a1#0000</v>
      </c>
      <c r="M42" s="41"/>
      <c r="N42" s="41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">
      <c r="A43" s="91"/>
      <c r="B43" s="91"/>
      <c r="C43" s="21" t="s">
        <v>38</v>
      </c>
      <c r="D43" s="29" t="s">
        <v>59</v>
      </c>
      <c r="E43" s="48"/>
      <c r="F43" s="48">
        <f>_xll.qlSwapStartDate(L43)</f>
        <v>42355</v>
      </c>
      <c r="G43" s="48">
        <f>_xll.qlSwapMaturityDate(L43)</f>
        <v>51487</v>
      </c>
      <c r="H43" s="47">
        <f>_xll.qlOvernightIndexedSwapFairRate(L43,InterestRatesTrigger)</f>
        <v>3.264999999997837E-2</v>
      </c>
      <c r="I43" s="38" t="str">
        <f>Contribution!J43</f>
        <v>AUDON25YD=</v>
      </c>
      <c r="J43" s="38" t="str">
        <f t="shared" si="2"/>
        <v>AUD25YMTOIS=ICAA</v>
      </c>
      <c r="K43" s="60"/>
      <c r="L43" s="29" t="str">
        <f>_xll.qlMakeOIS(,1,C43,OvernightIndex,,"0D",FixedLegDayCounter,,,Trigger)</f>
        <v>obj_00296#0000</v>
      </c>
      <c r="M43" s="41"/>
      <c r="N43" s="41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">
      <c r="A44" s="91"/>
      <c r="B44" s="91"/>
      <c r="C44" s="22" t="s">
        <v>39</v>
      </c>
      <c r="D44" s="29" t="s">
        <v>59</v>
      </c>
      <c r="E44" s="48"/>
      <c r="F44" s="48">
        <f>_xll.qlSwapStartDate(L44)</f>
        <v>42355</v>
      </c>
      <c r="G44" s="48">
        <f>_xll.qlSwapMaturityDate(L44)</f>
        <v>53314</v>
      </c>
      <c r="H44" s="47">
        <f>_xll.qlOvernightIndexedSwapFairRate(L44,InterestRatesTrigger)</f>
        <v>3.244999999999678E-2</v>
      </c>
      <c r="I44" s="40" t="str">
        <f>Contribution!J44</f>
        <v>AUDON30YD=</v>
      </c>
      <c r="J44" s="40" t="str">
        <f t="shared" si="2"/>
        <v>AUD30YMTOIS=ICAA</v>
      </c>
      <c r="K44" s="60"/>
      <c r="L44" s="31" t="str">
        <f>_xll.qlMakeOIS(,1,C44,OvernightIndex,,"0D",FixedLegDayCounter,,,Trigger)</f>
        <v>obj_00295#0000</v>
      </c>
      <c r="M44" s="41"/>
      <c r="N44" s="41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58"/>
      <c r="E45" s="58"/>
      <c r="F45" s="58"/>
      <c r="G45" s="58"/>
      <c r="H45" s="58"/>
      <c r="I45" s="58"/>
      <c r="J45" s="9"/>
      <c r="K45" s="6"/>
      <c r="L45" s="6"/>
      <c r="M45" s="41"/>
      <c r="N45" s="41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57"/>
      <c r="E46" s="57"/>
      <c r="F46" s="57"/>
      <c r="G46" s="57"/>
      <c r="H46" s="57"/>
      <c r="I46" s="57"/>
      <c r="J46" s="9"/>
      <c r="K46" s="91"/>
      <c r="L46" s="91"/>
      <c r="M46" s="41"/>
      <c r="N46" s="41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91"/>
      <c r="B47" s="91"/>
      <c r="C47" s="3"/>
      <c r="D47" s="6"/>
      <c r="E47" s="6"/>
      <c r="F47" s="6"/>
      <c r="G47" s="6"/>
      <c r="H47" s="6"/>
      <c r="I47" s="6"/>
      <c r="J47" s="9"/>
      <c r="K47" s="6"/>
      <c r="L47" s="6"/>
      <c r="M47" s="41"/>
      <c r="N47" s="41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91"/>
      <c r="B48" s="6"/>
      <c r="C48" s="3"/>
      <c r="D48" s="6"/>
      <c r="E48" s="6"/>
      <c r="F48" s="6"/>
      <c r="G48" s="6"/>
      <c r="H48" s="6"/>
      <c r="I48" s="6"/>
      <c r="J48" s="9"/>
      <c r="K48" s="57"/>
      <c r="L48" s="57"/>
      <c r="M48" s="41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91"/>
      <c r="B49" s="6"/>
      <c r="C49" s="3"/>
      <c r="D49" s="6"/>
      <c r="E49" s="6"/>
      <c r="F49" s="6"/>
      <c r="G49" s="6"/>
      <c r="H49" s="6"/>
      <c r="I49" s="6"/>
      <c r="J49" s="9"/>
      <c r="K49" s="6"/>
      <c r="L49" s="6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91"/>
      <c r="B50" s="6"/>
      <c r="C50" s="3"/>
      <c r="D50" s="6"/>
      <c r="E50" s="6"/>
      <c r="F50" s="6"/>
      <c r="G50" s="6"/>
      <c r="H50" s="6"/>
      <c r="I50" s="6"/>
      <c r="J50" s="9"/>
      <c r="K50" s="6"/>
      <c r="L50" s="6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6"/>
      <c r="I51" s="6"/>
      <c r="J51" s="9"/>
      <c r="K51" s="6"/>
      <c r="L51" s="6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94"/>
      <c r="I52" s="6"/>
      <c r="J52" s="9"/>
      <c r="K52" s="6"/>
      <c r="L52" s="6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94"/>
      <c r="I53" s="6"/>
      <c r="J53" s="9"/>
      <c r="K53" s="6"/>
      <c r="L53" s="6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94"/>
      <c r="I54" s="6"/>
      <c r="J54" s="9"/>
      <c r="K54" s="6"/>
      <c r="L54" s="6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9"/>
      <c r="K55" s="6"/>
      <c r="L55" s="6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9"/>
      <c r="K56" s="6"/>
      <c r="L56" s="6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9"/>
      <c r="K57" s="6"/>
      <c r="L57" s="6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9"/>
      <c r="K58" s="6"/>
      <c r="L58" s="6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9"/>
      <c r="K59" s="6"/>
      <c r="L59" s="6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9"/>
      <c r="K60" s="6"/>
      <c r="L60" s="6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9"/>
      <c r="K61" s="6"/>
      <c r="L61" s="6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9"/>
      <c r="K62" s="6"/>
      <c r="L62" s="6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9"/>
      <c r="K63" s="6"/>
      <c r="L63" s="6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9"/>
      <c r="K64" s="6"/>
      <c r="L64" s="6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9"/>
      <c r="K65" s="6"/>
      <c r="L65" s="6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9"/>
      <c r="K66" s="6"/>
      <c r="L66" s="6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9"/>
      <c r="K67" s="6"/>
      <c r="L67" s="6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9"/>
      <c r="K68" s="6"/>
      <c r="L68" s="6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9"/>
      <c r="K69" s="6"/>
      <c r="L69" s="6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9"/>
      <c r="K70" s="6"/>
      <c r="L70" s="6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9"/>
      <c r="K71" s="6"/>
      <c r="L71" s="6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9"/>
      <c r="K72" s="6"/>
      <c r="L72" s="6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9"/>
      <c r="K73" s="6"/>
      <c r="L73" s="6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9"/>
      <c r="K74" s="6"/>
      <c r="L74" s="6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9"/>
      <c r="K75" s="6"/>
      <c r="L75" s="6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9"/>
      <c r="K76" s="6"/>
      <c r="L76" s="6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9"/>
      <c r="K77" s="6"/>
      <c r="L77" s="6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9"/>
      <c r="K78" s="6"/>
      <c r="L78" s="6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9"/>
      <c r="K79" s="6"/>
      <c r="L79" s="6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9"/>
      <c r="K80" s="6"/>
      <c r="L80" s="6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9"/>
      <c r="K81" s="6"/>
      <c r="L81" s="6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9"/>
      <c r="K82" s="6"/>
      <c r="L82" s="6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9"/>
      <c r="K83" s="6"/>
      <c r="L83" s="6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9"/>
      <c r="K84" s="6"/>
      <c r="L84" s="6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9"/>
      <c r="K85" s="6"/>
      <c r="L85" s="6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9"/>
      <c r="K86" s="6"/>
      <c r="L86" s="6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9"/>
      <c r="K87" s="6"/>
      <c r="L87" s="6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9"/>
      <c r="K88" s="6"/>
      <c r="L88" s="6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9"/>
      <c r="K89" s="6"/>
      <c r="L89" s="6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9"/>
      <c r="K90" s="6"/>
      <c r="L90" s="6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9"/>
      <c r="K91" s="6"/>
      <c r="L91" s="6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9"/>
      <c r="K92" s="6"/>
      <c r="L92" s="6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9"/>
      <c r="K93" s="6"/>
      <c r="L93" s="6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9"/>
      <c r="K94" s="6"/>
      <c r="L94" s="6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9"/>
      <c r="K95" s="6"/>
      <c r="L95" s="6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9"/>
      <c r="K96" s="6"/>
      <c r="L96" s="6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43" x14ac:dyDescent="0.2">
      <c r="A97" s="6"/>
      <c r="B97" s="6"/>
      <c r="C97" s="3"/>
      <c r="D97" s="6"/>
      <c r="E97" s="6"/>
      <c r="F97" s="6"/>
      <c r="G97" s="6"/>
      <c r="H97" s="6"/>
      <c r="I97" s="6"/>
      <c r="J97" s="9"/>
      <c r="K97" s="6"/>
      <c r="L97" s="6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43" x14ac:dyDescent="0.2">
      <c r="A98" s="6"/>
      <c r="B98" s="6"/>
      <c r="C98" s="3"/>
      <c r="D98" s="6"/>
      <c r="E98" s="6"/>
      <c r="F98" s="6"/>
      <c r="G98" s="6"/>
      <c r="H98" s="6"/>
      <c r="I98" s="6"/>
      <c r="J98" s="9"/>
      <c r="K98" s="6"/>
      <c r="L98" s="6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43" x14ac:dyDescent="0.2">
      <c r="A99" s="6"/>
      <c r="B99" s="6"/>
      <c r="C99" s="3"/>
      <c r="D99" s="6"/>
      <c r="E99" s="6"/>
      <c r="F99" s="6"/>
      <c r="G99" s="6"/>
      <c r="H99" s="6"/>
      <c r="I99" s="6"/>
      <c r="J99" s="9"/>
      <c r="K99" s="6"/>
      <c r="L99" s="6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43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9"/>
      <c r="K100" s="6"/>
      <c r="L100" s="6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43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9"/>
      <c r="K101" s="6"/>
      <c r="L101" s="6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43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9"/>
      <c r="K102" s="6"/>
      <c r="L102" s="6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43" x14ac:dyDescent="0.2">
      <c r="A103" s="6"/>
      <c r="B103" s="6"/>
      <c r="C103" s="3"/>
      <c r="D103" s="6"/>
      <c r="E103" s="6"/>
      <c r="F103" s="6"/>
      <c r="G103" s="6"/>
      <c r="H103" s="6"/>
      <c r="I103" s="6"/>
      <c r="J103" s="9"/>
      <c r="K103" s="6"/>
      <c r="L103" s="6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43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50"/>
      <c r="K104" s="149"/>
      <c r="L104" s="149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</row>
    <row r="105" spans="1:43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50"/>
      <c r="K105" s="149"/>
      <c r="L105" s="149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</row>
    <row r="106" spans="1:43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50"/>
      <c r="K106" s="149"/>
      <c r="L106" s="149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</row>
    <row r="107" spans="1:43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50"/>
      <c r="K107" s="149"/>
      <c r="L107" s="149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</row>
    <row r="108" spans="1:43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50"/>
      <c r="K108" s="149"/>
      <c r="L108" s="149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</row>
    <row r="109" spans="1:43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50"/>
      <c r="K109" s="149"/>
      <c r="L109" s="149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</row>
    <row r="110" spans="1:43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50"/>
      <c r="K110" s="149"/>
      <c r="L110" s="149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</row>
    <row r="111" spans="1:43" x14ac:dyDescent="0.2">
      <c r="A111" s="149"/>
      <c r="B111" s="149"/>
      <c r="C111" s="151"/>
      <c r="D111" s="149"/>
      <c r="E111" s="149"/>
      <c r="F111" s="149"/>
      <c r="G111" s="149"/>
      <c r="H111" s="149"/>
      <c r="I111" s="149"/>
      <c r="J111" s="150"/>
      <c r="K111" s="149"/>
      <c r="L111" s="149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</row>
    <row r="112" spans="1:43" x14ac:dyDescent="0.2">
      <c r="A112" s="149"/>
      <c r="B112" s="149"/>
      <c r="C112" s="151"/>
      <c r="D112" s="149"/>
      <c r="E112" s="149"/>
      <c r="F112" s="149"/>
      <c r="G112" s="149"/>
      <c r="H112" s="149"/>
      <c r="I112" s="149"/>
      <c r="J112" s="150"/>
      <c r="K112" s="149"/>
      <c r="L112" s="149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</row>
    <row r="113" spans="1:43" x14ac:dyDescent="0.2">
      <c r="A113" s="149"/>
      <c r="B113" s="149"/>
      <c r="C113" s="151"/>
      <c r="D113" s="149"/>
      <c r="E113" s="149"/>
      <c r="F113" s="149"/>
      <c r="G113" s="149"/>
      <c r="H113" s="149"/>
      <c r="I113" s="149"/>
      <c r="J113" s="150"/>
      <c r="K113" s="149"/>
      <c r="L113" s="149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</row>
    <row r="114" spans="1:43" x14ac:dyDescent="0.2">
      <c r="A114" s="149"/>
      <c r="B114" s="149"/>
      <c r="C114" s="151"/>
      <c r="D114" s="149"/>
      <c r="E114" s="149"/>
      <c r="F114" s="149"/>
      <c r="G114" s="149"/>
      <c r="H114" s="149"/>
      <c r="I114" s="149"/>
      <c r="J114" s="150"/>
      <c r="K114" s="149"/>
      <c r="L114" s="149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</row>
    <row r="115" spans="1:43" x14ac:dyDescent="0.2">
      <c r="B115" s="149"/>
      <c r="C115" s="151"/>
    </row>
    <row r="116" spans="1:43" x14ac:dyDescent="0.2">
      <c r="B116" s="149"/>
      <c r="C116" s="151"/>
    </row>
    <row r="117" spans="1:43" x14ac:dyDescent="0.2">
      <c r="B117" s="149"/>
      <c r="C117" s="151"/>
    </row>
    <row r="118" spans="1:43" x14ac:dyDescent="0.2">
      <c r="B118" s="149"/>
      <c r="C118" s="151"/>
    </row>
    <row r="119" spans="1:43" x14ac:dyDescent="0.2">
      <c r="B119" s="149"/>
      <c r="C119" s="151"/>
    </row>
    <row r="120" spans="1:43" x14ac:dyDescent="0.2">
      <c r="B120" s="149"/>
      <c r="C120" s="151"/>
    </row>
    <row r="121" spans="1:43" x14ac:dyDescent="0.2">
      <c r="B121" s="149"/>
      <c r="C121" s="151"/>
    </row>
    <row r="122" spans="1:43" x14ac:dyDescent="0.2">
      <c r="B122" s="149"/>
      <c r="C122" s="151"/>
    </row>
    <row r="123" spans="1:43" x14ac:dyDescent="0.2">
      <c r="B123" s="149"/>
      <c r="C123" s="151"/>
    </row>
    <row r="124" spans="1:43" x14ac:dyDescent="0.2">
      <c r="B124" s="149"/>
      <c r="C124" s="151"/>
    </row>
    <row r="125" spans="1:43" x14ac:dyDescent="0.2">
      <c r="B125" s="149"/>
      <c r="C125" s="151"/>
    </row>
    <row r="126" spans="1:43" x14ac:dyDescent="0.2">
      <c r="B126" s="149"/>
      <c r="C126" s="151"/>
    </row>
    <row r="127" spans="1:43" x14ac:dyDescent="0.2">
      <c r="B127" s="149"/>
      <c r="C127" s="151"/>
    </row>
    <row r="128" spans="1:43" x14ac:dyDescent="0.2">
      <c r="B128" s="149"/>
      <c r="C128" s="151"/>
    </row>
    <row r="129" spans="2:3" x14ac:dyDescent="0.2">
      <c r="B129" s="149"/>
      <c r="C129" s="151"/>
    </row>
    <row r="130" spans="2:3" x14ac:dyDescent="0.2">
      <c r="B130" s="149"/>
      <c r="C130" s="151"/>
    </row>
  </sheetData>
  <dataValidations count="2">
    <dataValidation type="list" allowBlank="1" showInputMessage="1" showErrorMessage="1" sqref="P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9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30"/>
  <sheetViews>
    <sheetView showGridLines="0" workbookViewId="0"/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7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7" hidden="1" customWidth="1" outlineLevel="1"/>
    <col min="14" max="14" width="14.140625" style="7" hidden="1" customWidth="1" outlineLevel="1"/>
    <col min="15" max="16" width="19.28515625" style="1" hidden="1" customWidth="1" outlineLevel="1"/>
    <col min="17" max="17" width="2.7109375" style="1" customWidth="1" collapsed="1"/>
    <col min="18" max="25" width="27.28515625" style="1" customWidth="1"/>
    <col min="26" max="26" width="27.28515625" style="37" customWidth="1"/>
    <col min="27" max="29" width="27.28515625" style="11" customWidth="1"/>
    <col min="30" max="82" width="27.28515625" style="1" customWidth="1"/>
    <col min="83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6" t="s">
        <v>76</v>
      </c>
      <c r="E2" s="87" t="s">
        <v>19</v>
      </c>
      <c r="F2" s="91"/>
      <c r="G2" s="91"/>
      <c r="H2" s="91"/>
      <c r="I2" s="91"/>
      <c r="J2" s="91"/>
      <c r="K2" s="91"/>
      <c r="L2" s="86" t="s">
        <v>40</v>
      </c>
      <c r="M2" s="91"/>
      <c r="N2" s="91"/>
      <c r="O2" s="91"/>
      <c r="P2" s="91"/>
      <c r="Q2" s="91"/>
      <c r="R2" s="41"/>
      <c r="S2" s="2"/>
      <c r="T2" s="2"/>
      <c r="U2" s="2"/>
      <c r="V2" s="2"/>
      <c r="W2" s="2"/>
      <c r="X2" s="2"/>
      <c r="Y2" s="2"/>
    </row>
    <row r="3" spans="1:25" x14ac:dyDescent="0.2">
      <c r="A3" s="91"/>
      <c r="B3" s="91"/>
      <c r="C3" s="3"/>
      <c r="D3" s="86" t="s">
        <v>77</v>
      </c>
      <c r="E3" s="87" t="str">
        <f>Currency&amp;CurveTenor</f>
        <v>AUD1M</v>
      </c>
      <c r="F3" s="91"/>
      <c r="G3" s="91"/>
      <c r="H3" s="91"/>
      <c r="I3" s="91"/>
      <c r="J3" s="91"/>
      <c r="K3" s="6"/>
      <c r="L3" s="87" t="str">
        <f>IborIndexFamily&amp;CurveTenor</f>
        <v>AudBBSW1M</v>
      </c>
      <c r="M3" s="6"/>
      <c r="N3" s="91"/>
      <c r="O3" s="91"/>
      <c r="P3" s="91"/>
      <c r="Q3" s="91"/>
      <c r="R3" s="41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91"/>
      <c r="E4" s="91"/>
      <c r="F4" s="91"/>
      <c r="G4" s="91"/>
      <c r="H4" s="91"/>
      <c r="I4" s="91"/>
      <c r="J4" s="91"/>
      <c r="K4" s="91"/>
      <c r="L4" s="91"/>
      <c r="M4" s="91"/>
      <c r="N4" s="91"/>
      <c r="O4" s="91"/>
      <c r="P4" s="91"/>
      <c r="Q4" s="91"/>
      <c r="R4" s="41"/>
      <c r="S4" s="2"/>
      <c r="T4" s="2"/>
      <c r="U4" s="2"/>
      <c r="V4" s="2"/>
      <c r="W4" s="2"/>
      <c r="X4" s="2"/>
      <c r="Y4" s="2"/>
    </row>
    <row r="5" spans="1:25" x14ac:dyDescent="0.2">
      <c r="A5" s="91"/>
      <c r="B5" s="26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41"/>
      <c r="L5" s="86" t="s">
        <v>100</v>
      </c>
      <c r="M5" s="85"/>
      <c r="N5" s="91"/>
      <c r="O5" s="91"/>
      <c r="P5" s="91"/>
      <c r="Q5" s="41"/>
      <c r="R5" s="41"/>
      <c r="S5" s="2"/>
      <c r="T5" s="2"/>
      <c r="U5" s="2"/>
      <c r="V5" s="2"/>
      <c r="W5" s="2"/>
      <c r="X5" s="2"/>
      <c r="Y5" s="2"/>
    </row>
    <row r="6" spans="1:25" x14ac:dyDescent="0.2">
      <c r="A6" s="91"/>
      <c r="B6" s="21">
        <f t="shared" ref="B6:B12" si="0">G6-EvaluationDate</f>
        <v>1</v>
      </c>
      <c r="C6" s="20" t="s">
        <v>15</v>
      </c>
      <c r="D6" s="29" t="s">
        <v>101</v>
      </c>
      <c r="E6" s="45">
        <f t="shared" ref="E6:E44" si="1">EvaluationDate</f>
        <v>42354</v>
      </c>
      <c r="F6" s="45">
        <f>E6</f>
        <v>42354</v>
      </c>
      <c r="G6" s="45">
        <f>_xll.qlCalendarAdvance(Calendar,F6,"1D","f",TRUE,Trigger)</f>
        <v>42355</v>
      </c>
      <c r="H6" s="52" t="e">
        <f>_xll.qlInterpolationInterpolate(Interpolation,B6,TRUE)</f>
        <v>#VALUE!</v>
      </c>
      <c r="I6" s="53" t="str">
        <f>Contribution!M6</f>
        <v>AUD1MOND=</v>
      </c>
      <c r="J6" s="54"/>
      <c r="K6" s="41"/>
      <c r="L6" s="87" t="e">
        <f>_xll.qlInterpolation(,InterpolationType,B8:B12,H8:H12,,Trigger)</f>
        <v>#NUM!</v>
      </c>
      <c r="M6" s="85"/>
      <c r="N6" s="91"/>
      <c r="O6" s="91"/>
      <c r="P6" s="91"/>
      <c r="Q6" s="41"/>
      <c r="R6" s="41"/>
      <c r="S6" s="2"/>
      <c r="T6" s="2"/>
      <c r="U6" s="2"/>
      <c r="V6" s="2"/>
      <c r="W6" s="2"/>
      <c r="X6" s="2"/>
      <c r="Y6" s="2"/>
    </row>
    <row r="7" spans="1:25" x14ac:dyDescent="0.2">
      <c r="A7" s="91"/>
      <c r="B7" s="21">
        <f t="shared" si="0"/>
        <v>2</v>
      </c>
      <c r="C7" s="21" t="s">
        <v>97</v>
      </c>
      <c r="D7" s="29" t="s">
        <v>101</v>
      </c>
      <c r="E7" s="48">
        <f t="shared" si="1"/>
        <v>42354</v>
      </c>
      <c r="F7" s="48">
        <f>G6</f>
        <v>42355</v>
      </c>
      <c r="G7" s="48">
        <f>_xll.qlCalendarAdvance(Calendar,F7,"1D","f",TRUE,Trigger)</f>
        <v>42356</v>
      </c>
      <c r="H7" s="152" t="e">
        <f>_xll.qlInterpolationInterpolate(Interpolation,B7,TRUE)</f>
        <v>#VALUE!</v>
      </c>
      <c r="I7" s="55" t="str">
        <f>Contribution!M7</f>
        <v>AUD1MTND=</v>
      </c>
      <c r="J7" s="153"/>
      <c r="K7" s="41"/>
      <c r="L7" s="86" t="s">
        <v>99</v>
      </c>
      <c r="M7" s="85"/>
      <c r="N7" s="86" t="s">
        <v>94</v>
      </c>
      <c r="O7" s="86" t="s">
        <v>87</v>
      </c>
      <c r="P7" s="86" t="s">
        <v>88</v>
      </c>
      <c r="Q7" s="41"/>
      <c r="R7" s="41"/>
      <c r="S7" s="2"/>
      <c r="T7" s="2"/>
      <c r="U7" s="2"/>
      <c r="V7" s="2"/>
      <c r="W7" s="2"/>
      <c r="X7" s="2"/>
      <c r="Y7" s="2"/>
    </row>
    <row r="8" spans="1:25" x14ac:dyDescent="0.2">
      <c r="A8" s="91"/>
      <c r="B8" s="20">
        <f t="shared" si="0"/>
        <v>5</v>
      </c>
      <c r="C8" s="20" t="s">
        <v>98</v>
      </c>
      <c r="D8" s="28" t="s">
        <v>65</v>
      </c>
      <c r="E8" s="45">
        <f t="shared" si="1"/>
        <v>42354</v>
      </c>
      <c r="F8" s="45">
        <f>_xll.qlInterestRateIndexValueDate(L8,E8,Trigger)</f>
        <v>42356</v>
      </c>
      <c r="G8" s="45">
        <f>_xll.qlInterestRateIndexMaturity(L8,F8,Trigger)</f>
        <v>42359</v>
      </c>
      <c r="H8" s="52" t="e">
        <f>_xll.qlIndexFixing(L8,E8,TRUE,AllTriggers)</f>
        <v>#NUM!</v>
      </c>
      <c r="I8" s="53" t="str">
        <f>Contribution!M8</f>
        <v>AUD1MSND=</v>
      </c>
      <c r="J8" s="54"/>
      <c r="K8" s="41"/>
      <c r="L8" s="30" t="str">
        <f>_xll.qlIborIndex(,"BBSW",IF(OR(C8="ON",C8="TN",C8="SN"),"1D",IF(C8="SW","1W",C8)),2,Currency,Calendar,BDayConvention,EndOfMonth,DayCounter,YieldCurve,,Trigger)</f>
        <v>obj_002ca#0000</v>
      </c>
      <c r="M8" s="85"/>
      <c r="N8" s="87" t="b">
        <v>1</v>
      </c>
      <c r="O8" s="87" t="s">
        <v>60</v>
      </c>
      <c r="P8" s="87" t="s">
        <v>43</v>
      </c>
      <c r="Q8" s="41"/>
      <c r="R8" s="41"/>
      <c r="S8" s="2"/>
      <c r="T8" s="2"/>
      <c r="U8" s="2"/>
      <c r="V8" s="2"/>
      <c r="W8" s="2"/>
      <c r="X8" s="2"/>
      <c r="Y8" s="2"/>
    </row>
    <row r="9" spans="1:25" x14ac:dyDescent="0.2">
      <c r="A9" s="91"/>
      <c r="B9" s="21">
        <f t="shared" si="0"/>
        <v>13</v>
      </c>
      <c r="C9" s="21" t="s">
        <v>16</v>
      </c>
      <c r="D9" s="29" t="s">
        <v>65</v>
      </c>
      <c r="E9" s="48">
        <f t="shared" si="1"/>
        <v>42354</v>
      </c>
      <c r="F9" s="48">
        <f>_xll.qlInterestRateIndexValueDate(L9,E9,Trigger)</f>
        <v>42356</v>
      </c>
      <c r="G9" s="48">
        <f>_xll.qlInterestRateIndexMaturity(L9,F9,Trigger)</f>
        <v>42367</v>
      </c>
      <c r="H9" s="47" t="e">
        <f>_xll.qlIndexFixing(L9,E9,TRUE,AllTriggers)</f>
        <v>#NUM!</v>
      </c>
      <c r="I9" s="38" t="str">
        <f>Contribution!M9</f>
        <v>AUD1MSWD=</v>
      </c>
      <c r="J9" s="38"/>
      <c r="K9" s="41"/>
      <c r="L9" s="30" t="str">
        <f>_xll.qlIborIndex(,"BBSW",IF(OR(C9="ON",C9="TN",C9="SN"),"1D",IF(C9="SW","1W",C9)),2,Currency,Calendar,BDayConvention,EndOfMonth,DayCounter,YieldCurve,,Trigger)</f>
        <v>obj_002c7#0000</v>
      </c>
      <c r="M9" s="85"/>
      <c r="N9" s="91"/>
      <c r="O9" s="91"/>
      <c r="P9" s="91"/>
      <c r="Q9" s="41"/>
      <c r="R9" s="41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21">
        <f t="shared" si="0"/>
        <v>19</v>
      </c>
      <c r="C10" s="21" t="s">
        <v>17</v>
      </c>
      <c r="D10" s="29" t="s">
        <v>65</v>
      </c>
      <c r="E10" s="48">
        <f t="shared" si="1"/>
        <v>42354</v>
      </c>
      <c r="F10" s="48">
        <f>_xll.qlInterestRateIndexValueDate(L10,E10,Trigger)</f>
        <v>42356</v>
      </c>
      <c r="G10" s="48">
        <f>_xll.qlInterestRateIndexMaturity(L10,F10,Trigger)</f>
        <v>42373</v>
      </c>
      <c r="H10" s="47" t="e">
        <f>_xll.qlIndexFixing(L10,E10,TRUE,AllTriggers)</f>
        <v>#NUM!</v>
      </c>
      <c r="I10" s="38" t="str">
        <f>Contribution!M10</f>
        <v>AUD1M2WD=</v>
      </c>
      <c r="J10" s="38"/>
      <c r="K10" s="41"/>
      <c r="L10" s="30" t="str">
        <f>_xll.qlIborIndex(,"BBSW",IF(OR(C10="ON",C10="TN",C10="SN"),"1D",IF(C10="SW","1W",C10)),2,Currency,Calendar,BDayConvention,EndOfMonth,DayCounter,YieldCurve,,Trigger)</f>
        <v>obj_002b7#0000</v>
      </c>
      <c r="M10" s="85"/>
      <c r="N10" s="91"/>
      <c r="O10" s="91"/>
      <c r="P10" s="91"/>
      <c r="Q10" s="41"/>
      <c r="R10" s="41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21">
        <f t="shared" si="0"/>
        <v>23</v>
      </c>
      <c r="C11" s="21" t="s">
        <v>18</v>
      </c>
      <c r="D11" s="29" t="s">
        <v>65</v>
      </c>
      <c r="E11" s="48">
        <f t="shared" si="1"/>
        <v>42354</v>
      </c>
      <c r="F11" s="48">
        <f>_xll.qlInterestRateIndexValueDate(L11,E11,Trigger)</f>
        <v>42356</v>
      </c>
      <c r="G11" s="48">
        <f>_xll.qlInterestRateIndexMaturity(L11,F11,Trigger)</f>
        <v>42377</v>
      </c>
      <c r="H11" s="47" t="e">
        <f>_xll.qlIndexFixing(L11,E11,TRUE,AllTriggers)</f>
        <v>#NUM!</v>
      </c>
      <c r="I11" s="38" t="str">
        <f>Contribution!M11</f>
        <v>AUD1M3WD=</v>
      </c>
      <c r="J11" s="38"/>
      <c r="K11" s="41"/>
      <c r="L11" s="30" t="str">
        <f>_xll.qlIborIndex(,"BBSW",IF(OR(C11="ON",C11="TN",C11="SN"),"1D",IF(C11="SW","1W",C11)),2,Currency,Calendar,BDayConvention,EndOfMonth,DayCounter,YieldCurve,,Trigger)</f>
        <v>obj_002c6#0000</v>
      </c>
      <c r="M11" s="85"/>
      <c r="N11" s="91"/>
      <c r="O11" s="91"/>
      <c r="P11" s="91"/>
      <c r="Q11" s="41"/>
      <c r="R11" s="41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21">
        <f t="shared" si="0"/>
        <v>33</v>
      </c>
      <c r="C12" s="21" t="s">
        <v>19</v>
      </c>
      <c r="D12" s="29" t="s">
        <v>65</v>
      </c>
      <c r="E12" s="48">
        <f t="shared" si="1"/>
        <v>42354</v>
      </c>
      <c r="F12" s="48">
        <f>_xll.qlInterestRateIndexValueDate(L12,E12,Trigger)</f>
        <v>42356</v>
      </c>
      <c r="G12" s="48">
        <f>_xll.qlInterestRateIndexMaturity(L12,F12,Trigger)</f>
        <v>42387</v>
      </c>
      <c r="H12" s="47" t="e">
        <f>_xll.qlIndexFixing(L12,E12,TRUE,AllTriggers)</f>
        <v>#NUM!</v>
      </c>
      <c r="I12" s="38" t="str">
        <f>Contribution!M12</f>
        <v>AUD1M1MD=</v>
      </c>
      <c r="J12" s="38"/>
      <c r="K12" s="41"/>
      <c r="L12" s="32" t="str">
        <f>_xll.qlIborIndex(,"BBSW",IF(OR(C12="ON",C12="TN",C12="SN"),"1D",IF(C12="SW","1W",C12)),2,Currency,Calendar,BDayConvention,EndOfMonth,DayCounter,YieldCurve,,Trigger)</f>
        <v>obj_002e4#0000</v>
      </c>
      <c r="M12" s="85"/>
      <c r="N12" s="91"/>
      <c r="O12" s="91"/>
      <c r="P12" s="91"/>
      <c r="Q12" s="41"/>
      <c r="R12" s="41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21"/>
      <c r="C13" s="21"/>
      <c r="D13" s="29"/>
      <c r="E13" s="48"/>
      <c r="F13" s="48"/>
      <c r="G13" s="48"/>
      <c r="H13" s="47"/>
      <c r="I13" s="38"/>
      <c r="J13" s="38"/>
      <c r="K13" s="41"/>
      <c r="L13" s="91"/>
      <c r="M13" s="85"/>
      <c r="N13" s="91"/>
      <c r="O13" s="91"/>
      <c r="P13" s="91"/>
      <c r="Q13" s="41"/>
      <c r="R13" s="41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21"/>
      <c r="C14" s="21"/>
      <c r="D14" s="29"/>
      <c r="E14" s="48"/>
      <c r="F14" s="48"/>
      <c r="G14" s="48"/>
      <c r="H14" s="47"/>
      <c r="I14" s="38"/>
      <c r="J14" s="38"/>
      <c r="K14" s="41"/>
      <c r="L14" s="91"/>
      <c r="M14" s="85"/>
      <c r="N14" s="91"/>
      <c r="O14" s="91"/>
      <c r="P14" s="91"/>
      <c r="Q14" s="41"/>
      <c r="R14" s="41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21"/>
      <c r="C15" s="21"/>
      <c r="D15" s="29"/>
      <c r="E15" s="48"/>
      <c r="F15" s="48"/>
      <c r="G15" s="48"/>
      <c r="H15" s="47"/>
      <c r="I15" s="38"/>
      <c r="J15" s="38"/>
      <c r="K15" s="41"/>
      <c r="L15" s="91"/>
      <c r="M15" s="41"/>
      <c r="N15" s="91"/>
      <c r="O15" s="85"/>
      <c r="P15" s="91"/>
      <c r="Q15" s="41"/>
      <c r="R15" s="41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21"/>
      <c r="C16" s="21"/>
      <c r="D16" s="29"/>
      <c r="E16" s="48"/>
      <c r="F16" s="48"/>
      <c r="G16" s="48"/>
      <c r="H16" s="47"/>
      <c r="I16" s="38"/>
      <c r="J16" s="38"/>
      <c r="K16" s="41"/>
      <c r="L16" s="91"/>
      <c r="M16" s="41"/>
      <c r="N16" s="91"/>
      <c r="O16" s="85"/>
      <c r="P16" s="91"/>
      <c r="Q16" s="41"/>
      <c r="R16" s="41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21"/>
      <c r="C17" s="21"/>
      <c r="D17" s="29"/>
      <c r="E17" s="48"/>
      <c r="F17" s="48"/>
      <c r="G17" s="48"/>
      <c r="H17" s="47"/>
      <c r="I17" s="38"/>
      <c r="J17" s="38"/>
      <c r="K17" s="41"/>
      <c r="L17" s="91"/>
      <c r="M17" s="41"/>
      <c r="N17" s="91"/>
      <c r="O17" s="85"/>
      <c r="P17" s="91"/>
      <c r="Q17" s="41"/>
      <c r="R17" s="41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22"/>
      <c r="C18" s="22"/>
      <c r="D18" s="31"/>
      <c r="E18" s="49"/>
      <c r="F18" s="49"/>
      <c r="G18" s="49"/>
      <c r="H18" s="50"/>
      <c r="I18" s="40"/>
      <c r="J18" s="40"/>
      <c r="K18" s="41"/>
      <c r="L18" s="91"/>
      <c r="M18" s="41"/>
      <c r="N18" s="91"/>
      <c r="O18" s="85"/>
      <c r="P18" s="91"/>
      <c r="Q18" s="41"/>
      <c r="R18" s="41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20"/>
      <c r="C19" s="20"/>
      <c r="D19" s="28"/>
      <c r="E19" s="45"/>
      <c r="F19" s="45"/>
      <c r="G19" s="45"/>
      <c r="H19" s="110"/>
      <c r="I19" s="39"/>
      <c r="J19" s="39"/>
      <c r="K19" s="41"/>
      <c r="L19" s="91"/>
      <c r="M19" s="41"/>
      <c r="N19" s="91"/>
      <c r="O19" s="85"/>
      <c r="P19" s="91"/>
      <c r="Q19" s="41"/>
      <c r="R19" s="41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21"/>
      <c r="C20" s="21"/>
      <c r="D20" s="29"/>
      <c r="E20" s="48"/>
      <c r="F20" s="48"/>
      <c r="G20" s="48"/>
      <c r="H20" s="111"/>
      <c r="I20" s="38"/>
      <c r="J20" s="38"/>
      <c r="K20" s="41"/>
      <c r="L20" s="91"/>
      <c r="M20" s="41"/>
      <c r="N20" s="91"/>
      <c r="O20" s="85"/>
      <c r="P20" s="91"/>
      <c r="Q20" s="41"/>
      <c r="R20" s="41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21"/>
      <c r="C21" s="21"/>
      <c r="D21" s="29"/>
      <c r="E21" s="48"/>
      <c r="F21" s="48"/>
      <c r="G21" s="48"/>
      <c r="H21" s="111"/>
      <c r="I21" s="38"/>
      <c r="J21" s="38"/>
      <c r="K21" s="41"/>
      <c r="L21" s="91"/>
      <c r="M21" s="41"/>
      <c r="N21" s="91"/>
      <c r="O21" s="85"/>
      <c r="P21" s="91"/>
      <c r="Q21" s="41"/>
      <c r="R21" s="41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21"/>
      <c r="C22" s="21"/>
      <c r="D22" s="29"/>
      <c r="E22" s="48"/>
      <c r="F22" s="48"/>
      <c r="G22" s="48"/>
      <c r="H22" s="111"/>
      <c r="I22" s="38"/>
      <c r="J22" s="38"/>
      <c r="K22" s="41"/>
      <c r="L22" s="91"/>
      <c r="M22" s="41"/>
      <c r="N22" s="91"/>
      <c r="O22" s="85"/>
      <c r="P22" s="91"/>
      <c r="Q22" s="41"/>
      <c r="R22" s="41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21"/>
      <c r="C23" s="21"/>
      <c r="D23" s="29"/>
      <c r="E23" s="48"/>
      <c r="F23" s="48"/>
      <c r="G23" s="48"/>
      <c r="H23" s="111"/>
      <c r="I23" s="38"/>
      <c r="J23" s="38"/>
      <c r="K23" s="41"/>
      <c r="L23" s="91"/>
      <c r="M23" s="41"/>
      <c r="N23" s="91"/>
      <c r="O23" s="85"/>
      <c r="P23" s="91"/>
      <c r="Q23" s="41"/>
      <c r="R23" s="41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21"/>
      <c r="C24" s="21"/>
      <c r="D24" s="29"/>
      <c r="E24" s="48"/>
      <c r="F24" s="48"/>
      <c r="G24" s="48"/>
      <c r="H24" s="111"/>
      <c r="I24" s="38"/>
      <c r="J24" s="38"/>
      <c r="K24" s="41"/>
      <c r="L24" s="91"/>
      <c r="M24" s="41"/>
      <c r="N24" s="91"/>
      <c r="O24" s="85"/>
      <c r="P24" s="91"/>
      <c r="Q24" s="41"/>
      <c r="R24" s="41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22"/>
      <c r="C25" s="22"/>
      <c r="D25" s="31"/>
      <c r="E25" s="49"/>
      <c r="F25" s="49"/>
      <c r="G25" s="49"/>
      <c r="H25" s="112"/>
      <c r="I25" s="40"/>
      <c r="J25" s="40"/>
      <c r="K25" s="41"/>
      <c r="L25" s="86" t="s">
        <v>46</v>
      </c>
      <c r="M25" s="85"/>
      <c r="N25" s="86" t="s">
        <v>41</v>
      </c>
      <c r="O25" s="86" t="s">
        <v>78</v>
      </c>
      <c r="P25" s="86" t="s">
        <v>42</v>
      </c>
      <c r="Q25" s="41"/>
      <c r="R25" s="41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20"/>
      <c r="C26" s="20" t="s">
        <v>21</v>
      </c>
      <c r="D26" s="28" t="s">
        <v>64</v>
      </c>
      <c r="E26" s="45">
        <f t="shared" si="1"/>
        <v>42354</v>
      </c>
      <c r="F26" s="45">
        <f>_xll.qlInterestRateIndexValueDate(L26,E26,Trigger)</f>
        <v>42355</v>
      </c>
      <c r="G26" s="45">
        <f>_xll.qlInterestRateIndexMaturity(L26,F26,Trigger)</f>
        <v>42446</v>
      </c>
      <c r="H26" s="46" t="e">
        <f>_xll.qlIndexFixing(L26,E26,TRUE,AllTriggers)</f>
        <v>#NUM!</v>
      </c>
      <c r="I26" s="39" t="str">
        <f>Contribution!M26</f>
        <v>AUD1M3M=</v>
      </c>
      <c r="J26" s="39"/>
      <c r="K26" s="41"/>
      <c r="L26" s="30" t="str">
        <f>_xll.qlSwapIndex(,"BBSW",C26,SettlementDays,Currency,Calendar,FixedLegTenor,FixedLegBDC,FixedLegDayCounter,IborIndex,DiscountingCurve,,Trigger)</f>
        <v>obj_002e1#0000</v>
      </c>
      <c r="M26" s="85"/>
      <c r="N26" s="87" t="s">
        <v>19</v>
      </c>
      <c r="O26" s="87" t="s">
        <v>60</v>
      </c>
      <c r="P26" s="87" t="s">
        <v>43</v>
      </c>
      <c r="Q26" s="41"/>
      <c r="R26" s="41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21"/>
      <c r="C27" s="21" t="s">
        <v>14</v>
      </c>
      <c r="D27" s="29" t="s">
        <v>64</v>
      </c>
      <c r="E27" s="48">
        <f t="shared" si="1"/>
        <v>42354</v>
      </c>
      <c r="F27" s="48">
        <f>_xll.qlInterestRateIndexValueDate(L27,E27,Trigger)</f>
        <v>42355</v>
      </c>
      <c r="G27" s="48">
        <f>_xll.qlInterestRateIndexMaturity(L27,F27,Trigger)</f>
        <v>42538</v>
      </c>
      <c r="H27" s="47" t="e">
        <f>_xll.qlIndexFixing(L27,E27,TRUE,AllTriggers)</f>
        <v>#NUM!</v>
      </c>
      <c r="I27" s="38" t="str">
        <f>Contribution!M27</f>
        <v>AUD1M6M=</v>
      </c>
      <c r="J27" s="38"/>
      <c r="K27" s="41"/>
      <c r="L27" s="30" t="str">
        <f>_xll.qlSwapIndex(,"BBSW",C27,SettlementDays,Currency,Calendar,FixedLegTenor,FixedLegBDC,FixedLegDayCounter,IborIndex,DiscountingCurve,,Trigger)</f>
        <v>obj_002ec#0000</v>
      </c>
      <c r="M27" s="85"/>
      <c r="N27" s="91"/>
      <c r="O27" s="85"/>
      <c r="P27" s="91"/>
      <c r="Q27" s="41"/>
      <c r="R27" s="41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21"/>
      <c r="C28" s="21" t="s">
        <v>24</v>
      </c>
      <c r="D28" s="29" t="s">
        <v>64</v>
      </c>
      <c r="E28" s="48">
        <f t="shared" si="1"/>
        <v>42354</v>
      </c>
      <c r="F28" s="48">
        <f>_xll.qlInterestRateIndexValueDate(L28,E28,Trigger)</f>
        <v>42355</v>
      </c>
      <c r="G28" s="48">
        <f>_xll.qlInterestRateIndexMaturity(L28,F28,Trigger)</f>
        <v>42632</v>
      </c>
      <c r="H28" s="47" t="e">
        <f>_xll.qlIndexFixing(L28,E28,TRUE,AllTriggers)</f>
        <v>#NUM!</v>
      </c>
      <c r="I28" s="38" t="str">
        <f>Contribution!M28</f>
        <v>AUD1M9M=</v>
      </c>
      <c r="J28" s="38"/>
      <c r="K28" s="41"/>
      <c r="L28" s="30" t="str">
        <f>_xll.qlSwapIndex(,"BBSW",C28,SettlementDays,Currency,Calendar,FixedLegTenor,FixedLegBDC,FixedLegDayCounter,IborIndex,DiscountingCurve,,Trigger)</f>
        <v>obj_002bd#0000</v>
      </c>
      <c r="M28" s="85"/>
      <c r="N28" s="91"/>
      <c r="O28" s="85"/>
      <c r="P28" s="91"/>
      <c r="Q28" s="41"/>
      <c r="R28" s="41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21"/>
      <c r="C29" s="21" t="s">
        <v>25</v>
      </c>
      <c r="D29" s="29" t="s">
        <v>64</v>
      </c>
      <c r="E29" s="48">
        <f t="shared" si="1"/>
        <v>42354</v>
      </c>
      <c r="F29" s="48">
        <f>_xll.qlInterestRateIndexValueDate(L29,E29,Trigger)</f>
        <v>42355</v>
      </c>
      <c r="G29" s="48">
        <f>_xll.qlInterestRateIndexMaturity(L29,F29,Trigger)</f>
        <v>42723</v>
      </c>
      <c r="H29" s="47" t="e">
        <f>_xll.qlIndexFixing(L29,E29,TRUE,AllTriggers)</f>
        <v>#NUM!</v>
      </c>
      <c r="I29" s="38" t="str">
        <f>Contribution!M29</f>
        <v>AUD1M1Y=</v>
      </c>
      <c r="J29" s="55"/>
      <c r="K29" s="41"/>
      <c r="L29" s="30" t="str">
        <f>_xll.qlSwapIndex(,"BBSW",C29,SettlementDays,Currency,Calendar,FixedLegTenor,FixedLegBDC,FixedLegDayCounter,IborIndex,DiscountingCurve,,Trigger)</f>
        <v>obj_002b9#0000</v>
      </c>
      <c r="M29" s="85"/>
      <c r="N29" s="91"/>
      <c r="O29" s="85"/>
      <c r="P29" s="91"/>
      <c r="Q29" s="41"/>
      <c r="R29" s="41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21"/>
      <c r="C30" s="21" t="s">
        <v>67</v>
      </c>
      <c r="D30" s="29" t="s">
        <v>64</v>
      </c>
      <c r="E30" s="48">
        <f t="shared" si="1"/>
        <v>42354</v>
      </c>
      <c r="F30" s="48">
        <f>_xll.qlInterestRateIndexValueDate(L30,E30,Trigger)</f>
        <v>42355</v>
      </c>
      <c r="G30" s="48">
        <f>_xll.qlInterestRateIndexMaturity(L30,F30,Trigger)</f>
        <v>42905</v>
      </c>
      <c r="H30" s="47" t="e">
        <f>_xll.qlIndexFixing(L30,E30,TRUE,AllTriggers)</f>
        <v>#NUM!</v>
      </c>
      <c r="I30" s="38"/>
      <c r="J30" s="55"/>
      <c r="K30" s="41"/>
      <c r="L30" s="89" t="str">
        <f>_xll.qlSwapIndex(,"BBSW",C30,SettlementDays,Currency,Calendar,FixedLegTenor,FixedLegBDC,FixedLegDayCounter,IborIndex,DiscountingCurve,,Trigger)</f>
        <v>obj_002db#0000</v>
      </c>
      <c r="M30" s="92"/>
      <c r="N30" s="91"/>
      <c r="O30" s="85"/>
      <c r="P30" s="91"/>
      <c r="Q30" s="41"/>
      <c r="R30" s="41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21"/>
      <c r="C31" s="21" t="s">
        <v>26</v>
      </c>
      <c r="D31" s="29" t="s">
        <v>64</v>
      </c>
      <c r="E31" s="48">
        <f t="shared" si="1"/>
        <v>42354</v>
      </c>
      <c r="F31" s="48">
        <f>_xll.qlInterestRateIndexValueDate(L31,E31,Trigger)</f>
        <v>42355</v>
      </c>
      <c r="G31" s="48">
        <f>_xll.qlInterestRateIndexMaturity(L31,F31,Trigger)</f>
        <v>43087</v>
      </c>
      <c r="H31" s="47" t="e">
        <f>_xll.qlIndexFixing(L31,E31,TRUE,AllTriggers)</f>
        <v>#NUM!</v>
      </c>
      <c r="I31" s="38" t="str">
        <f>Contribution!M31</f>
        <v>AUD1M2Y=</v>
      </c>
      <c r="J31" s="55"/>
      <c r="K31" s="41"/>
      <c r="L31" s="89" t="str">
        <f>_xll.qlSwapIndex(,"BBSW",C31,SettlementDays,Currency,Calendar,FixedLegTenor,FixedLegBDC,FixedLegDayCounter,IborIndex,DiscountingCurve,,Trigger)</f>
        <v>obj_002e6#0000</v>
      </c>
      <c r="M31" s="92"/>
      <c r="N31" s="91"/>
      <c r="O31" s="85"/>
      <c r="P31" s="91"/>
      <c r="Q31" s="41"/>
      <c r="R31" s="41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21"/>
      <c r="C32" s="21" t="s">
        <v>27</v>
      </c>
      <c r="D32" s="29" t="s">
        <v>64</v>
      </c>
      <c r="E32" s="48">
        <f t="shared" si="1"/>
        <v>42354</v>
      </c>
      <c r="F32" s="48">
        <f>_xll.qlInterestRateIndexValueDate(L32,E32,Trigger)</f>
        <v>42355</v>
      </c>
      <c r="G32" s="48">
        <f>_xll.qlInterestRateIndexMaturity(L32,F32,Trigger)</f>
        <v>43451</v>
      </c>
      <c r="H32" s="47" t="e">
        <f>_xll.qlIndexFixing(L32,E32,TRUE,AllTriggers)</f>
        <v>#NUM!</v>
      </c>
      <c r="I32" s="38" t="str">
        <f>Contribution!M32</f>
        <v>AUD1M3Y=</v>
      </c>
      <c r="J32" s="55"/>
      <c r="K32" s="41"/>
      <c r="L32" s="89" t="str">
        <f>_xll.qlSwapIndex(,"BBSW",C32,SettlementDays,Currency,Calendar,FixedLegTenor,FixedLegBDC,FixedLegDayCounter,IborIndex,DiscountingCurve,,Trigger)</f>
        <v>obj_002d8#0000</v>
      </c>
      <c r="M32" s="92"/>
      <c r="N32" s="91"/>
      <c r="O32" s="85"/>
      <c r="P32" s="91"/>
      <c r="Q32" s="41"/>
      <c r="R32" s="41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21"/>
      <c r="C33" s="21" t="s">
        <v>28</v>
      </c>
      <c r="D33" s="29" t="s">
        <v>64</v>
      </c>
      <c r="E33" s="48">
        <f t="shared" si="1"/>
        <v>42354</v>
      </c>
      <c r="F33" s="48">
        <f>_xll.qlInterestRateIndexValueDate(L33,E33,Trigger)</f>
        <v>42355</v>
      </c>
      <c r="G33" s="48">
        <f>_xll.qlInterestRateIndexMaturity(L33,F33,Trigger)</f>
        <v>43816</v>
      </c>
      <c r="H33" s="47" t="e">
        <f>_xll.qlIndexFixing(L33,E33,TRUE,AllTriggers)</f>
        <v>#NUM!</v>
      </c>
      <c r="I33" s="38" t="str">
        <f>Contribution!M33</f>
        <v>AUD1M4Y=</v>
      </c>
      <c r="J33" s="55"/>
      <c r="K33" s="41"/>
      <c r="L33" s="89" t="str">
        <f>_xll.qlSwapIndex(,"BBSW",C33,SettlementDays,Currency,Calendar,FixedLegTenor,FixedLegBDC,FixedLegDayCounter,IborIndex,DiscountingCurve,,Trigger)</f>
        <v>obj_002f7#0000</v>
      </c>
      <c r="M33" s="92"/>
      <c r="N33" s="91"/>
      <c r="O33" s="85"/>
      <c r="P33" s="91"/>
      <c r="Q33" s="41"/>
      <c r="R33" s="41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21"/>
      <c r="C34" s="21" t="s">
        <v>29</v>
      </c>
      <c r="D34" s="29" t="s">
        <v>64</v>
      </c>
      <c r="E34" s="48">
        <f t="shared" si="1"/>
        <v>42354</v>
      </c>
      <c r="F34" s="48">
        <f>_xll.qlInterestRateIndexValueDate(L34,E34,Trigger)</f>
        <v>42355</v>
      </c>
      <c r="G34" s="48">
        <f>_xll.qlInterestRateIndexMaturity(L34,F34,Trigger)</f>
        <v>44182</v>
      </c>
      <c r="H34" s="47" t="e">
        <f>_xll.qlIndexFixing(L34,E34,TRUE,AllTriggers)</f>
        <v>#NUM!</v>
      </c>
      <c r="I34" s="38" t="str">
        <f>Contribution!M34</f>
        <v>AUD1M5Y=</v>
      </c>
      <c r="J34" s="38"/>
      <c r="K34" s="41"/>
      <c r="L34" s="89" t="str">
        <f>_xll.qlSwapIndex(,"BBSW",C34,SettlementDays,Currency,Calendar,FixedLegTenor,FixedLegBDC,FixedLegDayCounter,IborIndex,DiscountingCurve,,Trigger)</f>
        <v>obj_002c1#0000</v>
      </c>
      <c r="M34" s="92"/>
      <c r="N34" s="91"/>
      <c r="O34" s="85"/>
      <c r="P34" s="91"/>
      <c r="Q34" s="41"/>
      <c r="R34" s="41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21"/>
      <c r="C35" s="21" t="s">
        <v>30</v>
      </c>
      <c r="D35" s="29" t="s">
        <v>64</v>
      </c>
      <c r="E35" s="48">
        <f t="shared" si="1"/>
        <v>42354</v>
      </c>
      <c r="F35" s="48">
        <f>_xll.qlInterestRateIndexValueDate(L35,E35,Trigger)</f>
        <v>42355</v>
      </c>
      <c r="G35" s="48">
        <f>_xll.qlInterestRateIndexMaturity(L35,F35,Trigger)</f>
        <v>44547</v>
      </c>
      <c r="H35" s="47" t="e">
        <f>_xll.qlIndexFixing(L35,E35,TRUE,AllTriggers)</f>
        <v>#NUM!</v>
      </c>
      <c r="I35" s="38"/>
      <c r="J35" s="38"/>
      <c r="K35" s="41"/>
      <c r="L35" s="89" t="str">
        <f>_xll.qlSwapIndex(,"BBSW",C35,SettlementDays,Currency,Calendar,FixedLegTenor,FixedLegBDC,FixedLegDayCounter,IborIndex,DiscountingCurve,,Trigger)</f>
        <v>obj_002f1#0000</v>
      </c>
      <c r="M35" s="92"/>
      <c r="N35" s="91"/>
      <c r="O35" s="85"/>
      <c r="P35" s="91"/>
      <c r="Q35" s="41"/>
      <c r="R35" s="41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21"/>
      <c r="C36" s="21" t="s">
        <v>31</v>
      </c>
      <c r="D36" s="29" t="s">
        <v>64</v>
      </c>
      <c r="E36" s="48">
        <f t="shared" si="1"/>
        <v>42354</v>
      </c>
      <c r="F36" s="48">
        <f>_xll.qlInterestRateIndexValueDate(L36,E36,Trigger)</f>
        <v>42355</v>
      </c>
      <c r="G36" s="48">
        <f>_xll.qlInterestRateIndexMaturity(L36,F36,Trigger)</f>
        <v>44914</v>
      </c>
      <c r="H36" s="47" t="e">
        <f>_xll.qlIndexFixing(L36,E36,TRUE,AllTriggers)</f>
        <v>#NUM!</v>
      </c>
      <c r="I36" s="38" t="str">
        <f>Contribution!M36</f>
        <v>AUD1M7Y=</v>
      </c>
      <c r="J36" s="38"/>
      <c r="K36" s="41"/>
      <c r="L36" s="89" t="str">
        <f>_xll.qlSwapIndex(,"BBSW",C36,SettlementDays,Currency,Calendar,FixedLegTenor,FixedLegBDC,FixedLegDayCounter,IborIndex,DiscountingCurve,,Trigger)</f>
        <v>obj_002e9#0000</v>
      </c>
      <c r="M36" s="92"/>
      <c r="N36" s="91"/>
      <c r="O36" s="85"/>
      <c r="P36" s="91"/>
      <c r="Q36" s="41"/>
      <c r="R36" s="41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21"/>
      <c r="C37" s="21" t="s">
        <v>32</v>
      </c>
      <c r="D37" s="29" t="s">
        <v>64</v>
      </c>
      <c r="E37" s="48">
        <f t="shared" si="1"/>
        <v>42354</v>
      </c>
      <c r="F37" s="48">
        <f>_xll.qlInterestRateIndexValueDate(L37,E37,Trigger)</f>
        <v>42355</v>
      </c>
      <c r="G37" s="48">
        <f>_xll.qlInterestRateIndexMaturity(L37,F37,Trigger)</f>
        <v>45278</v>
      </c>
      <c r="H37" s="47" t="e">
        <f>_xll.qlIndexFixing(L37,E37,TRUE,AllTriggers)</f>
        <v>#NUM!</v>
      </c>
      <c r="I37" s="38"/>
      <c r="J37" s="38"/>
      <c r="K37" s="41"/>
      <c r="L37" s="89" t="str">
        <f>_xll.qlSwapIndex(,"BBSW",C37,SettlementDays,Currency,Calendar,FixedLegTenor,FixedLegBDC,FixedLegDayCounter,IborIndex,DiscountingCurve,,Trigger)</f>
        <v>obj_002df#0000</v>
      </c>
      <c r="M37" s="92"/>
      <c r="N37" s="91"/>
      <c r="O37" s="85"/>
      <c r="P37" s="91"/>
      <c r="Q37" s="41"/>
      <c r="R37" s="41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21"/>
      <c r="C38" s="21" t="s">
        <v>33</v>
      </c>
      <c r="D38" s="29" t="s">
        <v>64</v>
      </c>
      <c r="E38" s="48">
        <f t="shared" si="1"/>
        <v>42354</v>
      </c>
      <c r="F38" s="48">
        <f>_xll.qlInterestRateIndexValueDate(L38,E38,Trigger)</f>
        <v>42355</v>
      </c>
      <c r="G38" s="48">
        <f>_xll.qlInterestRateIndexMaturity(L38,F38,Trigger)</f>
        <v>45643</v>
      </c>
      <c r="H38" s="47" t="e">
        <f>_xll.qlIndexFixing(L38,E38,TRUE,AllTriggers)</f>
        <v>#NUM!</v>
      </c>
      <c r="I38" s="38"/>
      <c r="J38" s="38"/>
      <c r="K38" s="41"/>
      <c r="L38" s="89" t="str">
        <f>_xll.qlSwapIndex(,"BBSW",C38,SettlementDays,Currency,Calendar,FixedLegTenor,FixedLegBDC,FixedLegDayCounter,IborIndex,DiscountingCurve,,Trigger)</f>
        <v>obj_002e8#0000</v>
      </c>
      <c r="M38" s="92"/>
      <c r="N38" s="91"/>
      <c r="O38" s="85"/>
      <c r="P38" s="91"/>
      <c r="Q38" s="41"/>
      <c r="R38" s="41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21"/>
      <c r="C39" s="21" t="s">
        <v>34</v>
      </c>
      <c r="D39" s="29" t="s">
        <v>64</v>
      </c>
      <c r="E39" s="48">
        <f t="shared" si="1"/>
        <v>42354</v>
      </c>
      <c r="F39" s="48">
        <f>_xll.qlInterestRateIndexValueDate(L39,E39,Trigger)</f>
        <v>42355</v>
      </c>
      <c r="G39" s="48">
        <f>_xll.qlInterestRateIndexMaturity(L39,F39,Trigger)</f>
        <v>46008</v>
      </c>
      <c r="H39" s="47" t="e">
        <f>_xll.qlIndexFixing(L39,E39,TRUE,AllTriggers)</f>
        <v>#NUM!</v>
      </c>
      <c r="I39" s="38" t="str">
        <f>Contribution!M39</f>
        <v>AUD1M10Y=</v>
      </c>
      <c r="J39" s="38"/>
      <c r="K39" s="41"/>
      <c r="L39" s="89" t="str">
        <f>_xll.qlSwapIndex(,"BBSW",C39,SettlementDays,Currency,Calendar,FixedLegTenor,FixedLegBDC,FixedLegDayCounter,IborIndex,DiscountingCurve,,Trigger)</f>
        <v>obj_002bc#0000</v>
      </c>
      <c r="M39" s="92"/>
      <c r="N39" s="91"/>
      <c r="O39" s="85"/>
      <c r="P39" s="91"/>
      <c r="Q39" s="41"/>
      <c r="R39" s="41"/>
      <c r="S39" s="2"/>
      <c r="T39" s="2"/>
      <c r="U39" s="2"/>
      <c r="V39" s="2"/>
      <c r="W39" s="2"/>
      <c r="X39" s="2"/>
      <c r="Y39" s="2"/>
    </row>
    <row r="40" spans="1:25" x14ac:dyDescent="0.2">
      <c r="A40" s="91"/>
      <c r="B40" s="21"/>
      <c r="C40" s="21" t="s">
        <v>35</v>
      </c>
      <c r="D40" s="29" t="s">
        <v>64</v>
      </c>
      <c r="E40" s="48">
        <f t="shared" si="1"/>
        <v>42354</v>
      </c>
      <c r="F40" s="48">
        <f>_xll.qlInterestRateIndexValueDate(L40,E40,Trigger)</f>
        <v>42355</v>
      </c>
      <c r="G40" s="48">
        <f>_xll.qlInterestRateIndexMaturity(L40,F40,Trigger)</f>
        <v>46738</v>
      </c>
      <c r="H40" s="47" t="e">
        <f>_xll.qlIndexFixing(L40,E40,TRUE,AllTriggers)</f>
        <v>#NUM!</v>
      </c>
      <c r="I40" s="38" t="str">
        <f>Contribution!M40</f>
        <v>AUD1M12Y=</v>
      </c>
      <c r="J40" s="38"/>
      <c r="K40" s="41"/>
      <c r="L40" s="89" t="str">
        <f>_xll.qlSwapIndex(,"BBSW",C40,SettlementDays,Currency,Calendar,FixedLegTenor,FixedLegBDC,FixedLegDayCounter,IborIndex,DiscountingCurve,,Trigger)</f>
        <v>obj_002d0#0000</v>
      </c>
      <c r="M40" s="92"/>
      <c r="N40" s="91"/>
      <c r="O40" s="85"/>
      <c r="P40" s="91"/>
      <c r="Q40" s="41"/>
      <c r="R40" s="41"/>
      <c r="S40" s="2"/>
      <c r="T40" s="2"/>
      <c r="U40" s="2"/>
      <c r="V40" s="2"/>
      <c r="W40" s="2"/>
      <c r="X40" s="2"/>
      <c r="Y40" s="2"/>
    </row>
    <row r="41" spans="1:25" x14ac:dyDescent="0.2">
      <c r="A41" s="91"/>
      <c r="B41" s="21"/>
      <c r="C41" s="21" t="s">
        <v>36</v>
      </c>
      <c r="D41" s="29" t="s">
        <v>64</v>
      </c>
      <c r="E41" s="48">
        <f t="shared" si="1"/>
        <v>42354</v>
      </c>
      <c r="F41" s="48">
        <f>_xll.qlInterestRateIndexValueDate(L41,E41,Trigger)</f>
        <v>42355</v>
      </c>
      <c r="G41" s="48">
        <f>_xll.qlInterestRateIndexMaturity(L41,F41,Trigger)</f>
        <v>47834</v>
      </c>
      <c r="H41" s="47" t="e">
        <f>_xll.qlIndexFixing(L41,E41,TRUE,AllTriggers)</f>
        <v>#NUM!</v>
      </c>
      <c r="I41" s="38" t="str">
        <f>Contribution!M41</f>
        <v>AUD1M15Y=</v>
      </c>
      <c r="J41" s="38"/>
      <c r="K41" s="41"/>
      <c r="L41" s="89" t="str">
        <f>_xll.qlSwapIndex(,"BBSW",C41,SettlementDays,Currency,Calendar,FixedLegTenor,FixedLegBDC,FixedLegDayCounter,IborIndex,DiscountingCurve,,Trigger)</f>
        <v>obj_002d1#0000</v>
      </c>
      <c r="M41" s="92"/>
      <c r="N41" s="91"/>
      <c r="O41" s="91"/>
      <c r="P41" s="85"/>
      <c r="Q41" s="41"/>
      <c r="R41" s="41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21"/>
      <c r="C42" s="21" t="s">
        <v>37</v>
      </c>
      <c r="D42" s="29" t="s">
        <v>64</v>
      </c>
      <c r="E42" s="48">
        <f t="shared" si="1"/>
        <v>42354</v>
      </c>
      <c r="F42" s="48">
        <f>_xll.qlInterestRateIndexValueDate(L42,E42,Trigger)</f>
        <v>42355</v>
      </c>
      <c r="G42" s="48">
        <f>_xll.qlInterestRateIndexMaturity(L42,F42,Trigger)</f>
        <v>49660</v>
      </c>
      <c r="H42" s="47" t="e">
        <f>_xll.qlIndexFixing(L42,E42,TRUE,AllTriggers)</f>
        <v>#NUM!</v>
      </c>
      <c r="I42" s="38" t="str">
        <f>Contribution!M42</f>
        <v>AUD1M20Y=</v>
      </c>
      <c r="J42" s="38"/>
      <c r="K42" s="41"/>
      <c r="L42" s="89" t="str">
        <f>_xll.qlSwapIndex(,"BBSW",C42,SettlementDays,Currency,Calendar,FixedLegTenor,FixedLegBDC,FixedLegDayCounter,IborIndex,DiscountingCurve,,Trigger)</f>
        <v>obj_002c9#0000</v>
      </c>
      <c r="M42" s="92"/>
      <c r="N42" s="91"/>
      <c r="O42" s="85"/>
      <c r="P42" s="91"/>
      <c r="Q42" s="41"/>
      <c r="R42" s="41"/>
      <c r="S42" s="2"/>
      <c r="T42" s="2"/>
      <c r="U42" s="2"/>
      <c r="V42" s="2"/>
      <c r="W42" s="2"/>
      <c r="X42" s="2"/>
      <c r="Y42" s="2"/>
    </row>
    <row r="43" spans="1:25" x14ac:dyDescent="0.2">
      <c r="A43" s="91"/>
      <c r="B43" s="21"/>
      <c r="C43" s="21" t="s">
        <v>38</v>
      </c>
      <c r="D43" s="29" t="s">
        <v>64</v>
      </c>
      <c r="E43" s="48">
        <f t="shared" si="1"/>
        <v>42354</v>
      </c>
      <c r="F43" s="48">
        <f>_xll.qlInterestRateIndexValueDate(L43,E43,Trigger)</f>
        <v>42355</v>
      </c>
      <c r="G43" s="48">
        <f>_xll.qlInterestRateIndexMaturity(L43,F43,Trigger)</f>
        <v>51487</v>
      </c>
      <c r="H43" s="47" t="e">
        <f>_xll.qlIndexFixing(L43,E43,TRUE,AllTriggers)</f>
        <v>#NUM!</v>
      </c>
      <c r="I43" s="38" t="str">
        <f>Contribution!M43</f>
        <v>AUD1M25Y=</v>
      </c>
      <c r="J43" s="38"/>
      <c r="K43" s="41"/>
      <c r="L43" s="89" t="str">
        <f>_xll.qlSwapIndex(,"BBSW",C43,SettlementDays,Currency,Calendar,FixedLegTenor,FixedLegBDC,FixedLegDayCounter,IborIndex,DiscountingCurve,,Trigger)</f>
        <v>obj_002d3#0000</v>
      </c>
      <c r="M43" s="92"/>
      <c r="N43" s="91"/>
      <c r="O43" s="85"/>
      <c r="P43" s="91"/>
      <c r="Q43" s="91"/>
      <c r="R43" s="91"/>
      <c r="S43" s="91"/>
      <c r="T43" s="2"/>
      <c r="U43" s="2"/>
      <c r="V43" s="2"/>
      <c r="W43" s="2"/>
      <c r="X43" s="2"/>
      <c r="Y43" s="2"/>
    </row>
    <row r="44" spans="1:25" x14ac:dyDescent="0.2">
      <c r="A44" s="91"/>
      <c r="B44" s="22"/>
      <c r="C44" s="22" t="s">
        <v>39</v>
      </c>
      <c r="D44" s="31" t="s">
        <v>64</v>
      </c>
      <c r="E44" s="49">
        <f t="shared" si="1"/>
        <v>42354</v>
      </c>
      <c r="F44" s="49">
        <f>_xll.qlInterestRateIndexValueDate(L44,E44,Trigger)</f>
        <v>42355</v>
      </c>
      <c r="G44" s="49">
        <f>_xll.qlInterestRateIndexMaturity(L44,F44,Trigger)</f>
        <v>53314</v>
      </c>
      <c r="H44" s="50" t="e">
        <f>_xll.qlIndexFixing(L44,E44,TRUE,AllTriggers)</f>
        <v>#NUM!</v>
      </c>
      <c r="I44" s="40" t="str">
        <f>Contribution!M44</f>
        <v>AUD1M30Y=</v>
      </c>
      <c r="J44" s="40"/>
      <c r="K44" s="41"/>
      <c r="L44" s="56" t="str">
        <f>_xll.qlSwapIndex(,"BBSW",C44,SettlementDays,Currency,Calendar,FixedLegTenor,FixedLegBDC,FixedLegDayCounter,IborIndex,DiscountingCurve,,Trigger)</f>
        <v>obj_002cb#0000</v>
      </c>
      <c r="M44" s="92"/>
      <c r="N44" s="91"/>
      <c r="O44" s="85"/>
      <c r="P44" s="91"/>
      <c r="Q44" s="41"/>
      <c r="R44" s="41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6"/>
      <c r="E45" s="6"/>
      <c r="F45" s="6"/>
      <c r="G45" s="6"/>
      <c r="H45" s="6"/>
      <c r="I45" s="6"/>
      <c r="J45" s="6"/>
      <c r="K45" s="41"/>
      <c r="L45" s="91"/>
      <c r="M45" s="91"/>
      <c r="N45" s="91"/>
      <c r="O45" s="41"/>
      <c r="P45" s="41"/>
      <c r="Q45" s="41"/>
      <c r="R45" s="41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6"/>
      <c r="E46" s="6"/>
      <c r="F46" s="6"/>
      <c r="G46" s="6"/>
      <c r="H46" s="6"/>
      <c r="I46" s="6"/>
      <c r="J46" s="6"/>
      <c r="K46" s="41"/>
      <c r="L46" s="91"/>
      <c r="M46" s="91"/>
      <c r="N46" s="91"/>
      <c r="O46" s="41"/>
      <c r="P46" s="41"/>
      <c r="Q46" s="41"/>
      <c r="R46" s="41"/>
      <c r="S46" s="2"/>
      <c r="T46" s="2"/>
      <c r="U46" s="2"/>
      <c r="V46" s="2"/>
      <c r="W46" s="2"/>
      <c r="X46" s="2"/>
      <c r="Y46" s="2"/>
    </row>
    <row r="47" spans="1:25" x14ac:dyDescent="0.2">
      <c r="A47" s="91"/>
      <c r="B47" s="91"/>
      <c r="C47" s="3"/>
      <c r="D47" s="6"/>
      <c r="E47" s="6"/>
      <c r="F47" s="6"/>
      <c r="G47" s="6"/>
      <c r="H47" s="6"/>
      <c r="I47" s="6"/>
      <c r="J47" s="6"/>
      <c r="K47" s="91"/>
      <c r="L47" s="91"/>
      <c r="M47" s="91"/>
      <c r="N47" s="91"/>
      <c r="O47" s="41"/>
      <c r="P47" s="41"/>
      <c r="Q47" s="91"/>
      <c r="R47" s="41"/>
      <c r="S47" s="2"/>
      <c r="T47" s="2"/>
      <c r="U47" s="2"/>
      <c r="V47" s="2"/>
      <c r="W47" s="2"/>
      <c r="X47" s="2"/>
      <c r="Y47" s="2"/>
    </row>
    <row r="48" spans="1:25" x14ac:dyDescent="0.2">
      <c r="A48" s="6"/>
      <c r="B48" s="6"/>
      <c r="C48" s="3"/>
      <c r="D48" s="6"/>
      <c r="E48" s="6"/>
      <c r="F48" s="6"/>
      <c r="G48" s="6"/>
      <c r="H48" s="6"/>
      <c r="I48" s="6"/>
      <c r="J48" s="6"/>
      <c r="K48" s="91"/>
      <c r="L48" s="91"/>
      <c r="M48" s="91"/>
      <c r="N48" s="91"/>
      <c r="O48" s="41"/>
      <c r="P48" s="41"/>
      <c r="Q48" s="41"/>
      <c r="R48" s="41"/>
      <c r="S48" s="2"/>
      <c r="T48" s="2"/>
      <c r="U48" s="2"/>
      <c r="V48" s="2"/>
      <c r="W48" s="2"/>
      <c r="X48" s="2"/>
      <c r="Y48" s="2"/>
    </row>
    <row r="49" spans="1:25" x14ac:dyDescent="0.2">
      <c r="A49" s="6"/>
      <c r="B49" s="6"/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6"/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35" x14ac:dyDescent="0.2">
      <c r="A97" s="6"/>
      <c r="B97" s="6"/>
      <c r="C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35" x14ac:dyDescent="0.2">
      <c r="A98" s="6"/>
      <c r="B98" s="6"/>
      <c r="C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35" x14ac:dyDescent="0.2">
      <c r="A99" s="6"/>
      <c r="B99" s="6"/>
      <c r="C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35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35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35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35" x14ac:dyDescent="0.2">
      <c r="A103" s="6"/>
      <c r="B103" s="6"/>
      <c r="C103" s="3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35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D104" s="11"/>
      <c r="AE104" s="11"/>
      <c r="AF104" s="11"/>
      <c r="AG104" s="11"/>
      <c r="AH104" s="11"/>
      <c r="AI104" s="11"/>
    </row>
    <row r="105" spans="1:35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D105" s="11"/>
      <c r="AE105" s="11"/>
      <c r="AF105" s="11"/>
      <c r="AG105" s="11"/>
      <c r="AH105" s="11"/>
      <c r="AI105" s="11"/>
    </row>
    <row r="106" spans="1:35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D106" s="11"/>
      <c r="AE106" s="11"/>
      <c r="AF106" s="11"/>
      <c r="AG106" s="11"/>
      <c r="AH106" s="11"/>
      <c r="AI106" s="11"/>
    </row>
    <row r="107" spans="1:35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D107" s="11"/>
      <c r="AE107" s="11"/>
      <c r="AF107" s="11"/>
      <c r="AG107" s="11"/>
      <c r="AH107" s="11"/>
      <c r="AI107" s="11"/>
    </row>
    <row r="108" spans="1:35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D108" s="11"/>
      <c r="AE108" s="11"/>
      <c r="AF108" s="11"/>
      <c r="AG108" s="11"/>
      <c r="AH108" s="11"/>
      <c r="AI108" s="11"/>
    </row>
    <row r="109" spans="1:35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D109" s="11"/>
      <c r="AE109" s="11"/>
      <c r="AF109" s="11"/>
      <c r="AG109" s="11"/>
      <c r="AH109" s="11"/>
      <c r="AI109" s="11"/>
    </row>
    <row r="110" spans="1:35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D110" s="11"/>
      <c r="AE110" s="11"/>
      <c r="AF110" s="11"/>
      <c r="AG110" s="11"/>
      <c r="AH110" s="11"/>
      <c r="AI110" s="11"/>
    </row>
    <row r="111" spans="1:35" x14ac:dyDescent="0.2">
      <c r="A111" s="149"/>
      <c r="B111" s="149"/>
      <c r="C111" s="151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D111" s="11"/>
      <c r="AE111" s="11"/>
      <c r="AF111" s="11"/>
      <c r="AG111" s="11"/>
      <c r="AH111" s="11"/>
      <c r="AI111" s="11"/>
    </row>
    <row r="112" spans="1:35" x14ac:dyDescent="0.2">
      <c r="A112" s="149"/>
      <c r="B112" s="149"/>
      <c r="C112" s="151"/>
      <c r="D112" s="149"/>
      <c r="E112" s="149"/>
      <c r="F112" s="149"/>
      <c r="G112" s="149"/>
      <c r="H112" s="149"/>
      <c r="I112" s="149"/>
      <c r="J112" s="149"/>
      <c r="K112" s="149"/>
      <c r="L112" s="149"/>
      <c r="M112" s="149"/>
      <c r="N112" s="149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D112" s="11"/>
      <c r="AE112" s="11"/>
      <c r="AF112" s="11"/>
      <c r="AG112" s="11"/>
      <c r="AH112" s="11"/>
      <c r="AI112" s="11"/>
    </row>
    <row r="113" spans="1:35" x14ac:dyDescent="0.2">
      <c r="A113" s="149"/>
      <c r="B113" s="149"/>
      <c r="C113" s="151"/>
      <c r="D113" s="149"/>
      <c r="E113" s="149"/>
      <c r="F113" s="149"/>
      <c r="G113" s="149"/>
      <c r="H113" s="149"/>
      <c r="I113" s="149"/>
      <c r="J113" s="149"/>
      <c r="K113" s="149"/>
      <c r="L113" s="149"/>
      <c r="M113" s="149"/>
      <c r="N113" s="149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D113" s="11"/>
      <c r="AE113" s="11"/>
      <c r="AF113" s="11"/>
      <c r="AG113" s="11"/>
      <c r="AH113" s="11"/>
      <c r="AI113" s="11"/>
    </row>
    <row r="114" spans="1:35" x14ac:dyDescent="0.2">
      <c r="A114" s="149"/>
      <c r="B114" s="149"/>
      <c r="C114" s="151"/>
      <c r="D114" s="149"/>
      <c r="E114" s="149"/>
      <c r="F114" s="149"/>
      <c r="G114" s="149"/>
      <c r="H114" s="149"/>
      <c r="I114" s="149"/>
      <c r="J114" s="149"/>
      <c r="K114" s="149"/>
      <c r="L114" s="149"/>
      <c r="M114" s="149"/>
      <c r="N114" s="149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D114" s="11"/>
      <c r="AE114" s="11"/>
      <c r="AF114" s="11"/>
      <c r="AG114" s="11"/>
      <c r="AH114" s="11"/>
      <c r="AI114" s="11"/>
    </row>
    <row r="115" spans="1:35" x14ac:dyDescent="0.2">
      <c r="A115" s="149"/>
      <c r="B115" s="149"/>
      <c r="C115" s="151"/>
      <c r="D115" s="149"/>
      <c r="E115" s="149"/>
      <c r="F115" s="149"/>
      <c r="G115" s="149"/>
      <c r="H115" s="149"/>
      <c r="I115" s="149"/>
      <c r="J115" s="149"/>
      <c r="K115" s="149"/>
      <c r="L115" s="149"/>
      <c r="M115" s="149"/>
      <c r="N115" s="149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D115" s="11"/>
      <c r="AE115" s="11"/>
      <c r="AF115" s="11"/>
      <c r="AG115" s="11"/>
      <c r="AH115" s="11"/>
      <c r="AI115" s="11"/>
    </row>
    <row r="116" spans="1:35" x14ac:dyDescent="0.2">
      <c r="A116" s="149"/>
      <c r="B116" s="149"/>
      <c r="C116" s="151"/>
      <c r="D116" s="149"/>
      <c r="E116" s="149"/>
      <c r="F116" s="149"/>
      <c r="G116" s="149"/>
      <c r="H116" s="149"/>
      <c r="I116" s="149"/>
      <c r="J116" s="149"/>
      <c r="K116" s="149"/>
      <c r="L116" s="149"/>
      <c r="M116" s="149"/>
      <c r="N116" s="149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D116" s="11"/>
      <c r="AE116" s="11"/>
      <c r="AF116" s="11"/>
      <c r="AG116" s="11"/>
      <c r="AH116" s="11"/>
      <c r="AI116" s="11"/>
    </row>
    <row r="117" spans="1:35" x14ac:dyDescent="0.2">
      <c r="A117" s="149"/>
      <c r="B117" s="149"/>
      <c r="C117" s="151"/>
      <c r="D117" s="149"/>
      <c r="E117" s="149"/>
      <c r="F117" s="149"/>
      <c r="G117" s="149"/>
      <c r="H117" s="149"/>
      <c r="I117" s="149"/>
      <c r="J117" s="149"/>
      <c r="K117" s="149"/>
      <c r="L117" s="149"/>
      <c r="M117" s="149"/>
      <c r="N117" s="149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D117" s="11"/>
      <c r="AE117" s="11"/>
      <c r="AF117" s="11"/>
      <c r="AG117" s="11"/>
      <c r="AH117" s="11"/>
      <c r="AI117" s="11"/>
    </row>
    <row r="118" spans="1:35" x14ac:dyDescent="0.2">
      <c r="A118" s="149"/>
      <c r="B118" s="149"/>
      <c r="C118" s="151"/>
      <c r="D118" s="149"/>
      <c r="E118" s="149"/>
      <c r="F118" s="149"/>
      <c r="G118" s="149"/>
      <c r="H118" s="149"/>
      <c r="I118" s="149"/>
      <c r="J118" s="149"/>
      <c r="K118" s="149"/>
      <c r="L118" s="149"/>
      <c r="M118" s="149"/>
      <c r="N118" s="149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D118" s="11"/>
      <c r="AE118" s="11"/>
      <c r="AF118" s="11"/>
      <c r="AG118" s="11"/>
      <c r="AH118" s="11"/>
      <c r="AI118" s="11"/>
    </row>
    <row r="119" spans="1:35" x14ac:dyDescent="0.2">
      <c r="A119" s="149"/>
      <c r="B119" s="149"/>
      <c r="C119" s="151"/>
      <c r="D119" s="149"/>
      <c r="E119" s="149"/>
      <c r="F119" s="149"/>
      <c r="G119" s="149"/>
      <c r="H119" s="149"/>
      <c r="I119" s="149"/>
      <c r="J119" s="149"/>
      <c r="K119" s="149"/>
      <c r="L119" s="149"/>
      <c r="M119" s="149"/>
      <c r="N119" s="149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D119" s="11"/>
      <c r="AE119" s="11"/>
      <c r="AF119" s="11"/>
      <c r="AG119" s="11"/>
      <c r="AH119" s="11"/>
      <c r="AI119" s="11"/>
    </row>
    <row r="120" spans="1:35" x14ac:dyDescent="0.2">
      <c r="A120" s="149"/>
      <c r="B120" s="149"/>
      <c r="C120" s="151"/>
      <c r="D120" s="149"/>
      <c r="E120" s="149"/>
      <c r="F120" s="149"/>
      <c r="G120" s="149"/>
      <c r="H120" s="149"/>
      <c r="I120" s="149"/>
      <c r="J120" s="149"/>
      <c r="K120" s="149"/>
      <c r="L120" s="149"/>
      <c r="M120" s="149"/>
      <c r="N120" s="149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D120" s="11"/>
      <c r="AE120" s="11"/>
      <c r="AF120" s="11"/>
      <c r="AG120" s="11"/>
      <c r="AH120" s="11"/>
      <c r="AI120" s="11"/>
    </row>
    <row r="121" spans="1:35" x14ac:dyDescent="0.2">
      <c r="A121" s="149"/>
      <c r="B121" s="149"/>
      <c r="C121" s="151"/>
      <c r="D121" s="149"/>
      <c r="E121" s="149"/>
      <c r="F121" s="149"/>
      <c r="G121" s="149"/>
      <c r="H121" s="149"/>
      <c r="I121" s="149"/>
      <c r="J121" s="149"/>
      <c r="K121" s="149"/>
      <c r="L121" s="149"/>
      <c r="M121" s="149"/>
      <c r="N121" s="149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D121" s="11"/>
      <c r="AE121" s="11"/>
      <c r="AF121" s="11"/>
      <c r="AG121" s="11"/>
      <c r="AH121" s="11"/>
      <c r="AI121" s="11"/>
    </row>
    <row r="122" spans="1:35" x14ac:dyDescent="0.2">
      <c r="A122" s="149"/>
      <c r="B122" s="149"/>
      <c r="C122" s="151"/>
      <c r="D122" s="149"/>
      <c r="E122" s="149"/>
      <c r="F122" s="149"/>
      <c r="G122" s="149"/>
      <c r="H122" s="149"/>
      <c r="I122" s="149"/>
      <c r="J122" s="149"/>
      <c r="K122" s="149"/>
      <c r="L122" s="149"/>
      <c r="M122" s="149"/>
      <c r="N122" s="149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D122" s="11"/>
      <c r="AE122" s="11"/>
      <c r="AF122" s="11"/>
      <c r="AG122" s="11"/>
      <c r="AH122" s="11"/>
      <c r="AI122" s="11"/>
    </row>
    <row r="123" spans="1:35" x14ac:dyDescent="0.2">
      <c r="A123" s="149"/>
      <c r="B123" s="149"/>
      <c r="C123" s="151"/>
      <c r="D123" s="149"/>
      <c r="E123" s="149"/>
      <c r="F123" s="149"/>
      <c r="G123" s="149"/>
      <c r="H123" s="149"/>
      <c r="I123" s="149"/>
      <c r="J123" s="149"/>
      <c r="K123" s="149"/>
      <c r="L123" s="149"/>
      <c r="M123" s="149"/>
      <c r="N123" s="149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D123" s="11"/>
      <c r="AE123" s="11"/>
      <c r="AF123" s="11"/>
      <c r="AG123" s="11"/>
      <c r="AH123" s="11"/>
      <c r="AI123" s="11"/>
    </row>
    <row r="124" spans="1:35" x14ac:dyDescent="0.2">
      <c r="A124" s="149"/>
      <c r="B124" s="149"/>
      <c r="C124" s="151"/>
      <c r="D124" s="149"/>
      <c r="E124" s="149"/>
      <c r="F124" s="149"/>
      <c r="G124" s="149"/>
      <c r="H124" s="149"/>
      <c r="I124" s="149"/>
      <c r="J124" s="149"/>
      <c r="K124" s="149"/>
      <c r="L124" s="149"/>
      <c r="M124" s="149"/>
      <c r="N124" s="149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D124" s="11"/>
      <c r="AE124" s="11"/>
      <c r="AF124" s="11"/>
      <c r="AG124" s="11"/>
      <c r="AH124" s="11"/>
      <c r="AI124" s="11"/>
    </row>
    <row r="125" spans="1:35" x14ac:dyDescent="0.2">
      <c r="A125" s="149"/>
      <c r="B125" s="149"/>
      <c r="C125" s="151"/>
      <c r="D125" s="149"/>
      <c r="E125" s="149"/>
      <c r="F125" s="149"/>
      <c r="G125" s="149"/>
      <c r="H125" s="149"/>
      <c r="I125" s="149"/>
      <c r="J125" s="149"/>
      <c r="K125" s="149"/>
      <c r="L125" s="149"/>
      <c r="M125" s="149"/>
      <c r="N125" s="149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D125" s="11"/>
      <c r="AE125" s="11"/>
      <c r="AF125" s="11"/>
      <c r="AG125" s="11"/>
      <c r="AH125" s="11"/>
      <c r="AI125" s="11"/>
    </row>
    <row r="126" spans="1:35" x14ac:dyDescent="0.2">
      <c r="A126" s="149"/>
      <c r="B126" s="149"/>
      <c r="C126" s="151"/>
      <c r="D126" s="149"/>
      <c r="E126" s="149"/>
      <c r="F126" s="149"/>
      <c r="G126" s="149"/>
      <c r="H126" s="149"/>
      <c r="I126" s="149"/>
      <c r="J126" s="149"/>
      <c r="K126" s="149"/>
      <c r="L126" s="149"/>
      <c r="M126" s="149"/>
      <c r="N126" s="149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D126" s="11"/>
      <c r="AE126" s="11"/>
      <c r="AF126" s="11"/>
      <c r="AG126" s="11"/>
      <c r="AH126" s="11"/>
      <c r="AI126" s="11"/>
    </row>
    <row r="127" spans="1:35" x14ac:dyDescent="0.2">
      <c r="A127" s="149"/>
      <c r="B127" s="149"/>
      <c r="C127" s="151"/>
      <c r="D127" s="149"/>
      <c r="E127" s="149"/>
      <c r="F127" s="149"/>
      <c r="G127" s="149"/>
      <c r="H127" s="149"/>
      <c r="I127" s="149"/>
      <c r="J127" s="149"/>
      <c r="K127" s="149"/>
      <c r="L127" s="149"/>
      <c r="M127" s="149"/>
      <c r="N127" s="149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D127" s="11"/>
      <c r="AE127" s="11"/>
      <c r="AF127" s="11"/>
      <c r="AG127" s="11"/>
      <c r="AH127" s="11"/>
      <c r="AI127" s="11"/>
    </row>
    <row r="128" spans="1:35" x14ac:dyDescent="0.2">
      <c r="A128" s="149"/>
      <c r="B128" s="149"/>
      <c r="C128" s="151"/>
      <c r="D128" s="149"/>
      <c r="E128" s="149"/>
      <c r="F128" s="149"/>
      <c r="G128" s="149"/>
      <c r="H128" s="149"/>
      <c r="I128" s="149"/>
      <c r="J128" s="149"/>
      <c r="K128" s="149"/>
      <c r="L128" s="149"/>
      <c r="M128" s="149"/>
      <c r="N128" s="149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D128" s="11"/>
      <c r="AE128" s="11"/>
      <c r="AF128" s="11"/>
      <c r="AG128" s="11"/>
      <c r="AH128" s="11"/>
      <c r="AI128" s="11"/>
    </row>
    <row r="129" spans="1:35" x14ac:dyDescent="0.2">
      <c r="A129" s="149"/>
      <c r="B129" s="149"/>
      <c r="C129" s="151"/>
      <c r="D129" s="149"/>
      <c r="E129" s="149"/>
      <c r="F129" s="149"/>
      <c r="G129" s="149"/>
      <c r="H129" s="149"/>
      <c r="I129" s="149"/>
      <c r="J129" s="149"/>
      <c r="K129" s="149"/>
      <c r="L129" s="149"/>
      <c r="M129" s="149"/>
      <c r="N129" s="149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D129" s="11"/>
      <c r="AE129" s="11"/>
      <c r="AF129" s="11"/>
      <c r="AG129" s="11"/>
      <c r="AH129" s="11"/>
      <c r="AI129" s="11"/>
    </row>
    <row r="130" spans="1:35" x14ac:dyDescent="0.2">
      <c r="A130" s="149"/>
      <c r="B130" s="149"/>
      <c r="C130" s="151"/>
      <c r="D130" s="149"/>
      <c r="E130" s="149"/>
      <c r="F130" s="149"/>
      <c r="G130" s="149"/>
      <c r="H130" s="149"/>
      <c r="I130" s="149"/>
      <c r="J130" s="149"/>
      <c r="K130" s="149"/>
      <c r="L130" s="149"/>
      <c r="M130" s="149"/>
      <c r="N130" s="149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D130" s="11"/>
      <c r="AE130" s="11"/>
      <c r="AF130" s="11"/>
      <c r="AG130" s="11"/>
      <c r="AH130" s="11"/>
      <c r="AI130" s="11"/>
    </row>
  </sheetData>
  <dataValidations count="2">
    <dataValidation type="list" allowBlank="1" showInputMessage="1" showErrorMessage="1" sqref="P26 P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26 O8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0"/>
  <sheetViews>
    <sheetView showGridLines="0" workbookViewId="0"/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7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7" hidden="1" customWidth="1" outlineLevel="1"/>
    <col min="14" max="14" width="14.140625" style="7" hidden="1" customWidth="1" outlineLevel="1"/>
    <col min="15" max="16" width="19.28515625" style="7" hidden="1" customWidth="1" outlineLevel="1"/>
    <col min="17" max="17" width="2.7109375" style="1" customWidth="1" collapsed="1"/>
    <col min="18" max="25" width="14.85546875" style="1" customWidth="1"/>
    <col min="26" max="28" width="14.85546875" style="37" customWidth="1"/>
    <col min="29" max="149" width="14.85546875" style="1" customWidth="1"/>
    <col min="150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6" t="s">
        <v>76</v>
      </c>
      <c r="E2" s="87" t="s">
        <v>21</v>
      </c>
      <c r="F2" s="91"/>
      <c r="G2" s="91"/>
      <c r="H2" s="91"/>
      <c r="I2" s="91"/>
      <c r="J2" s="91"/>
      <c r="K2" s="57"/>
      <c r="L2" s="86" t="s">
        <v>40</v>
      </c>
      <c r="M2" s="57"/>
      <c r="N2" s="57"/>
      <c r="O2" s="57"/>
      <c r="P2" s="57"/>
      <c r="Q2" s="41"/>
      <c r="R2" s="41"/>
      <c r="S2" s="41"/>
      <c r="T2" s="41"/>
      <c r="U2" s="41"/>
      <c r="V2" s="41"/>
      <c r="W2" s="41"/>
      <c r="X2" s="41"/>
      <c r="Y2" s="41"/>
    </row>
    <row r="3" spans="1:25" x14ac:dyDescent="0.2">
      <c r="A3" s="91"/>
      <c r="B3" s="91"/>
      <c r="C3" s="3"/>
      <c r="D3" s="86" t="s">
        <v>77</v>
      </c>
      <c r="E3" s="87" t="str">
        <f>Currency&amp;CurveTenor</f>
        <v>AUD3M</v>
      </c>
      <c r="F3" s="91"/>
      <c r="G3" s="91"/>
      <c r="H3" s="91"/>
      <c r="I3" s="91"/>
      <c r="J3" s="91"/>
      <c r="K3" s="57"/>
      <c r="L3" s="87" t="str">
        <f>IborIndexFamily&amp;CurveTenor</f>
        <v>AudBBSW3M</v>
      </c>
      <c r="M3" s="57"/>
      <c r="N3" s="6"/>
      <c r="O3" s="57"/>
      <c r="P3" s="57"/>
      <c r="Q3" s="41"/>
      <c r="R3" s="41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91"/>
      <c r="E4" s="91"/>
      <c r="F4" s="91"/>
      <c r="G4" s="91"/>
      <c r="H4" s="91"/>
      <c r="I4" s="91"/>
      <c r="J4" s="91"/>
      <c r="K4" s="57"/>
      <c r="L4" s="57"/>
      <c r="M4" s="57"/>
      <c r="N4" s="6"/>
      <c r="O4" s="91"/>
      <c r="P4" s="91"/>
      <c r="Q4" s="41"/>
      <c r="R4" s="41"/>
      <c r="S4" s="2"/>
      <c r="T4" s="2"/>
      <c r="U4" s="2"/>
      <c r="V4" s="2"/>
      <c r="W4" s="2"/>
      <c r="X4" s="2"/>
      <c r="Y4" s="2"/>
    </row>
    <row r="5" spans="1:25" x14ac:dyDescent="0.2">
      <c r="A5" s="91"/>
      <c r="B5" s="26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57"/>
      <c r="L5" s="86" t="s">
        <v>100</v>
      </c>
      <c r="M5" s="57"/>
      <c r="N5" s="6"/>
      <c r="O5" s="91"/>
      <c r="P5" s="91"/>
      <c r="Q5" s="41"/>
      <c r="R5" s="41"/>
      <c r="S5" s="2"/>
      <c r="T5" s="2"/>
      <c r="U5" s="2"/>
      <c r="V5" s="2"/>
      <c r="W5" s="2"/>
      <c r="X5" s="2"/>
      <c r="Y5" s="2"/>
    </row>
    <row r="6" spans="1:25" x14ac:dyDescent="0.2">
      <c r="A6" s="91"/>
      <c r="B6" s="21">
        <f t="shared" ref="B6:B14" si="0">G6-EvaluationDate</f>
        <v>1</v>
      </c>
      <c r="C6" s="20" t="s">
        <v>15</v>
      </c>
      <c r="D6" s="29" t="s">
        <v>101</v>
      </c>
      <c r="E6" s="45">
        <f t="shared" ref="E6:E14" si="1">EvaluationDate</f>
        <v>42354</v>
      </c>
      <c r="F6" s="45">
        <f>E6</f>
        <v>42354</v>
      </c>
      <c r="G6" s="45">
        <f>_xll.qlCalendarAdvance(Calendar,F6,"1D","f",TRUE,Trigger)</f>
        <v>42355</v>
      </c>
      <c r="H6" s="52" t="e">
        <f>_xll.qlInterpolationInterpolate(Interpolation,B6,TRUE)</f>
        <v>#VALUE!</v>
      </c>
      <c r="I6" s="53" t="str">
        <f>Contribution!P6</f>
        <v>AUD3MOND=</v>
      </c>
      <c r="J6" s="54"/>
      <c r="K6" s="57"/>
      <c r="L6" s="87" t="e">
        <f>_xll.qlInterpolation(,InterpolationType,B8:B14,H8:H14,,Trigger)</f>
        <v>#NUM!</v>
      </c>
      <c r="M6" s="57"/>
      <c r="N6" s="6"/>
      <c r="O6" s="91"/>
      <c r="P6" s="91"/>
      <c r="Q6" s="41"/>
      <c r="R6" s="41"/>
      <c r="S6" s="2"/>
      <c r="T6" s="2"/>
      <c r="U6" s="2"/>
      <c r="V6" s="2"/>
      <c r="W6" s="2"/>
      <c r="X6" s="2"/>
      <c r="Y6" s="2"/>
    </row>
    <row r="7" spans="1:25" x14ac:dyDescent="0.2">
      <c r="A7" s="91"/>
      <c r="B7" s="21">
        <f t="shared" si="0"/>
        <v>2</v>
      </c>
      <c r="C7" s="21" t="s">
        <v>97</v>
      </c>
      <c r="D7" s="29" t="s">
        <v>101</v>
      </c>
      <c r="E7" s="48">
        <f t="shared" si="1"/>
        <v>42354</v>
      </c>
      <c r="F7" s="48">
        <f>G6</f>
        <v>42355</v>
      </c>
      <c r="G7" s="48">
        <f>_xll.qlCalendarAdvance(Calendar,F7,"1D","f",TRUE,Trigger)</f>
        <v>42356</v>
      </c>
      <c r="H7" s="152" t="e">
        <f>_xll.qlInterpolationInterpolate(Interpolation,B7,TRUE)</f>
        <v>#VALUE!</v>
      </c>
      <c r="I7" s="55" t="str">
        <f>Contribution!P7</f>
        <v>AUD3MTND=</v>
      </c>
      <c r="J7" s="153"/>
      <c r="K7" s="91"/>
      <c r="L7" s="8" t="s">
        <v>99</v>
      </c>
      <c r="M7" s="91"/>
      <c r="N7" s="86" t="s">
        <v>94</v>
      </c>
      <c r="O7" s="86" t="s">
        <v>87</v>
      </c>
      <c r="P7" s="86" t="s">
        <v>88</v>
      </c>
      <c r="Q7" s="41"/>
      <c r="R7" s="41"/>
      <c r="S7" s="2"/>
      <c r="T7" s="2"/>
      <c r="U7" s="2"/>
      <c r="V7" s="2"/>
      <c r="W7" s="2"/>
      <c r="X7" s="2"/>
      <c r="Y7" s="2"/>
    </row>
    <row r="8" spans="1:25" x14ac:dyDescent="0.2">
      <c r="A8" s="91"/>
      <c r="B8" s="20">
        <f t="shared" si="0"/>
        <v>5</v>
      </c>
      <c r="C8" s="20" t="s">
        <v>98</v>
      </c>
      <c r="D8" s="28" t="s">
        <v>65</v>
      </c>
      <c r="E8" s="45">
        <f t="shared" si="1"/>
        <v>42354</v>
      </c>
      <c r="F8" s="45">
        <f>_xll.qlInterestRateIndexValueDate(L8,E8,Trigger)</f>
        <v>42356</v>
      </c>
      <c r="G8" s="45">
        <f>_xll.qlInterestRateIndexMaturity(L8,F8,Trigger)</f>
        <v>42359</v>
      </c>
      <c r="H8" s="52" t="e">
        <f>_xll.qlIndexFixing(L8,E8,TRUE,InterestRatesTrigger)</f>
        <v>#NUM!</v>
      </c>
      <c r="I8" s="53" t="str">
        <f>Contribution!P8</f>
        <v>AUD3MSND=</v>
      </c>
      <c r="J8" s="54"/>
      <c r="K8" s="91"/>
      <c r="L8" s="30" t="str">
        <f>_xll.qlIborIndex(,"BBSW",IF(OR(C8="ON",C8="TN",C8="SN"),"1D",IF(C8="SW","1W",C8)),2,Currency,Calendar,BDayConvention,EndOfMonth,DayCounter,YieldCurve,,Trigger)</f>
        <v>obj_002f0#0000</v>
      </c>
      <c r="M8" s="91"/>
      <c r="N8" s="87" t="b">
        <v>1</v>
      </c>
      <c r="O8" s="87" t="s">
        <v>60</v>
      </c>
      <c r="P8" s="87" t="s">
        <v>43</v>
      </c>
      <c r="Q8" s="41"/>
      <c r="R8" s="41"/>
      <c r="S8" s="2"/>
      <c r="T8" s="2"/>
      <c r="U8" s="2"/>
      <c r="V8" s="2"/>
      <c r="W8" s="2"/>
      <c r="X8" s="2"/>
      <c r="Y8" s="2"/>
    </row>
    <row r="9" spans="1:25" x14ac:dyDescent="0.2">
      <c r="A9" s="91"/>
      <c r="B9" s="21">
        <f t="shared" si="0"/>
        <v>13</v>
      </c>
      <c r="C9" s="21" t="s">
        <v>16</v>
      </c>
      <c r="D9" s="29" t="s">
        <v>65</v>
      </c>
      <c r="E9" s="48">
        <f t="shared" si="1"/>
        <v>42354</v>
      </c>
      <c r="F9" s="48">
        <f>_xll.qlInterestRateIndexValueDate(L9,E9,Trigger)</f>
        <v>42356</v>
      </c>
      <c r="G9" s="48">
        <f>_xll.qlInterestRateIndexMaturity(L9,F9,Trigger)</f>
        <v>42367</v>
      </c>
      <c r="H9" s="47" t="e">
        <f>_xll.qlIndexFixing(L9,E9,TRUE,InterestRatesTrigger)</f>
        <v>#NUM!</v>
      </c>
      <c r="I9" s="38" t="str">
        <f>Contribution!P9</f>
        <v>AUD3MSWD=</v>
      </c>
      <c r="J9" s="38"/>
      <c r="K9" s="57"/>
      <c r="L9" s="30" t="str">
        <f>_xll.qlIborIndex(,"BBSW",IF(OR(C9="ON",C9="TN",C9="SN"),"1D",IF(C9="SW","1W",C9)),2,Currency,Calendar,BDayConvention,EndOfMonth,DayCounter,YieldCurve,,Trigger)</f>
        <v>obj_002cc#0000</v>
      </c>
      <c r="M9" s="57"/>
      <c r="N9" s="57"/>
      <c r="O9" s="91"/>
      <c r="P9" s="91"/>
      <c r="Q9" s="41"/>
      <c r="R9" s="41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21">
        <f t="shared" si="0"/>
        <v>19</v>
      </c>
      <c r="C10" s="21" t="s">
        <v>17</v>
      </c>
      <c r="D10" s="29" t="s">
        <v>65</v>
      </c>
      <c r="E10" s="48">
        <f t="shared" si="1"/>
        <v>42354</v>
      </c>
      <c r="F10" s="48">
        <f>_xll.qlInterestRateIndexValueDate(L10,E10,Trigger)</f>
        <v>42356</v>
      </c>
      <c r="G10" s="48">
        <f>_xll.qlInterestRateIndexMaturity(L10,F10,Trigger)</f>
        <v>42373</v>
      </c>
      <c r="H10" s="47" t="e">
        <f>_xll.qlIndexFixing(L10,E10,TRUE,InterestRatesTrigger)</f>
        <v>#NUM!</v>
      </c>
      <c r="I10" s="38" t="str">
        <f>Contribution!P10</f>
        <v>AUD3M2WD=</v>
      </c>
      <c r="J10" s="38"/>
      <c r="K10" s="57"/>
      <c r="L10" s="30" t="str">
        <f>_xll.qlIborIndex(,"BBSW",IF(OR(C10="ON",C10="TN",C10="SN"),"1D",IF(C10="SW","1W",C10)),2,Currency,Calendar,BDayConvention,EndOfMonth,DayCounter,YieldCurve,,Trigger)</f>
        <v>obj_002c2#0000</v>
      </c>
      <c r="M10" s="57"/>
      <c r="N10" s="57"/>
      <c r="O10" s="91"/>
      <c r="P10" s="91"/>
      <c r="Q10" s="41"/>
      <c r="R10" s="41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21">
        <f t="shared" si="0"/>
        <v>23</v>
      </c>
      <c r="C11" s="21" t="s">
        <v>18</v>
      </c>
      <c r="D11" s="29" t="s">
        <v>65</v>
      </c>
      <c r="E11" s="48">
        <f t="shared" si="1"/>
        <v>42354</v>
      </c>
      <c r="F11" s="48">
        <f>_xll.qlInterestRateIndexValueDate(L11,E11,Trigger)</f>
        <v>42356</v>
      </c>
      <c r="G11" s="48">
        <f>_xll.qlInterestRateIndexMaturity(L11,F11,Trigger)</f>
        <v>42377</v>
      </c>
      <c r="H11" s="47" t="e">
        <f>_xll.qlIndexFixing(L11,E11,TRUE,InterestRatesTrigger)</f>
        <v>#NUM!</v>
      </c>
      <c r="I11" s="38" t="str">
        <f>Contribution!P11</f>
        <v>AUD3M3WD=</v>
      </c>
      <c r="J11" s="38"/>
      <c r="K11" s="57"/>
      <c r="L11" s="30" t="str">
        <f>_xll.qlIborIndex(,"BBSW",IF(OR(C11="ON",C11="TN",C11="SN"),"1D",IF(C11="SW","1W",C11)),2,Currency,Calendar,BDayConvention,EndOfMonth,DayCounter,YieldCurve,,Trigger)</f>
        <v>obj_002c5#0000</v>
      </c>
      <c r="M11" s="57"/>
      <c r="N11" s="57"/>
      <c r="O11" s="91"/>
      <c r="P11" s="91"/>
      <c r="Q11" s="41"/>
      <c r="R11" s="41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21">
        <f t="shared" si="0"/>
        <v>33</v>
      </c>
      <c r="C12" s="21" t="s">
        <v>19</v>
      </c>
      <c r="D12" s="29" t="s">
        <v>65</v>
      </c>
      <c r="E12" s="48">
        <f t="shared" si="1"/>
        <v>42354</v>
      </c>
      <c r="F12" s="48">
        <f>_xll.qlInterestRateIndexValueDate(L12,E12,Trigger)</f>
        <v>42356</v>
      </c>
      <c r="G12" s="48">
        <f>_xll.qlInterestRateIndexMaturity(L12,F12,Trigger)</f>
        <v>42387</v>
      </c>
      <c r="H12" s="47" t="e">
        <f>_xll.qlIndexFixing(L12,E12,TRUE,InterestRatesTrigger)</f>
        <v>#NUM!</v>
      </c>
      <c r="I12" s="38" t="str">
        <f>Contribution!P12</f>
        <v>AUD3M1MD=</v>
      </c>
      <c r="J12" s="38"/>
      <c r="K12" s="57"/>
      <c r="L12" s="30" t="str">
        <f>_xll.qlIborIndex(,"BBSW",IF(OR(C12="ON",C12="TN",C12="SN"),"1D",IF(C12="SW","1W",C12)),2,Currency,Calendar,BDayConvention,EndOfMonth,DayCounter,YieldCurve,,Trigger)</f>
        <v>obj_002ea#0000</v>
      </c>
      <c r="M12" s="57"/>
      <c r="N12" s="57"/>
      <c r="O12" s="57"/>
      <c r="P12" s="57"/>
      <c r="Q12" s="41"/>
      <c r="R12" s="41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21">
        <f t="shared" si="0"/>
        <v>64</v>
      </c>
      <c r="C13" s="21" t="s">
        <v>20</v>
      </c>
      <c r="D13" s="29" t="s">
        <v>65</v>
      </c>
      <c r="E13" s="48">
        <f t="shared" si="1"/>
        <v>42354</v>
      </c>
      <c r="F13" s="48">
        <f>_xll.qlInterestRateIndexValueDate(L13,E13,Trigger)</f>
        <v>42356</v>
      </c>
      <c r="G13" s="48">
        <f>_xll.qlInterestRateIndexMaturity(L13,F13,Trigger)</f>
        <v>42418</v>
      </c>
      <c r="H13" s="47" t="e">
        <f>_xll.qlIndexFixing(L13,E13,TRUE,InterestRatesTrigger)</f>
        <v>#NUM!</v>
      </c>
      <c r="I13" s="38" t="str">
        <f>Contribution!P13</f>
        <v>AUD3M2MD=</v>
      </c>
      <c r="J13" s="38"/>
      <c r="K13" s="57"/>
      <c r="L13" s="30" t="str">
        <f>_xll.qlIborIndex(,"BBSW",IF(OR(C13="ON",C13="TN",C13="SN"),"1D",IF(C13="SW","1W",C13)),2,Currency,Calendar,BDayConvention,EndOfMonth,DayCounter,YieldCurve,,Trigger)</f>
        <v>obj_002e3#0000</v>
      </c>
      <c r="M13" s="57"/>
      <c r="N13" s="57"/>
      <c r="O13" s="57"/>
      <c r="P13" s="57"/>
      <c r="Q13" s="41"/>
      <c r="R13" s="41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21">
        <f t="shared" si="0"/>
        <v>93</v>
      </c>
      <c r="C14" s="21" t="s">
        <v>21</v>
      </c>
      <c r="D14" s="29" t="s">
        <v>65</v>
      </c>
      <c r="E14" s="48">
        <f t="shared" si="1"/>
        <v>42354</v>
      </c>
      <c r="F14" s="48">
        <f>_xll.qlInterestRateIndexValueDate(L14,E14,Trigger)</f>
        <v>42356</v>
      </c>
      <c r="G14" s="48">
        <f>_xll.qlInterestRateIndexMaturity(L14,F14,Trigger)</f>
        <v>42447</v>
      </c>
      <c r="H14" s="47" t="e">
        <f>_xll.qlIndexFixing(L14,E14,TRUE,InterestRatesTrigger)</f>
        <v>#NUM!</v>
      </c>
      <c r="I14" s="38" t="str">
        <f>Contribution!P14</f>
        <v>AUD3M3MD=</v>
      </c>
      <c r="J14" s="38"/>
      <c r="K14" s="57"/>
      <c r="L14" s="32" t="str">
        <f>_xll.qlIborIndex(,"BBSW",IF(OR(C14="ON",C14="TN",C14="SN"),"1D",IF(C14="SW","1W",C14)),2,Currency,Calendar,BDayConvention,EndOfMonth,DayCounter,YieldCurve,,Trigger)</f>
        <v>obj_002ad#0000</v>
      </c>
      <c r="M14" s="57"/>
      <c r="N14" s="57"/>
      <c r="O14" s="57"/>
      <c r="P14" s="57"/>
      <c r="Q14" s="41"/>
      <c r="R14" s="41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21"/>
      <c r="C15" s="21"/>
      <c r="D15" s="29"/>
      <c r="E15" s="48"/>
      <c r="F15" s="48"/>
      <c r="G15" s="48"/>
      <c r="H15" s="47"/>
      <c r="I15" s="38"/>
      <c r="J15" s="38"/>
      <c r="K15" s="57"/>
      <c r="L15" s="91"/>
      <c r="M15" s="57"/>
      <c r="N15" s="57"/>
      <c r="O15" s="57"/>
      <c r="P15" s="57"/>
      <c r="Q15" s="41"/>
      <c r="R15" s="41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21"/>
      <c r="C16" s="21"/>
      <c r="D16" s="29"/>
      <c r="E16" s="48"/>
      <c r="F16" s="48"/>
      <c r="G16" s="48"/>
      <c r="H16" s="47"/>
      <c r="I16" s="38"/>
      <c r="J16" s="38"/>
      <c r="K16" s="57"/>
      <c r="L16" s="91"/>
      <c r="M16" s="57"/>
      <c r="N16" s="57"/>
      <c r="O16" s="57"/>
      <c r="P16" s="57"/>
      <c r="Q16" s="41"/>
      <c r="R16" s="41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21"/>
      <c r="C17" s="21"/>
      <c r="D17" s="29"/>
      <c r="E17" s="48"/>
      <c r="F17" s="48"/>
      <c r="G17" s="48"/>
      <c r="H17" s="47"/>
      <c r="I17" s="38"/>
      <c r="J17" s="38"/>
      <c r="K17" s="57"/>
      <c r="L17" s="91"/>
      <c r="M17" s="57"/>
      <c r="N17" s="57"/>
      <c r="O17" s="57"/>
      <c r="P17" s="57"/>
      <c r="Q17" s="41"/>
      <c r="R17" s="41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22"/>
      <c r="C18" s="22"/>
      <c r="D18" s="31"/>
      <c r="E18" s="49"/>
      <c r="F18" s="49"/>
      <c r="G18" s="49"/>
      <c r="H18" s="50"/>
      <c r="I18" s="40"/>
      <c r="J18" s="40"/>
      <c r="K18" s="57"/>
      <c r="L18" s="57"/>
      <c r="M18" s="57"/>
      <c r="N18" s="57"/>
      <c r="O18" s="57"/>
      <c r="P18" s="57"/>
      <c r="Q18" s="41"/>
      <c r="R18" s="41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20"/>
      <c r="C19" s="20" t="str">
        <f>Contribution!D19</f>
        <v>H6</v>
      </c>
      <c r="D19" s="28" t="s">
        <v>84</v>
      </c>
      <c r="E19" s="45">
        <f>_xll.qlInterestRateIndexFixingDate(IborIndex,F19)</f>
        <v>42440</v>
      </c>
      <c r="F19" s="45">
        <f>_xll.qlASXdate(C19)</f>
        <v>42440</v>
      </c>
      <c r="G19" s="45">
        <f>_xll.qlInterestRateIndexMaturity(IborIndex,F19,Trigger)</f>
        <v>42535</v>
      </c>
      <c r="H19" s="110" t="e">
        <f>(1-_xll.qlIndexFixing(IborIndex,E19,TRUE,InterestRatesTrigger))*100</f>
        <v>#NUM!</v>
      </c>
      <c r="I19" s="39" t="str">
        <f>Contribution!P19</f>
        <v>AUD3MH6</v>
      </c>
      <c r="J19" s="39" t="str">
        <f>"YBA"&amp;C19</f>
        <v>YBAH6</v>
      </c>
      <c r="K19" s="57"/>
      <c r="L19" s="91"/>
      <c r="M19" s="91"/>
      <c r="N19" s="91"/>
      <c r="O19" s="91"/>
      <c r="P19" s="91"/>
      <c r="Q19" s="41"/>
      <c r="R19" s="41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21"/>
      <c r="C20" s="21" t="str">
        <f>Contribution!D20</f>
        <v>M6</v>
      </c>
      <c r="D20" s="29" t="s">
        <v>84</v>
      </c>
      <c r="E20" s="48">
        <f>_xll.qlInterestRateIndexFixingDate(IborIndex,F20)</f>
        <v>42531</v>
      </c>
      <c r="F20" s="48">
        <f>_xll.qlASXdate(C20)</f>
        <v>42531</v>
      </c>
      <c r="G20" s="48">
        <f>_xll.qlInterestRateIndexMaturity(IborIndex,F20,Trigger)</f>
        <v>42625</v>
      </c>
      <c r="H20" s="111" t="e">
        <f>(1-_xll.qlIndexFixing(IborIndex,E20,TRUE,InterestRatesTrigger))*100</f>
        <v>#NUM!</v>
      </c>
      <c r="I20" s="38" t="str">
        <f>Contribution!P20</f>
        <v>AUD3MM6</v>
      </c>
      <c r="J20" s="38" t="str">
        <f t="shared" ref="J20:J25" si="2">"YBA"&amp;C20</f>
        <v>YBAM6</v>
      </c>
      <c r="K20" s="91"/>
      <c r="L20" s="91"/>
      <c r="M20" s="91"/>
      <c r="N20" s="91"/>
      <c r="O20" s="91"/>
      <c r="P20" s="91"/>
      <c r="Q20" s="41"/>
      <c r="R20" s="41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21"/>
      <c r="C21" s="21" t="str">
        <f>Contribution!D21</f>
        <v>U6</v>
      </c>
      <c r="D21" s="29" t="s">
        <v>84</v>
      </c>
      <c r="E21" s="48">
        <f>_xll.qlInterestRateIndexFixingDate(IborIndex,F21)</f>
        <v>42622</v>
      </c>
      <c r="F21" s="48">
        <f>_xll.qlASXdate(C21)</f>
        <v>42622</v>
      </c>
      <c r="G21" s="48">
        <f>_xll.qlInterestRateIndexMaturity(IborIndex,F21,Trigger)</f>
        <v>42713</v>
      </c>
      <c r="H21" s="111" t="e">
        <f>(1-_xll.qlIndexFixing(IborIndex,E21,TRUE,InterestRatesTrigger))*100</f>
        <v>#NUM!</v>
      </c>
      <c r="I21" s="38" t="str">
        <f>Contribution!P21</f>
        <v>AUD3MU6</v>
      </c>
      <c r="J21" s="38" t="str">
        <f t="shared" si="2"/>
        <v>YBAU6</v>
      </c>
      <c r="K21" s="91"/>
      <c r="L21" s="91"/>
      <c r="M21" s="91"/>
      <c r="N21" s="91"/>
      <c r="O21" s="91"/>
      <c r="P21" s="91"/>
      <c r="Q21" s="41"/>
      <c r="R21" s="41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21"/>
      <c r="C22" s="21" t="str">
        <f>Contribution!D22</f>
        <v>Z6</v>
      </c>
      <c r="D22" s="29" t="s">
        <v>84</v>
      </c>
      <c r="E22" s="48">
        <f>_xll.qlInterestRateIndexFixingDate(IborIndex,F22)</f>
        <v>42713</v>
      </c>
      <c r="F22" s="48">
        <f>_xll.qlASXdate(C22)</f>
        <v>42713</v>
      </c>
      <c r="G22" s="48">
        <f>_xll.qlInterestRateIndexMaturity(IborIndex,F22,Trigger)</f>
        <v>42803</v>
      </c>
      <c r="H22" s="111" t="e">
        <f>(1-_xll.qlIndexFixing(IborIndex,E22,TRUE,InterestRatesTrigger))*100</f>
        <v>#NUM!</v>
      </c>
      <c r="I22" s="38" t="str">
        <f>Contribution!P22</f>
        <v>AUD3MZ6</v>
      </c>
      <c r="J22" s="38" t="str">
        <f t="shared" si="2"/>
        <v>YBAZ6</v>
      </c>
      <c r="K22" s="91"/>
      <c r="L22" s="91"/>
      <c r="M22" s="91"/>
      <c r="N22" s="91"/>
      <c r="O22" s="91"/>
      <c r="P22" s="91"/>
      <c r="Q22" s="41"/>
      <c r="R22" s="41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21"/>
      <c r="C23" s="21" t="str">
        <f>Contribution!D23</f>
        <v>H7</v>
      </c>
      <c r="D23" s="29" t="s">
        <v>84</v>
      </c>
      <c r="E23" s="48">
        <f>_xll.qlInterestRateIndexFixingDate(IborIndex,F23)</f>
        <v>42804</v>
      </c>
      <c r="F23" s="48">
        <f>_xll.qlASXdate(C23)</f>
        <v>42804</v>
      </c>
      <c r="G23" s="48">
        <f>_xll.qlInterestRateIndexMaturity(IborIndex,F23,Trigger)</f>
        <v>42899</v>
      </c>
      <c r="H23" s="111" t="e">
        <f>(1-_xll.qlIndexFixing(IborIndex,E23,TRUE,InterestRatesTrigger))*100</f>
        <v>#NUM!</v>
      </c>
      <c r="I23" s="38" t="str">
        <f>Contribution!P23</f>
        <v>AUD3MH7</v>
      </c>
      <c r="J23" s="38" t="str">
        <f t="shared" si="2"/>
        <v>YBAH7</v>
      </c>
      <c r="K23" s="91"/>
      <c r="L23" s="91"/>
      <c r="M23" s="91"/>
      <c r="N23" s="91"/>
      <c r="O23" s="91"/>
      <c r="P23" s="91"/>
      <c r="Q23" s="41"/>
      <c r="R23" s="41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21"/>
      <c r="C24" s="21" t="str">
        <f>Contribution!D24</f>
        <v>M7</v>
      </c>
      <c r="D24" s="29" t="s">
        <v>84</v>
      </c>
      <c r="E24" s="48">
        <f>_xll.qlInterestRateIndexFixingDate(IborIndex,F24)</f>
        <v>42895</v>
      </c>
      <c r="F24" s="48">
        <f>_xll.qlASXdate(C24)</f>
        <v>42895</v>
      </c>
      <c r="G24" s="48">
        <f>_xll.qlInterestRateIndexMaturity(IborIndex,F24,Trigger)</f>
        <v>42989</v>
      </c>
      <c r="H24" s="111" t="e">
        <f>(1-_xll.qlIndexFixing(IborIndex,E24,TRUE,InterestRatesTrigger))*100</f>
        <v>#NUM!</v>
      </c>
      <c r="I24" s="38" t="str">
        <f>Contribution!P24</f>
        <v>AUD3MM7</v>
      </c>
      <c r="J24" s="38" t="str">
        <f t="shared" ref="J24" si="3">"YBA"&amp;C24</f>
        <v>YBAM7</v>
      </c>
      <c r="K24" s="91"/>
      <c r="L24" s="91"/>
      <c r="M24" s="91"/>
      <c r="N24" s="91"/>
      <c r="O24" s="91"/>
      <c r="P24" s="91"/>
      <c r="Q24" s="41"/>
      <c r="R24" s="41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22"/>
      <c r="C25" s="22" t="str">
        <f>Contribution!D25</f>
        <v>U7</v>
      </c>
      <c r="D25" s="31" t="s">
        <v>84</v>
      </c>
      <c r="E25" s="49">
        <f>_xll.qlInterestRateIndexFixingDate(IborIndex,F25)</f>
        <v>42986</v>
      </c>
      <c r="F25" s="49">
        <f>_xll.qlASXdate(C25)</f>
        <v>42986</v>
      </c>
      <c r="G25" s="49">
        <f>_xll.qlInterestRateIndexMaturity(IborIndex,F25,Trigger)</f>
        <v>43077</v>
      </c>
      <c r="H25" s="112" t="e">
        <f>(1-_xll.qlIndexFixing(IborIndex,E25,TRUE,InterestRatesTrigger))*100</f>
        <v>#NUM!</v>
      </c>
      <c r="I25" s="40" t="str">
        <f>Contribution!P25</f>
        <v>AUD3MU7</v>
      </c>
      <c r="J25" s="40" t="str">
        <f t="shared" si="2"/>
        <v>YBAU7</v>
      </c>
      <c r="K25" s="91"/>
      <c r="L25" s="90" t="s">
        <v>46</v>
      </c>
      <c r="M25" s="92"/>
      <c r="N25" s="86" t="s">
        <v>41</v>
      </c>
      <c r="O25" s="86" t="s">
        <v>78</v>
      </c>
      <c r="P25" s="86" t="s">
        <v>42</v>
      </c>
      <c r="Q25" s="41"/>
      <c r="R25" s="41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20"/>
      <c r="C26" s="20" t="s">
        <v>21</v>
      </c>
      <c r="D26" s="28" t="s">
        <v>64</v>
      </c>
      <c r="E26" s="45">
        <f>EvaluationDate</f>
        <v>42354</v>
      </c>
      <c r="F26" s="45">
        <f>_xll.qlInterestRateIndexValueDate(L26,E26,Trigger)</f>
        <v>42355</v>
      </c>
      <c r="G26" s="45">
        <f>_xll.qlInterestRateIndexMaturity(L26,F26,Trigger)</f>
        <v>42446</v>
      </c>
      <c r="H26" s="46" t="e">
        <f>_xll.qlIndexFixing(L26,E26,TRUE,InterestRatesTrigger)</f>
        <v>#NUM!</v>
      </c>
      <c r="I26" s="39"/>
      <c r="J26" s="39"/>
      <c r="K26" s="91"/>
      <c r="L26" s="30" t="str">
        <f>_xll.qlSwapIndex(,"BBSW",C26,SettlementDays,Currency,Calendar,FixedLegTenor,FixedLegBDC,FixedLegDayCounter,"AudBBSW3M",DiscountingCurve,,Trigger)</f>
        <v>obj_002ed#0000</v>
      </c>
      <c r="M26" s="57"/>
      <c r="N26" s="30" t="s">
        <v>21</v>
      </c>
      <c r="O26" s="30" t="s">
        <v>60</v>
      </c>
      <c r="P26" s="30" t="s">
        <v>43</v>
      </c>
      <c r="Q26" s="41"/>
      <c r="R26" s="41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21"/>
      <c r="C27" s="21" t="s">
        <v>14</v>
      </c>
      <c r="D27" s="29" t="s">
        <v>64</v>
      </c>
      <c r="E27" s="48">
        <f t="shared" ref="E27:E28" si="4">EvaluationDate</f>
        <v>42354</v>
      </c>
      <c r="F27" s="48">
        <f>_xll.qlInterestRateIndexValueDate(L27,E27,Trigger)</f>
        <v>42355</v>
      </c>
      <c r="G27" s="48">
        <f>_xll.qlInterestRateIndexMaturity(L27,F27,Trigger)</f>
        <v>42538</v>
      </c>
      <c r="H27" s="47" t="e">
        <f>_xll.qlIndexFixing(L27,E27,TRUE,InterestRatesTrigger)</f>
        <v>#NUM!</v>
      </c>
      <c r="I27" s="38"/>
      <c r="J27" s="38"/>
      <c r="K27" s="57"/>
      <c r="L27" s="30" t="str">
        <f>_xll.qlSwapIndex(,"BBSW",C27,SettlementDays,Currency,Calendar,FixedLegTenor,FixedLegBDC,FixedLegDayCounter,IborIndex,DiscountingCurve,,Trigger)</f>
        <v>obj_002c8#0000</v>
      </c>
      <c r="M27" s="57"/>
      <c r="N27" s="58"/>
      <c r="O27" s="58"/>
      <c r="P27" s="58"/>
      <c r="Q27" s="41"/>
      <c r="R27" s="41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21"/>
      <c r="C28" s="21" t="s">
        <v>24</v>
      </c>
      <c r="D28" s="29" t="s">
        <v>64</v>
      </c>
      <c r="E28" s="48">
        <f t="shared" si="4"/>
        <v>42354</v>
      </c>
      <c r="F28" s="48">
        <f>_xll.qlInterestRateIndexValueDate(L28,E28,Trigger)</f>
        <v>42355</v>
      </c>
      <c r="G28" s="48">
        <f>_xll.qlInterestRateIndexMaturity(L28,F28,Trigger)</f>
        <v>42632</v>
      </c>
      <c r="H28" s="47" t="e">
        <f>_xll.qlIndexFixing(L28,E28,TRUE,InterestRatesTrigger)</f>
        <v>#NUM!</v>
      </c>
      <c r="I28" s="38"/>
      <c r="J28" s="38"/>
      <c r="K28" s="91"/>
      <c r="L28" s="30" t="str">
        <f>_xll.qlSwapIndex(,"BBSW",C28,SettlementDays,Currency,Calendar,FixedLegTenor,FixedLegBDC,FixedLegDayCounter,IborIndex,DiscountingCurve,,Trigger)</f>
        <v>obj_002e0#0000</v>
      </c>
      <c r="M28" s="57"/>
      <c r="N28" s="91"/>
      <c r="O28" s="91"/>
      <c r="P28" s="91"/>
      <c r="Q28" s="41"/>
      <c r="R28" s="41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21"/>
      <c r="C29" s="21" t="s">
        <v>25</v>
      </c>
      <c r="D29" s="29" t="s">
        <v>64</v>
      </c>
      <c r="E29" s="48">
        <f t="shared" ref="E29:E30" si="5">EvaluationDate</f>
        <v>42354</v>
      </c>
      <c r="F29" s="48">
        <f>_xll.qlInterestRateIndexValueDate(L29,E29,Trigger)</f>
        <v>42355</v>
      </c>
      <c r="G29" s="48">
        <f>_xll.qlInterestRateIndexMaturity(L29,F29,Trigger)</f>
        <v>42723</v>
      </c>
      <c r="H29" s="47" t="e">
        <f>_xll.qlIndexFixing(L29,E29,TRUE,InterestRatesTrigger)</f>
        <v>#NUM!</v>
      </c>
      <c r="I29" s="38" t="str">
        <f>Contribution!P29</f>
        <v>AUD3M1Y=</v>
      </c>
      <c r="J29" s="55" t="str">
        <f>Currency&amp;"QM3AB"&amp;C29&amp;"=ICAA"</f>
        <v>AUDQM3AB1Y=ICAA</v>
      </c>
      <c r="K29" s="91"/>
      <c r="L29" s="30" t="str">
        <f>_xll.qlSwapIndex(,"BBSW",C29,SettlementDays,Currency,Calendar,FixedLegTenor,FixedLegBDC,FixedLegDayCounter,IborIndex,DiscountingCurve,,Trigger)</f>
        <v>obj_002cf#0000</v>
      </c>
      <c r="M29" s="57"/>
      <c r="N29" s="57"/>
      <c r="O29" s="57"/>
      <c r="P29" s="57"/>
      <c r="Q29" s="41"/>
      <c r="R29" s="41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21"/>
      <c r="C30" s="21" t="s">
        <v>67</v>
      </c>
      <c r="D30" s="29" t="s">
        <v>64</v>
      </c>
      <c r="E30" s="48">
        <f t="shared" si="5"/>
        <v>42354</v>
      </c>
      <c r="F30" s="48">
        <f>_xll.qlInterestRateIndexValueDate(L30,E30,Trigger)</f>
        <v>42355</v>
      </c>
      <c r="G30" s="48">
        <f>_xll.qlInterestRateIndexMaturity(L30,F30,Trigger)</f>
        <v>42905</v>
      </c>
      <c r="H30" s="47" t="e">
        <f>_xll.qlIndexFixing(L30,E30,TRUE,InterestRatesTrigger)</f>
        <v>#NUM!</v>
      </c>
      <c r="I30" s="38"/>
      <c r="J30" s="55"/>
      <c r="K30" s="91"/>
      <c r="L30" s="30" t="str">
        <f>_xll.qlSwapIndex(,"BBSW",C30,SettlementDays,Currency,Calendar,FixedLegTenor,FixedLegBDC,FixedLegDayCounter,IborIndex,DiscountingCurve,,Trigger)</f>
        <v>obj_002ae#0000</v>
      </c>
      <c r="M30" s="57"/>
      <c r="N30" s="57"/>
      <c r="O30" s="57"/>
      <c r="P30" s="57"/>
      <c r="Q30" s="41"/>
      <c r="R30" s="41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21"/>
      <c r="C31" s="21" t="s">
        <v>26</v>
      </c>
      <c r="D31" s="29" t="s">
        <v>64</v>
      </c>
      <c r="E31" s="48">
        <f t="shared" ref="E31:E44" si="6">EvaluationDate</f>
        <v>42354</v>
      </c>
      <c r="F31" s="48">
        <f>_xll.qlInterestRateIndexValueDate(L31,E31,Trigger)</f>
        <v>42355</v>
      </c>
      <c r="G31" s="48">
        <f>_xll.qlInterestRateIndexMaturity(L31,F31,Trigger)</f>
        <v>43087</v>
      </c>
      <c r="H31" s="47" t="e">
        <f>_xll.qlIndexFixing(L31,E31,TRUE,InterestRatesTrigger)</f>
        <v>#NUM!</v>
      </c>
      <c r="I31" s="38" t="str">
        <f>Contribution!P31</f>
        <v>AUD3M2Y=</v>
      </c>
      <c r="J31" s="55" t="str">
        <f>Currency&amp;"QM3AB"&amp;C31&amp;"=ICAA"</f>
        <v>AUDQM3AB2Y=ICAA</v>
      </c>
      <c r="K31" s="57"/>
      <c r="L31" s="30" t="str">
        <f>_xll.qlSwapIndex(,"BBSW",C31,SettlementDays,Currency,Calendar,FixedLegTenor,FixedLegBDC,FixedLegDayCounter,IborIndex,DiscountingCurve,,Trigger)</f>
        <v>obj_002ce#0000</v>
      </c>
      <c r="M31" s="57"/>
      <c r="N31" s="57"/>
      <c r="O31" s="57"/>
      <c r="P31" s="57"/>
      <c r="Q31" s="41"/>
      <c r="R31" s="41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21"/>
      <c r="C32" s="21" t="s">
        <v>27</v>
      </c>
      <c r="D32" s="29" t="s">
        <v>64</v>
      </c>
      <c r="E32" s="48">
        <f t="shared" si="6"/>
        <v>42354</v>
      </c>
      <c r="F32" s="48">
        <f>_xll.qlInterestRateIndexValueDate(L32,E32,Trigger)</f>
        <v>42355</v>
      </c>
      <c r="G32" s="48">
        <f>_xll.qlInterestRateIndexMaturity(L32,F32,Trigger)</f>
        <v>43451</v>
      </c>
      <c r="H32" s="47" t="e">
        <f>_xll.qlIndexFixing(L32,E32,TRUE,InterestRatesTrigger)</f>
        <v>#NUM!</v>
      </c>
      <c r="I32" s="38" t="str">
        <f>Contribution!P32</f>
        <v>AUD3M3Y=</v>
      </c>
      <c r="J32" s="55" t="str">
        <f>Currency&amp;"QM3AB"&amp;C32&amp;"=ICAA"</f>
        <v>AUDQM3AB3Y=ICAA</v>
      </c>
      <c r="K32" s="57"/>
      <c r="L32" s="30" t="str">
        <f>_xll.qlSwapIndex(,"BBSW",C32,SettlementDays,Currency,Calendar,FixedLegTenor,FixedLegBDC,FixedLegDayCounter,IborIndex,DiscountingCurve,,Trigger)</f>
        <v>obj_002b6#0000</v>
      </c>
      <c r="M32" s="57"/>
      <c r="N32" s="57"/>
      <c r="O32" s="57"/>
      <c r="P32" s="57"/>
      <c r="Q32" s="41"/>
      <c r="R32" s="41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21"/>
      <c r="C33" s="21" t="s">
        <v>28</v>
      </c>
      <c r="D33" s="29" t="s">
        <v>64</v>
      </c>
      <c r="E33" s="48">
        <f t="shared" si="6"/>
        <v>42354</v>
      </c>
      <c r="F33" s="48">
        <f>_xll.qlInterestRateIndexValueDate(L33,E33,Trigger)</f>
        <v>42355</v>
      </c>
      <c r="G33" s="48">
        <f>_xll.qlInterestRateIndexMaturity(L33,F33,Trigger)</f>
        <v>43816</v>
      </c>
      <c r="H33" s="47" t="e">
        <f>_xll.qlIndexFixing(L33,E33,TRUE,InterestRatesTrigger)</f>
        <v>#NUM!</v>
      </c>
      <c r="I33" s="38" t="str">
        <f>Contribution!P33</f>
        <v>AUD3M4Y=</v>
      </c>
      <c r="J33" s="55"/>
      <c r="K33" s="57"/>
      <c r="L33" s="30" t="str">
        <f>_xll.qlSwapIndex(,"BBSW",C33,SettlementDays,Currency,Calendar,FixedLegTenor,FixedLegBDC,FixedLegDayCounter,IborIndex,DiscountingCurve,,Trigger)</f>
        <v>obj_002ab#0000</v>
      </c>
      <c r="M33" s="57"/>
      <c r="N33" s="57"/>
      <c r="O33" s="57"/>
      <c r="P33" s="57"/>
      <c r="Q33" s="41"/>
      <c r="R33" s="41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21"/>
      <c r="C34" s="21" t="s">
        <v>29</v>
      </c>
      <c r="D34" s="29" t="s">
        <v>64</v>
      </c>
      <c r="E34" s="48">
        <f t="shared" si="6"/>
        <v>42354</v>
      </c>
      <c r="F34" s="48">
        <f>_xll.qlInterestRateIndexValueDate(L34,E34,Trigger)</f>
        <v>42355</v>
      </c>
      <c r="G34" s="48">
        <f>_xll.qlInterestRateIndexMaturity(L34,F34,Trigger)</f>
        <v>44182</v>
      </c>
      <c r="H34" s="47" t="e">
        <f>_xll.qlIndexFixing(L34,E34,TRUE,InterestRatesTrigger)</f>
        <v>#NUM!</v>
      </c>
      <c r="I34" s="38" t="str">
        <f>Contribution!P34</f>
        <v>AUD3M5Y=</v>
      </c>
      <c r="J34" s="38"/>
      <c r="K34" s="57"/>
      <c r="L34" s="30" t="str">
        <f>_xll.qlSwapIndex(,"BBSW",C34,SettlementDays,Currency,Calendar,FixedLegTenor,FixedLegBDC,FixedLegDayCounter,IborIndex,DiscountingCurve,,Trigger)</f>
        <v>obj_002dc#0000</v>
      </c>
      <c r="M34" s="57"/>
      <c r="N34" s="57"/>
      <c r="O34" s="57"/>
      <c r="P34" s="57"/>
      <c r="Q34" s="41"/>
      <c r="R34" s="41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21"/>
      <c r="C35" s="21" t="s">
        <v>30</v>
      </c>
      <c r="D35" s="29" t="s">
        <v>64</v>
      </c>
      <c r="E35" s="48">
        <f t="shared" si="6"/>
        <v>42354</v>
      </c>
      <c r="F35" s="48">
        <f>_xll.qlInterestRateIndexValueDate(L35,E35,Trigger)</f>
        <v>42355</v>
      </c>
      <c r="G35" s="48">
        <f>_xll.qlInterestRateIndexMaturity(L35,F35,Trigger)</f>
        <v>44547</v>
      </c>
      <c r="H35" s="47" t="e">
        <f>_xll.qlIndexFixing(L35,E35,TRUE,InterestRatesTrigger)</f>
        <v>#NUM!</v>
      </c>
      <c r="I35" s="38"/>
      <c r="J35" s="38"/>
      <c r="K35" s="57"/>
      <c r="L35" s="30" t="str">
        <f>_xll.qlSwapIndex(,"BBSW",C35,SettlementDays,Currency,Calendar,FixedLegTenor,FixedLegBDC,FixedLegDayCounter,IborIndex,DiscountingCurve,,Trigger)</f>
        <v>obj_002d6#0000</v>
      </c>
      <c r="M35" s="57"/>
      <c r="N35" s="57"/>
      <c r="O35" s="57"/>
      <c r="P35" s="57"/>
      <c r="Q35" s="41"/>
      <c r="R35" s="41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21"/>
      <c r="C36" s="21" t="s">
        <v>31</v>
      </c>
      <c r="D36" s="29" t="s">
        <v>64</v>
      </c>
      <c r="E36" s="48">
        <f t="shared" si="6"/>
        <v>42354</v>
      </c>
      <c r="F36" s="48">
        <f>_xll.qlInterestRateIndexValueDate(L36,E36,Trigger)</f>
        <v>42355</v>
      </c>
      <c r="G36" s="48">
        <f>_xll.qlInterestRateIndexMaturity(L36,F36,Trigger)</f>
        <v>44914</v>
      </c>
      <c r="H36" s="47" t="e">
        <f>_xll.qlIndexFixing(L36,E36,TRUE,InterestRatesTrigger)</f>
        <v>#NUM!</v>
      </c>
      <c r="I36" s="38" t="str">
        <f>Contribution!P36</f>
        <v>AUD3M7Y=</v>
      </c>
      <c r="J36" s="38"/>
      <c r="K36" s="57"/>
      <c r="L36" s="30" t="str">
        <f>_xll.qlSwapIndex(,"BBSW",C36,SettlementDays,Currency,Calendar,FixedLegTenor,FixedLegBDC,FixedLegDayCounter,IborIndex,DiscountingCurve,,Trigger)</f>
        <v>obj_002c4#0000</v>
      </c>
      <c r="M36" s="57"/>
      <c r="N36" s="57"/>
      <c r="O36" s="57"/>
      <c r="P36" s="57"/>
      <c r="Q36" s="41"/>
      <c r="R36" s="41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21"/>
      <c r="C37" s="21" t="s">
        <v>32</v>
      </c>
      <c r="D37" s="29" t="s">
        <v>64</v>
      </c>
      <c r="E37" s="48">
        <f t="shared" si="6"/>
        <v>42354</v>
      </c>
      <c r="F37" s="48">
        <f>_xll.qlInterestRateIndexValueDate(L37,E37,Trigger)</f>
        <v>42355</v>
      </c>
      <c r="G37" s="48">
        <f>_xll.qlInterestRateIndexMaturity(L37,F37,Trigger)</f>
        <v>45278</v>
      </c>
      <c r="H37" s="47" t="e">
        <f>_xll.qlIndexFixing(L37,E37,TRUE,InterestRatesTrigger)</f>
        <v>#NUM!</v>
      </c>
      <c r="I37" s="38"/>
      <c r="J37" s="38"/>
      <c r="K37" s="57"/>
      <c r="L37" s="30" t="str">
        <f>_xll.qlSwapIndex(,"BBSW",C37,SettlementDays,Currency,Calendar,FixedLegTenor,FixedLegBDC,FixedLegDayCounter,IborIndex,DiscountingCurve,,Trigger)</f>
        <v>obj_002eb#0000</v>
      </c>
      <c r="M37" s="57"/>
      <c r="N37" s="57"/>
      <c r="O37" s="57"/>
      <c r="P37" s="57"/>
      <c r="Q37" s="41"/>
      <c r="R37" s="41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21"/>
      <c r="C38" s="21" t="s">
        <v>33</v>
      </c>
      <c r="D38" s="29" t="s">
        <v>64</v>
      </c>
      <c r="E38" s="48">
        <f t="shared" si="6"/>
        <v>42354</v>
      </c>
      <c r="F38" s="48">
        <f>_xll.qlInterestRateIndexValueDate(L38,E38,Trigger)</f>
        <v>42355</v>
      </c>
      <c r="G38" s="48">
        <f>_xll.qlInterestRateIndexMaturity(L38,F38,Trigger)</f>
        <v>45643</v>
      </c>
      <c r="H38" s="47" t="e">
        <f>_xll.qlIndexFixing(L38,E38,TRUE,InterestRatesTrigger)</f>
        <v>#NUM!</v>
      </c>
      <c r="I38" s="38"/>
      <c r="J38" s="38"/>
      <c r="K38" s="57"/>
      <c r="L38" s="30" t="str">
        <f>_xll.qlSwapIndex(,"BBSW",C38,SettlementDays,Currency,Calendar,FixedLegTenor,FixedLegBDC,FixedLegDayCounter,IborIndex,DiscountingCurve,,Trigger)</f>
        <v>obj_002c0#0000</v>
      </c>
      <c r="M38" s="57"/>
      <c r="N38" s="57"/>
      <c r="O38" s="57"/>
      <c r="P38" s="57"/>
      <c r="Q38" s="41"/>
      <c r="R38" s="41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21"/>
      <c r="C39" s="21" t="s">
        <v>34</v>
      </c>
      <c r="D39" s="29" t="s">
        <v>64</v>
      </c>
      <c r="E39" s="48">
        <f t="shared" si="6"/>
        <v>42354</v>
      </c>
      <c r="F39" s="48">
        <f>_xll.qlInterestRateIndexValueDate(L39,E39,Trigger)</f>
        <v>42355</v>
      </c>
      <c r="G39" s="48">
        <f>_xll.qlInterestRateIndexMaturity(L39,F39,Trigger)</f>
        <v>46008</v>
      </c>
      <c r="H39" s="47" t="e">
        <f>_xll.qlIndexFixing(L39,E39,TRUE,InterestRatesTrigger)</f>
        <v>#NUM!</v>
      </c>
      <c r="I39" s="38" t="str">
        <f>Contribution!P39</f>
        <v>AUD3M10Y=</v>
      </c>
      <c r="J39" s="38"/>
      <c r="K39" s="57"/>
      <c r="L39" s="30" t="str">
        <f>_xll.qlSwapIndex(,"BBSW",C39,SettlementDays,Currency,Calendar,FixedLegTenor,FixedLegBDC,FixedLegDayCounter,IborIndex,DiscountingCurve,,Trigger)</f>
        <v>obj_002b0#0000</v>
      </c>
      <c r="M39" s="57"/>
      <c r="N39" s="57"/>
      <c r="O39" s="57"/>
      <c r="P39" s="57"/>
      <c r="Q39" s="41"/>
      <c r="R39" s="41"/>
      <c r="S39" s="2"/>
      <c r="T39" s="2"/>
      <c r="U39" s="2"/>
      <c r="V39" s="2"/>
      <c r="W39" s="2"/>
      <c r="X39" s="2"/>
      <c r="Y39" s="2"/>
    </row>
    <row r="40" spans="1:25" x14ac:dyDescent="0.2">
      <c r="A40" s="91"/>
      <c r="B40" s="21"/>
      <c r="C40" s="21" t="s">
        <v>35</v>
      </c>
      <c r="D40" s="29" t="s">
        <v>64</v>
      </c>
      <c r="E40" s="48">
        <f t="shared" si="6"/>
        <v>42354</v>
      </c>
      <c r="F40" s="48">
        <f>_xll.qlInterestRateIndexValueDate(L40,E40,Trigger)</f>
        <v>42355</v>
      </c>
      <c r="G40" s="48">
        <f>_xll.qlInterestRateIndexMaturity(L40,F40,Trigger)</f>
        <v>46738</v>
      </c>
      <c r="H40" s="47" t="e">
        <f>_xll.qlIndexFixing(L40,E40,TRUE,InterestRatesTrigger)</f>
        <v>#NUM!</v>
      </c>
      <c r="I40" s="38" t="str">
        <f>Contribution!P40</f>
        <v>AUD3M12Y=</v>
      </c>
      <c r="J40" s="38"/>
      <c r="K40" s="57"/>
      <c r="L40" s="30" t="str">
        <f>_xll.qlSwapIndex(,"BBSW",C40,SettlementDays,Currency,Calendar,FixedLegTenor,FixedLegBDC,FixedLegDayCounter,IborIndex,DiscountingCurve,,Trigger)</f>
        <v>obj_002f5#0000</v>
      </c>
      <c r="M40" s="57"/>
      <c r="N40" s="57"/>
      <c r="O40" s="57"/>
      <c r="P40" s="57"/>
      <c r="Q40" s="41"/>
      <c r="R40" s="41"/>
      <c r="S40" s="2"/>
      <c r="T40" s="2"/>
      <c r="U40" s="2"/>
      <c r="V40" s="2"/>
      <c r="W40" s="2"/>
      <c r="X40" s="2"/>
      <c r="Y40" s="2"/>
    </row>
    <row r="41" spans="1:25" x14ac:dyDescent="0.2">
      <c r="A41" s="91"/>
      <c r="B41" s="21"/>
      <c r="C41" s="21" t="s">
        <v>36</v>
      </c>
      <c r="D41" s="29" t="s">
        <v>64</v>
      </c>
      <c r="E41" s="48">
        <f t="shared" si="6"/>
        <v>42354</v>
      </c>
      <c r="F41" s="48">
        <f>_xll.qlInterestRateIndexValueDate(L41,E41,Trigger)</f>
        <v>42355</v>
      </c>
      <c r="G41" s="48">
        <f>_xll.qlInterestRateIndexMaturity(L41,F41,Trigger)</f>
        <v>47834</v>
      </c>
      <c r="H41" s="47" t="e">
        <f>_xll.qlIndexFixing(L41,E41,TRUE,InterestRatesTrigger)</f>
        <v>#NUM!</v>
      </c>
      <c r="I41" s="38" t="str">
        <f>Contribution!P41</f>
        <v>AUD3M15Y=</v>
      </c>
      <c r="J41" s="38"/>
      <c r="K41" s="57"/>
      <c r="L41" s="30" t="str">
        <f>_xll.qlSwapIndex(,"BBSW",C41,SettlementDays,Currency,Calendar,FixedLegTenor,FixedLegBDC,FixedLegDayCounter,IborIndex,DiscountingCurve,,Trigger)</f>
        <v>obj_002b2#0000</v>
      </c>
      <c r="M41" s="57"/>
      <c r="N41" s="57"/>
      <c r="O41" s="57"/>
      <c r="P41" s="57"/>
      <c r="Q41" s="41"/>
      <c r="R41" s="41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21"/>
      <c r="C42" s="21" t="s">
        <v>37</v>
      </c>
      <c r="D42" s="29" t="s">
        <v>64</v>
      </c>
      <c r="E42" s="48">
        <f t="shared" si="6"/>
        <v>42354</v>
      </c>
      <c r="F42" s="48">
        <f>_xll.qlInterestRateIndexValueDate(L42,E42,Trigger)</f>
        <v>42355</v>
      </c>
      <c r="G42" s="48">
        <f>_xll.qlInterestRateIndexMaturity(L42,F42,Trigger)</f>
        <v>49660</v>
      </c>
      <c r="H42" s="47" t="e">
        <f>_xll.qlIndexFixing(L42,E42,TRUE,InterestRatesTrigger)</f>
        <v>#NUM!</v>
      </c>
      <c r="I42" s="38" t="str">
        <f>Contribution!P42</f>
        <v>AUD3M20Y=</v>
      </c>
      <c r="J42" s="38"/>
      <c r="K42" s="57"/>
      <c r="L42" s="30" t="str">
        <f>_xll.qlSwapIndex(,"BBSW",C42,SettlementDays,Currency,Calendar,FixedLegTenor,FixedLegBDC,FixedLegDayCounter,IborIndex,DiscountingCurve,,Trigger)</f>
        <v>obj_002e7#0000</v>
      </c>
      <c r="M42" s="6"/>
      <c r="N42" s="6"/>
      <c r="O42" s="6"/>
      <c r="P42" s="6"/>
      <c r="Q42" s="41"/>
      <c r="R42" s="41"/>
      <c r="S42" s="2"/>
      <c r="T42" s="2"/>
      <c r="U42" s="2"/>
      <c r="V42" s="2"/>
      <c r="W42" s="2"/>
      <c r="X42" s="2"/>
      <c r="Y42" s="2"/>
    </row>
    <row r="43" spans="1:25" x14ac:dyDescent="0.2">
      <c r="A43" s="91"/>
      <c r="B43" s="21"/>
      <c r="C43" s="21" t="s">
        <v>38</v>
      </c>
      <c r="D43" s="29" t="s">
        <v>64</v>
      </c>
      <c r="E43" s="48">
        <f t="shared" si="6"/>
        <v>42354</v>
      </c>
      <c r="F43" s="48">
        <f>_xll.qlInterestRateIndexValueDate(L43,E43,Trigger)</f>
        <v>42355</v>
      </c>
      <c r="G43" s="48">
        <f>_xll.qlInterestRateIndexMaturity(L43,F43,Trigger)</f>
        <v>51487</v>
      </c>
      <c r="H43" s="47" t="e">
        <f>_xll.qlIndexFixing(L43,E43,TRUE,InterestRatesTrigger)</f>
        <v>#NUM!</v>
      </c>
      <c r="I43" s="38" t="str">
        <f>Contribution!P43</f>
        <v>AUD3M25Y=</v>
      </c>
      <c r="J43" s="38"/>
      <c r="K43" s="57"/>
      <c r="L43" s="30" t="str">
        <f>_xll.qlSwapIndex(,"BBSW",C43,SettlementDays,Currency,Calendar,FixedLegTenor,FixedLegBDC,FixedLegDayCounter,IborIndex,DiscountingCurve,,Trigger)</f>
        <v>obj_002d4#0000</v>
      </c>
      <c r="M43" s="6"/>
      <c r="N43" s="6"/>
      <c r="O43" s="6"/>
      <c r="P43" s="6"/>
      <c r="Q43" s="41"/>
      <c r="R43" s="41"/>
      <c r="S43" s="2"/>
      <c r="T43" s="2"/>
      <c r="U43" s="2"/>
      <c r="V43" s="2"/>
      <c r="W43" s="2"/>
      <c r="X43" s="2"/>
      <c r="Y43" s="2"/>
    </row>
    <row r="44" spans="1:25" x14ac:dyDescent="0.2">
      <c r="A44" s="91"/>
      <c r="B44" s="22"/>
      <c r="C44" s="22" t="s">
        <v>39</v>
      </c>
      <c r="D44" s="31" t="s">
        <v>64</v>
      </c>
      <c r="E44" s="49">
        <f t="shared" si="6"/>
        <v>42354</v>
      </c>
      <c r="F44" s="49">
        <f>_xll.qlInterestRateIndexValueDate(L44,E44,Trigger)</f>
        <v>42355</v>
      </c>
      <c r="G44" s="49">
        <f>_xll.qlInterestRateIndexMaturity(L44,F44,Trigger)</f>
        <v>53314</v>
      </c>
      <c r="H44" s="50" t="e">
        <f>_xll.qlIndexFixing(L44,E44,TRUE,InterestRatesTrigger)</f>
        <v>#NUM!</v>
      </c>
      <c r="I44" s="40" t="str">
        <f>Contribution!P44</f>
        <v>AUD3M30Y=</v>
      </c>
      <c r="J44" s="40"/>
      <c r="K44" s="57"/>
      <c r="L44" s="32" t="str">
        <f>_xll.qlSwapIndex(,"BBSW",C44,SettlementDays,Currency,Calendar,FixedLegTenor,FixedLegBDC,FixedLegDayCounter,IborIndex,DiscountingCurve,,Trigger)</f>
        <v>obj_002f4#0000</v>
      </c>
      <c r="M44" s="6"/>
      <c r="N44" s="6"/>
      <c r="O44" s="6"/>
      <c r="P44" s="6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6"/>
      <c r="E45" s="6"/>
      <c r="F45" s="6"/>
      <c r="G45" s="6"/>
      <c r="H45" s="6"/>
      <c r="I45" s="6"/>
      <c r="J45" s="6"/>
      <c r="K45" s="57"/>
      <c r="L45" s="6"/>
      <c r="M45" s="6"/>
      <c r="N45" s="6"/>
      <c r="O45" s="6"/>
      <c r="P45" s="6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6"/>
      <c r="E46" s="6"/>
      <c r="F46" s="6"/>
      <c r="G46" s="6"/>
      <c r="H46" s="6"/>
      <c r="I46" s="6"/>
      <c r="J46" s="6"/>
      <c r="K46" s="57"/>
      <c r="L46" s="6"/>
      <c r="M46" s="6"/>
      <c r="N46" s="6"/>
      <c r="O46" s="6"/>
      <c r="P46" s="6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91"/>
      <c r="B47" s="91"/>
      <c r="C47" s="3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6"/>
      <c r="B48" s="6"/>
      <c r="C48" s="3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6"/>
      <c r="B49" s="6"/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6"/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2"/>
      <c r="R96" s="2"/>
      <c r="S96" s="2"/>
      <c r="T96" s="2"/>
      <c r="U96" s="2"/>
      <c r="V96" s="2"/>
      <c r="W96" s="2"/>
      <c r="X96" s="2"/>
      <c r="Y96" s="2"/>
    </row>
    <row r="97" spans="1:39" x14ac:dyDescent="0.2">
      <c r="A97" s="6"/>
      <c r="B97" s="6"/>
      <c r="C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2"/>
      <c r="R97" s="2"/>
      <c r="S97" s="2"/>
      <c r="T97" s="2"/>
      <c r="U97" s="2"/>
      <c r="V97" s="2"/>
      <c r="W97" s="2"/>
      <c r="X97" s="2"/>
      <c r="Y97" s="2"/>
    </row>
    <row r="98" spans="1:39" x14ac:dyDescent="0.2">
      <c r="A98" s="6"/>
      <c r="B98" s="6"/>
      <c r="C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2"/>
      <c r="R98" s="2"/>
      <c r="S98" s="2"/>
      <c r="T98" s="2"/>
      <c r="U98" s="2"/>
      <c r="V98" s="2"/>
      <c r="W98" s="2"/>
      <c r="X98" s="2"/>
      <c r="Y98" s="2"/>
    </row>
    <row r="99" spans="1:39" x14ac:dyDescent="0.2">
      <c r="A99" s="6"/>
      <c r="B99" s="6"/>
      <c r="C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2"/>
      <c r="R99" s="2"/>
      <c r="S99" s="2"/>
      <c r="T99" s="2"/>
      <c r="U99" s="2"/>
      <c r="V99" s="2"/>
      <c r="W99" s="2"/>
      <c r="X99" s="2"/>
      <c r="Y99" s="2"/>
    </row>
    <row r="100" spans="1:39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2"/>
      <c r="R100" s="2"/>
      <c r="S100" s="2"/>
      <c r="T100" s="2"/>
      <c r="U100" s="2"/>
      <c r="V100" s="2"/>
      <c r="W100" s="2"/>
      <c r="X100" s="2"/>
      <c r="Y100" s="2"/>
    </row>
    <row r="101" spans="1:39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2"/>
      <c r="R101" s="2"/>
      <c r="S101" s="2"/>
      <c r="T101" s="2"/>
      <c r="U101" s="2"/>
      <c r="V101" s="2"/>
      <c r="W101" s="2"/>
      <c r="X101" s="2"/>
      <c r="Y101" s="2"/>
    </row>
    <row r="102" spans="1:39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2"/>
      <c r="R102" s="2"/>
      <c r="S102" s="2"/>
      <c r="T102" s="2"/>
      <c r="U102" s="2"/>
      <c r="V102" s="2"/>
      <c r="W102" s="2"/>
      <c r="X102" s="2"/>
      <c r="Y102" s="2"/>
    </row>
    <row r="103" spans="1:39" x14ac:dyDescent="0.2">
      <c r="A103" s="6"/>
      <c r="B103" s="6"/>
      <c r="C103" s="3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2"/>
      <c r="R103" s="2"/>
      <c r="S103" s="2"/>
      <c r="T103" s="2"/>
      <c r="U103" s="2"/>
      <c r="V103" s="2"/>
      <c r="W103" s="2"/>
      <c r="X103" s="2"/>
      <c r="Y103" s="2"/>
    </row>
    <row r="104" spans="1:39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49"/>
      <c r="P104" s="149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</row>
    <row r="105" spans="1:39" s="37" customFormat="1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49"/>
      <c r="P105" s="149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</row>
    <row r="106" spans="1:39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49"/>
      <c r="P106" s="149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</row>
    <row r="107" spans="1:39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49"/>
      <c r="P107" s="149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</row>
    <row r="108" spans="1:39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49"/>
      <c r="P108" s="149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</row>
    <row r="109" spans="1:39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49"/>
      <c r="P109" s="149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</row>
    <row r="110" spans="1:39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49"/>
      <c r="P110" s="149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</row>
    <row r="111" spans="1:39" x14ac:dyDescent="0.2">
      <c r="A111" s="149"/>
      <c r="B111" s="149"/>
      <c r="C111" s="151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49"/>
      <c r="P111" s="149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</row>
    <row r="112" spans="1:39" x14ac:dyDescent="0.2">
      <c r="A112" s="149"/>
      <c r="B112" s="149"/>
      <c r="C112" s="151"/>
      <c r="D112" s="149"/>
      <c r="E112" s="149"/>
      <c r="F112" s="149"/>
      <c r="G112" s="149"/>
      <c r="H112" s="149"/>
      <c r="I112" s="149"/>
      <c r="J112" s="149"/>
      <c r="K112" s="149"/>
      <c r="L112" s="149"/>
      <c r="M112" s="149"/>
      <c r="N112" s="149"/>
      <c r="O112" s="149"/>
      <c r="P112" s="149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</row>
    <row r="113" spans="2:3" x14ac:dyDescent="0.2">
      <c r="B113" s="149"/>
      <c r="C113" s="151"/>
    </row>
    <row r="114" spans="2:3" x14ac:dyDescent="0.2">
      <c r="B114" s="149"/>
      <c r="C114" s="151"/>
    </row>
    <row r="115" spans="2:3" x14ac:dyDescent="0.2">
      <c r="B115" s="149"/>
      <c r="C115" s="151"/>
    </row>
    <row r="116" spans="2:3" x14ac:dyDescent="0.2">
      <c r="B116" s="149"/>
      <c r="C116" s="151"/>
    </row>
    <row r="117" spans="2:3" x14ac:dyDescent="0.2">
      <c r="B117" s="149"/>
      <c r="C117" s="151"/>
    </row>
    <row r="118" spans="2:3" x14ac:dyDescent="0.2">
      <c r="B118" s="149"/>
      <c r="C118" s="151"/>
    </row>
    <row r="119" spans="2:3" x14ac:dyDescent="0.2">
      <c r="B119" s="149"/>
      <c r="C119" s="151"/>
    </row>
    <row r="120" spans="2:3" x14ac:dyDescent="0.2">
      <c r="B120" s="149"/>
      <c r="C120" s="151"/>
    </row>
    <row r="121" spans="2:3" x14ac:dyDescent="0.2">
      <c r="B121" s="149"/>
      <c r="C121" s="151"/>
    </row>
    <row r="122" spans="2:3" x14ac:dyDescent="0.2">
      <c r="B122" s="149"/>
      <c r="C122" s="151"/>
    </row>
    <row r="123" spans="2:3" x14ac:dyDescent="0.2">
      <c r="B123" s="149"/>
      <c r="C123" s="151"/>
    </row>
    <row r="124" spans="2:3" x14ac:dyDescent="0.2">
      <c r="B124" s="149"/>
      <c r="C124" s="151"/>
    </row>
    <row r="125" spans="2:3" x14ac:dyDescent="0.2">
      <c r="B125" s="149"/>
      <c r="C125" s="151"/>
    </row>
    <row r="126" spans="2:3" x14ac:dyDescent="0.2">
      <c r="B126" s="149"/>
      <c r="C126" s="151"/>
    </row>
    <row r="127" spans="2:3" x14ac:dyDescent="0.2">
      <c r="B127" s="149"/>
      <c r="C127" s="151"/>
    </row>
    <row r="128" spans="2:3" x14ac:dyDescent="0.2">
      <c r="B128" s="149"/>
      <c r="C128" s="151"/>
    </row>
    <row r="129" spans="2:3" x14ac:dyDescent="0.2">
      <c r="B129" s="149"/>
      <c r="C129" s="151"/>
    </row>
    <row r="130" spans="2:3" x14ac:dyDescent="0.2">
      <c r="B130" s="149"/>
      <c r="C130" s="151"/>
    </row>
  </sheetData>
  <dataValidations count="2">
    <dataValidation type="list" allowBlank="1" showInputMessage="1" showErrorMessage="1" sqref="P26 P8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O26 O8">
      <formula1>"Following,Modified Following,Preceding,Modified Preceding,Unadjusted,Half-Month Modified Following"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0"/>
  <sheetViews>
    <sheetView showGridLines="0" workbookViewId="0"/>
  </sheetViews>
  <sheetFormatPr defaultColWidth="2.85546875" defaultRowHeight="11.25" outlineLevelCol="1" x14ac:dyDescent="0.2"/>
  <cols>
    <col min="1" max="1" width="2.7109375" style="7" customWidth="1"/>
    <col min="2" max="2" width="4" style="7" bestFit="1" customWidth="1"/>
    <col min="3" max="3" width="4" style="5" bestFit="1" customWidth="1"/>
    <col min="4" max="4" width="15.140625" style="7" bestFit="1" customWidth="1"/>
    <col min="5" max="7" width="17.28515625" style="7" customWidth="1"/>
    <col min="8" max="8" width="8" style="7" bestFit="1" customWidth="1"/>
    <col min="9" max="9" width="13.140625" style="7" bestFit="1" customWidth="1"/>
    <col min="10" max="10" width="17.28515625" style="7" bestFit="1" customWidth="1"/>
    <col min="11" max="11" width="2.7109375" style="7" hidden="1" customWidth="1" outlineLevel="1"/>
    <col min="12" max="12" width="15.140625" style="7" hidden="1" customWidth="1" outlineLevel="1"/>
    <col min="13" max="13" width="2.7109375" style="7" hidden="1" customWidth="1" outlineLevel="1"/>
    <col min="14" max="14" width="14.140625" style="7" hidden="1" customWidth="1" outlineLevel="1"/>
    <col min="15" max="16" width="19.28515625" style="1" hidden="1" customWidth="1" outlineLevel="1"/>
    <col min="17" max="17" width="2.7109375" style="1" customWidth="1" collapsed="1"/>
    <col min="18" max="25" width="27.28515625" style="1" customWidth="1"/>
    <col min="26" max="26" width="27.28515625" style="37" customWidth="1"/>
    <col min="27" max="29" width="27.28515625" style="11" customWidth="1"/>
    <col min="30" max="82" width="27.28515625" style="1" customWidth="1"/>
    <col min="83" max="16384" width="2.85546875" style="1"/>
  </cols>
  <sheetData>
    <row r="1" spans="1:25" x14ac:dyDescent="0.2">
      <c r="A1" s="6"/>
      <c r="B1" s="6"/>
      <c r="C1" s="3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x14ac:dyDescent="0.2">
      <c r="A2" s="91"/>
      <c r="B2" s="91"/>
      <c r="C2" s="85"/>
      <c r="D2" s="86" t="s">
        <v>76</v>
      </c>
      <c r="E2" s="87" t="s">
        <v>14</v>
      </c>
      <c r="F2" s="91"/>
      <c r="G2" s="91"/>
      <c r="H2" s="91"/>
      <c r="I2" s="91"/>
      <c r="J2" s="91"/>
      <c r="K2" s="57"/>
      <c r="L2" s="86" t="s">
        <v>40</v>
      </c>
      <c r="M2" s="57"/>
      <c r="N2" s="57"/>
      <c r="O2" s="57"/>
      <c r="P2" s="57"/>
      <c r="Q2" s="57"/>
      <c r="R2" s="41"/>
      <c r="S2" s="2"/>
      <c r="T2" s="2"/>
      <c r="U2" s="2"/>
      <c r="V2" s="2"/>
      <c r="W2" s="2"/>
      <c r="X2" s="2"/>
      <c r="Y2" s="2"/>
    </row>
    <row r="3" spans="1:25" x14ac:dyDescent="0.2">
      <c r="A3" s="91"/>
      <c r="B3" s="91"/>
      <c r="C3" s="3"/>
      <c r="D3" s="86" t="s">
        <v>77</v>
      </c>
      <c r="E3" s="87" t="str">
        <f>Currency&amp;CurveTenor</f>
        <v>AUD6M</v>
      </c>
      <c r="F3" s="91"/>
      <c r="G3" s="91"/>
      <c r="H3" s="91"/>
      <c r="I3" s="91"/>
      <c r="J3" s="91"/>
      <c r="K3" s="6"/>
      <c r="L3" s="87" t="str">
        <f>IborIndexFamily&amp;CurveTenor</f>
        <v>AudBBSW6M</v>
      </c>
      <c r="M3" s="6"/>
      <c r="N3" s="57"/>
      <c r="O3" s="57"/>
      <c r="P3" s="57"/>
      <c r="Q3" s="57"/>
      <c r="R3" s="41"/>
      <c r="S3" s="2"/>
      <c r="T3" s="2"/>
      <c r="U3" s="2"/>
      <c r="V3" s="2"/>
      <c r="W3" s="2"/>
      <c r="X3" s="2"/>
      <c r="Y3" s="2"/>
    </row>
    <row r="4" spans="1:25" x14ac:dyDescent="0.2">
      <c r="A4" s="91"/>
      <c r="B4" s="91"/>
      <c r="C4" s="85"/>
      <c r="D4" s="91"/>
      <c r="E4" s="91"/>
      <c r="F4" s="91"/>
      <c r="G4" s="91"/>
      <c r="H4" s="91"/>
      <c r="I4" s="91"/>
      <c r="J4" s="91"/>
      <c r="K4" s="57"/>
      <c r="L4" s="57"/>
      <c r="M4" s="57"/>
      <c r="N4" s="57"/>
      <c r="O4" s="57"/>
      <c r="P4" s="57"/>
      <c r="Q4" s="57"/>
      <c r="R4" s="41"/>
      <c r="S4" s="2"/>
      <c r="T4" s="2"/>
      <c r="U4" s="2"/>
      <c r="V4" s="2"/>
      <c r="W4" s="2"/>
      <c r="X4" s="2"/>
      <c r="Y4" s="2"/>
    </row>
    <row r="5" spans="1:25" x14ac:dyDescent="0.2">
      <c r="A5" s="91"/>
      <c r="B5" s="26"/>
      <c r="C5" s="26"/>
      <c r="D5" s="26" t="s">
        <v>47</v>
      </c>
      <c r="E5" s="26" t="s">
        <v>63</v>
      </c>
      <c r="F5" s="26" t="s">
        <v>73</v>
      </c>
      <c r="G5" s="26" t="s">
        <v>45</v>
      </c>
      <c r="H5" s="27" t="s">
        <v>44</v>
      </c>
      <c r="I5" s="27" t="s">
        <v>74</v>
      </c>
      <c r="J5" s="27" t="s">
        <v>75</v>
      </c>
      <c r="K5" s="41"/>
      <c r="L5" s="86" t="s">
        <v>100</v>
      </c>
      <c r="M5" s="91"/>
      <c r="N5" s="91"/>
      <c r="O5" s="91"/>
      <c r="P5" s="91"/>
      <c r="Q5" s="41"/>
      <c r="R5" s="41"/>
      <c r="S5" s="2"/>
      <c r="T5" s="2"/>
      <c r="U5" s="2"/>
      <c r="V5" s="2"/>
      <c r="W5" s="2"/>
      <c r="X5" s="2"/>
      <c r="Y5" s="2"/>
    </row>
    <row r="6" spans="1:25" x14ac:dyDescent="0.2">
      <c r="A6" s="91"/>
      <c r="B6" s="21">
        <f t="shared" ref="B6:B17" si="0">G6-EvaluationDate</f>
        <v>1</v>
      </c>
      <c r="C6" s="20" t="s">
        <v>15</v>
      </c>
      <c r="D6" s="29" t="s">
        <v>101</v>
      </c>
      <c r="E6" s="45">
        <f t="shared" ref="E6:E17" si="1">EvaluationDate</f>
        <v>42354</v>
      </c>
      <c r="F6" s="45">
        <f>E6</f>
        <v>42354</v>
      </c>
      <c r="G6" s="45">
        <f>_xll.qlCalendarAdvance(Calendar,F6,"1D","f",TRUE,Trigger)</f>
        <v>42355</v>
      </c>
      <c r="H6" s="52" t="e">
        <f>_xll.qlInterpolationInterpolate(Interpolation,B6,TRUE)</f>
        <v>#VALUE!</v>
      </c>
      <c r="I6" s="53" t="str">
        <f>Contribution!S6</f>
        <v>AUD6MOND=</v>
      </c>
      <c r="J6" s="54"/>
      <c r="K6" s="41"/>
      <c r="L6" s="87" t="e">
        <f>_xll.qlInterpolation(,InterpolationType,B8:B17,H8:H17,,Trigger)</f>
        <v>#NUM!</v>
      </c>
      <c r="M6" s="91"/>
      <c r="N6" s="91"/>
      <c r="O6" s="91"/>
      <c r="P6" s="91"/>
      <c r="Q6" s="41"/>
      <c r="R6" s="41"/>
      <c r="S6" s="2"/>
      <c r="T6" s="2"/>
      <c r="U6" s="2"/>
      <c r="V6" s="2"/>
      <c r="W6" s="2"/>
      <c r="X6" s="2"/>
      <c r="Y6" s="2"/>
    </row>
    <row r="7" spans="1:25" x14ac:dyDescent="0.2">
      <c r="A7" s="91"/>
      <c r="B7" s="21">
        <f t="shared" si="0"/>
        <v>2</v>
      </c>
      <c r="C7" s="21" t="s">
        <v>97</v>
      </c>
      <c r="D7" s="29" t="s">
        <v>101</v>
      </c>
      <c r="E7" s="48">
        <f t="shared" si="1"/>
        <v>42354</v>
      </c>
      <c r="F7" s="48">
        <f>G6</f>
        <v>42355</v>
      </c>
      <c r="G7" s="48">
        <f>_xll.qlCalendarAdvance(Calendar,F7,"1D","f",TRUE,Trigger)</f>
        <v>42356</v>
      </c>
      <c r="H7" s="152" t="e">
        <f>_xll.qlInterpolationInterpolate(Interpolation,B7,TRUE)</f>
        <v>#VALUE!</v>
      </c>
      <c r="I7" s="55" t="str">
        <f>Contribution!S7</f>
        <v>AUD6MTND=</v>
      </c>
      <c r="J7" s="153"/>
      <c r="K7" s="41"/>
      <c r="L7" s="8" t="s">
        <v>99</v>
      </c>
      <c r="M7" s="85"/>
      <c r="N7" s="86" t="s">
        <v>94</v>
      </c>
      <c r="O7" s="86" t="s">
        <v>87</v>
      </c>
      <c r="P7" s="86" t="s">
        <v>88</v>
      </c>
      <c r="Q7" s="41"/>
      <c r="R7" s="41"/>
      <c r="S7" s="2"/>
      <c r="T7" s="2"/>
      <c r="U7" s="2"/>
      <c r="V7" s="2"/>
      <c r="W7" s="2"/>
      <c r="X7" s="2"/>
      <c r="Y7" s="2"/>
    </row>
    <row r="8" spans="1:25" x14ac:dyDescent="0.2">
      <c r="A8" s="91"/>
      <c r="B8" s="20">
        <f t="shared" si="0"/>
        <v>5</v>
      </c>
      <c r="C8" s="20" t="s">
        <v>98</v>
      </c>
      <c r="D8" s="28" t="s">
        <v>65</v>
      </c>
      <c r="E8" s="45">
        <f t="shared" si="1"/>
        <v>42354</v>
      </c>
      <c r="F8" s="45">
        <f>_xll.qlInterestRateIndexValueDate(L8,E8,Trigger)</f>
        <v>42356</v>
      </c>
      <c r="G8" s="45">
        <f>_xll.qlInterestRateIndexMaturity(L8,F8,Trigger)</f>
        <v>42359</v>
      </c>
      <c r="H8" s="52" t="e">
        <f>_xll.qlIndexFixing(L8,E8,TRUE,AllTriggers)</f>
        <v>#NUM!</v>
      </c>
      <c r="I8" s="53" t="str">
        <f>Contribution!S8</f>
        <v>AUD6MSND=</v>
      </c>
      <c r="J8" s="54"/>
      <c r="K8" s="41"/>
      <c r="L8" s="30" t="str">
        <f>_xll.qlIborIndex(,"BBSW",IF(OR(C8="ON",C8="TN",C8="SN"),"1D",IF(C8="SW","1W",C8)),2,Currency,Calendar,BDayConvention,EndOfMonth,DayCounter,YieldCurve,,Trigger)</f>
        <v>obj_002da#0000</v>
      </c>
      <c r="M8" s="85"/>
      <c r="N8" s="87" t="b">
        <v>1</v>
      </c>
      <c r="O8" s="87" t="s">
        <v>60</v>
      </c>
      <c r="P8" s="87" t="s">
        <v>43</v>
      </c>
      <c r="Q8" s="41"/>
      <c r="R8" s="41"/>
      <c r="S8" s="2"/>
      <c r="T8" s="2"/>
      <c r="U8" s="2"/>
      <c r="V8" s="2"/>
      <c r="W8" s="2"/>
      <c r="X8" s="2"/>
      <c r="Y8" s="2"/>
    </row>
    <row r="9" spans="1:25" x14ac:dyDescent="0.2">
      <c r="A9" s="91"/>
      <c r="B9" s="21">
        <f t="shared" si="0"/>
        <v>13</v>
      </c>
      <c r="C9" s="21" t="s">
        <v>16</v>
      </c>
      <c r="D9" s="29" t="s">
        <v>65</v>
      </c>
      <c r="E9" s="48">
        <f t="shared" si="1"/>
        <v>42354</v>
      </c>
      <c r="F9" s="48">
        <f>_xll.qlInterestRateIndexValueDate(L9,E9,Trigger)</f>
        <v>42356</v>
      </c>
      <c r="G9" s="48">
        <f>_xll.qlInterestRateIndexMaturity(L9,F9,Trigger)</f>
        <v>42367</v>
      </c>
      <c r="H9" s="47" t="e">
        <f>_xll.qlIndexFixing(L9,E9,TRUE,AllTriggers)</f>
        <v>#NUM!</v>
      </c>
      <c r="I9" s="38" t="str">
        <f>Contribution!S9</f>
        <v>AUD6MSWD=</v>
      </c>
      <c r="J9" s="38"/>
      <c r="K9" s="41"/>
      <c r="L9" s="30" t="str">
        <f>_xll.qlIborIndex(,"BBSW",IF(OR(C9="ON",C9="TN",C9="SN"),"1D",IF(C9="SW","1W",C9)),2,Currency,Calendar,BDayConvention,EndOfMonth,DayCounter,YieldCurve,,Trigger)</f>
        <v>obj_002bf#0000</v>
      </c>
      <c r="M9" s="4"/>
      <c r="N9" s="91"/>
      <c r="O9" s="91"/>
      <c r="P9" s="91"/>
      <c r="Q9" s="41"/>
      <c r="R9" s="41"/>
      <c r="S9" s="2"/>
      <c r="T9" s="2"/>
      <c r="U9" s="2"/>
      <c r="V9" s="2"/>
      <c r="W9" s="2"/>
      <c r="X9" s="2"/>
      <c r="Y9" s="2"/>
    </row>
    <row r="10" spans="1:25" x14ac:dyDescent="0.2">
      <c r="A10" s="91"/>
      <c r="B10" s="21">
        <f t="shared" si="0"/>
        <v>19</v>
      </c>
      <c r="C10" s="21" t="s">
        <v>17</v>
      </c>
      <c r="D10" s="29" t="s">
        <v>65</v>
      </c>
      <c r="E10" s="48">
        <f t="shared" si="1"/>
        <v>42354</v>
      </c>
      <c r="F10" s="48">
        <f>_xll.qlInterestRateIndexValueDate(L10,E10,Trigger)</f>
        <v>42356</v>
      </c>
      <c r="G10" s="48">
        <f>_xll.qlInterestRateIndexMaturity(L10,F10,Trigger)</f>
        <v>42373</v>
      </c>
      <c r="H10" s="47" t="e">
        <f>_xll.qlIndexFixing(L10,E10,TRUE,AllTriggers)</f>
        <v>#NUM!</v>
      </c>
      <c r="I10" s="38" t="str">
        <f>Contribution!S10</f>
        <v>AUD6M2WD=</v>
      </c>
      <c r="J10" s="38"/>
      <c r="K10" s="41"/>
      <c r="L10" s="30" t="str">
        <f>_xll.qlIborIndex(,"BBSW",IF(OR(C10="ON",C10="TN",C10="SN"),"1D",IF(C10="SW","1W",C10)),2,Currency,Calendar,BDayConvention,EndOfMonth,DayCounter,YieldCurve,,Trigger)</f>
        <v>obj_002b5#0000</v>
      </c>
      <c r="M10" s="4"/>
      <c r="N10" s="91"/>
      <c r="O10" s="91"/>
      <c r="P10" s="91"/>
      <c r="Q10" s="41"/>
      <c r="R10" s="41"/>
      <c r="S10" s="2"/>
      <c r="T10" s="2"/>
      <c r="U10" s="2"/>
      <c r="V10" s="2"/>
      <c r="W10" s="2"/>
      <c r="X10" s="2"/>
      <c r="Y10" s="2"/>
    </row>
    <row r="11" spans="1:25" x14ac:dyDescent="0.2">
      <c r="A11" s="91"/>
      <c r="B11" s="21">
        <f t="shared" si="0"/>
        <v>23</v>
      </c>
      <c r="C11" s="21" t="s">
        <v>18</v>
      </c>
      <c r="D11" s="29" t="s">
        <v>65</v>
      </c>
      <c r="E11" s="48">
        <f t="shared" si="1"/>
        <v>42354</v>
      </c>
      <c r="F11" s="48">
        <f>_xll.qlInterestRateIndexValueDate(L11,E11,Trigger)</f>
        <v>42356</v>
      </c>
      <c r="G11" s="48">
        <f>_xll.qlInterestRateIndexMaturity(L11,F11,Trigger)</f>
        <v>42377</v>
      </c>
      <c r="H11" s="47" t="e">
        <f>_xll.qlIndexFixing(L11,E11,TRUE,AllTriggers)</f>
        <v>#NUM!</v>
      </c>
      <c r="I11" s="38" t="str">
        <f>Contribution!S11</f>
        <v>AUD6M3WD=</v>
      </c>
      <c r="J11" s="38"/>
      <c r="K11" s="41"/>
      <c r="L11" s="30" t="str">
        <f>_xll.qlIborIndex(,"BBSW",IF(OR(C11="ON",C11="TN",C11="SN"),"1D",IF(C11="SW","1W",C11)),2,Currency,Calendar,BDayConvention,EndOfMonth,DayCounter,YieldCurve,,Trigger)</f>
        <v>obj_002f2#0000</v>
      </c>
      <c r="M11" s="4"/>
      <c r="N11" s="91"/>
      <c r="O11" s="91"/>
      <c r="P11" s="91"/>
      <c r="Q11" s="41"/>
      <c r="R11" s="41"/>
      <c r="S11" s="2"/>
      <c r="T11" s="2"/>
      <c r="U11" s="2"/>
      <c r="V11" s="2"/>
      <c r="W11" s="2"/>
      <c r="X11" s="2"/>
      <c r="Y11" s="2"/>
    </row>
    <row r="12" spans="1:25" x14ac:dyDescent="0.2">
      <c r="A12" s="91"/>
      <c r="B12" s="21">
        <f t="shared" si="0"/>
        <v>33</v>
      </c>
      <c r="C12" s="21" t="s">
        <v>19</v>
      </c>
      <c r="D12" s="29" t="s">
        <v>65</v>
      </c>
      <c r="E12" s="48">
        <f t="shared" si="1"/>
        <v>42354</v>
      </c>
      <c r="F12" s="48">
        <f>_xll.qlInterestRateIndexValueDate(L12,E12,Trigger)</f>
        <v>42356</v>
      </c>
      <c r="G12" s="48">
        <f>_xll.qlInterestRateIndexMaturity(L12,F12,Trigger)</f>
        <v>42387</v>
      </c>
      <c r="H12" s="47" t="e">
        <f>_xll.qlIndexFixing(L12,E12,TRUE,AllTriggers)</f>
        <v>#NUM!</v>
      </c>
      <c r="I12" s="38" t="str">
        <f>Contribution!S12</f>
        <v>AUD6M1MD=</v>
      </c>
      <c r="J12" s="38"/>
      <c r="K12" s="41"/>
      <c r="L12" s="30" t="str">
        <f>_xll.qlIborIndex(,"BBSW",IF(OR(C12="ON",C12="TN",C12="SN"),"1D",IF(C12="SW","1W",C12)),2,Currency,Calendar,BDayConvention,EndOfMonth,DayCounter,YieldCurve,,Trigger)</f>
        <v>obj_002af#0000</v>
      </c>
      <c r="M12" s="4"/>
      <c r="N12" s="91"/>
      <c r="O12" s="91"/>
      <c r="P12" s="91"/>
      <c r="Q12" s="41"/>
      <c r="R12" s="41"/>
      <c r="S12" s="2"/>
      <c r="T12" s="2"/>
      <c r="U12" s="2"/>
      <c r="V12" s="2"/>
      <c r="W12" s="2"/>
      <c r="X12" s="2"/>
      <c r="Y12" s="2"/>
    </row>
    <row r="13" spans="1:25" x14ac:dyDescent="0.2">
      <c r="A13" s="91"/>
      <c r="B13" s="21">
        <f t="shared" si="0"/>
        <v>64</v>
      </c>
      <c r="C13" s="21" t="s">
        <v>20</v>
      </c>
      <c r="D13" s="29" t="s">
        <v>65</v>
      </c>
      <c r="E13" s="48">
        <f t="shared" si="1"/>
        <v>42354</v>
      </c>
      <c r="F13" s="48">
        <f>_xll.qlInterestRateIndexValueDate(L13,E13,Trigger)</f>
        <v>42356</v>
      </c>
      <c r="G13" s="48">
        <f>_xll.qlInterestRateIndexMaturity(L13,F13,Trigger)</f>
        <v>42418</v>
      </c>
      <c r="H13" s="47" t="e">
        <f>_xll.qlIndexFixing(L13,E13,TRUE,AllTriggers)</f>
        <v>#NUM!</v>
      </c>
      <c r="I13" s="38" t="str">
        <f>Contribution!S13</f>
        <v>AUD6M2MD=</v>
      </c>
      <c r="J13" s="38"/>
      <c r="K13" s="41"/>
      <c r="L13" s="30" t="str">
        <f>_xll.qlIborIndex(,"BBSW",IF(OR(C13="ON",C13="TN",C13="SN"),"1D",IF(C13="SW","1W",C13)),2,Currency,Calendar,BDayConvention,EndOfMonth,DayCounter,YieldCurve,,Trigger)</f>
        <v>obj_002d5#0000</v>
      </c>
      <c r="M13" s="4"/>
      <c r="N13" s="57"/>
      <c r="O13" s="57"/>
      <c r="P13" s="57"/>
      <c r="Q13" s="41"/>
      <c r="R13" s="41"/>
      <c r="S13" s="2"/>
      <c r="T13" s="2"/>
      <c r="U13" s="2"/>
      <c r="V13" s="2"/>
      <c r="W13" s="2"/>
      <c r="X13" s="2"/>
      <c r="Y13" s="2"/>
    </row>
    <row r="14" spans="1:25" x14ac:dyDescent="0.2">
      <c r="A14" s="91"/>
      <c r="B14" s="21">
        <f t="shared" si="0"/>
        <v>93</v>
      </c>
      <c r="C14" s="21" t="s">
        <v>21</v>
      </c>
      <c r="D14" s="29" t="s">
        <v>65</v>
      </c>
      <c r="E14" s="48">
        <f t="shared" si="1"/>
        <v>42354</v>
      </c>
      <c r="F14" s="48">
        <f>_xll.qlInterestRateIndexValueDate(L14,E14,Trigger)</f>
        <v>42356</v>
      </c>
      <c r="G14" s="48">
        <f>_xll.qlInterestRateIndexMaturity(L14,F14,Trigger)</f>
        <v>42447</v>
      </c>
      <c r="H14" s="47" t="e">
        <f>_xll.qlIndexFixing(L14,E14,TRUE,AllTriggers)</f>
        <v>#NUM!</v>
      </c>
      <c r="I14" s="38" t="str">
        <f>Contribution!S14</f>
        <v>AUD6M3MD=</v>
      </c>
      <c r="J14" s="38"/>
      <c r="K14" s="41"/>
      <c r="L14" s="30" t="str">
        <f>_xll.qlIborIndex(,"BBSW",IF(OR(C14="ON",C14="TN",C14="SN"),"1D",IF(C14="SW","1W",C14)),2,Currency,Calendar,BDayConvention,EndOfMonth,DayCounter,YieldCurve,,Trigger)</f>
        <v>obj_002d7#0000</v>
      </c>
      <c r="M14" s="4"/>
      <c r="N14" s="57"/>
      <c r="O14" s="57"/>
      <c r="P14" s="57"/>
      <c r="Q14" s="41"/>
      <c r="R14" s="41"/>
      <c r="S14" s="2"/>
      <c r="T14" s="2"/>
      <c r="U14" s="2"/>
      <c r="V14" s="2"/>
      <c r="W14" s="2"/>
      <c r="X14" s="2"/>
      <c r="Y14" s="2"/>
    </row>
    <row r="15" spans="1:25" x14ac:dyDescent="0.2">
      <c r="A15" s="91"/>
      <c r="B15" s="21">
        <f t="shared" si="0"/>
        <v>124</v>
      </c>
      <c r="C15" s="21" t="s">
        <v>22</v>
      </c>
      <c r="D15" s="29" t="s">
        <v>65</v>
      </c>
      <c r="E15" s="48">
        <f t="shared" si="1"/>
        <v>42354</v>
      </c>
      <c r="F15" s="48">
        <f>_xll.qlInterestRateIndexValueDate(L15,E15,Trigger)</f>
        <v>42356</v>
      </c>
      <c r="G15" s="48">
        <f>_xll.qlInterestRateIndexMaturity(L15,F15,Trigger)</f>
        <v>42478</v>
      </c>
      <c r="H15" s="47" t="e">
        <f>_xll.qlIndexFixing(L15,E15,TRUE,AllTriggers)</f>
        <v>#NUM!</v>
      </c>
      <c r="I15" s="38" t="str">
        <f>Contribution!S15</f>
        <v>AUD6M4MD=</v>
      </c>
      <c r="J15" s="38"/>
      <c r="K15" s="41"/>
      <c r="L15" s="30" t="str">
        <f>_xll.qlIborIndex(,"BBSW",IF(OR(C15="ON",C15="TN",C15="SN"),"1D",IF(C15="SW","1W",C15)),2,Currency,Calendar,BDayConvention,EndOfMonth,DayCounter,YieldCurve,,Trigger)</f>
        <v>obj_002bb#0000</v>
      </c>
      <c r="M15" s="4"/>
      <c r="N15" s="57"/>
      <c r="O15" s="57"/>
      <c r="P15" s="57"/>
      <c r="Q15" s="41"/>
      <c r="R15" s="41"/>
      <c r="S15" s="2"/>
      <c r="T15" s="2"/>
      <c r="U15" s="2"/>
      <c r="V15" s="2"/>
      <c r="W15" s="2"/>
      <c r="X15" s="2"/>
      <c r="Y15" s="2"/>
    </row>
    <row r="16" spans="1:25" x14ac:dyDescent="0.2">
      <c r="A16" s="91"/>
      <c r="B16" s="21">
        <f t="shared" si="0"/>
        <v>154</v>
      </c>
      <c r="C16" s="21" t="s">
        <v>23</v>
      </c>
      <c r="D16" s="29" t="s">
        <v>65</v>
      </c>
      <c r="E16" s="48">
        <f t="shared" si="1"/>
        <v>42354</v>
      </c>
      <c r="F16" s="48">
        <f>_xll.qlInterestRateIndexValueDate(L16,E16,Trigger)</f>
        <v>42356</v>
      </c>
      <c r="G16" s="48">
        <f>_xll.qlInterestRateIndexMaturity(L16,F16,Trigger)</f>
        <v>42508</v>
      </c>
      <c r="H16" s="47" t="e">
        <f>_xll.qlIndexFixing(L16,E16,TRUE,AllTriggers)</f>
        <v>#NUM!</v>
      </c>
      <c r="I16" s="38" t="str">
        <f>Contribution!S16</f>
        <v>AUD6M5MD=</v>
      </c>
      <c r="J16" s="38"/>
      <c r="K16" s="41"/>
      <c r="L16" s="30" t="str">
        <f>_xll.qlIborIndex(,"BBSW",IF(OR(C16="ON",C16="TN",C16="SN"),"1D",IF(C16="SW","1W",C16)),2,Currency,Calendar,BDayConvention,EndOfMonth,DayCounter,YieldCurve,,Trigger)</f>
        <v>obj_002f6#0000</v>
      </c>
      <c r="M16" s="4"/>
      <c r="N16" s="57"/>
      <c r="O16" s="57"/>
      <c r="P16" s="57"/>
      <c r="Q16" s="41"/>
      <c r="R16" s="41"/>
      <c r="S16" s="2"/>
      <c r="T16" s="2"/>
      <c r="U16" s="2"/>
      <c r="V16" s="2"/>
      <c r="W16" s="2"/>
      <c r="X16" s="2"/>
      <c r="Y16" s="2"/>
    </row>
    <row r="17" spans="1:25" x14ac:dyDescent="0.2">
      <c r="A17" s="91"/>
      <c r="B17" s="21">
        <f t="shared" si="0"/>
        <v>187</v>
      </c>
      <c r="C17" s="21" t="s">
        <v>14</v>
      </c>
      <c r="D17" s="29" t="s">
        <v>65</v>
      </c>
      <c r="E17" s="48">
        <f t="shared" si="1"/>
        <v>42354</v>
      </c>
      <c r="F17" s="48">
        <f>_xll.qlInterestRateIndexValueDate(L17,E17,Trigger)</f>
        <v>42356</v>
      </c>
      <c r="G17" s="48">
        <f>_xll.qlInterestRateIndexMaturity(L17,F17,Trigger)</f>
        <v>42541</v>
      </c>
      <c r="H17" s="47" t="e">
        <f>_xll.qlIndexFixing(L17,E17,TRUE,AllTriggers)</f>
        <v>#NUM!</v>
      </c>
      <c r="I17" s="38" t="str">
        <f>Contribution!S17</f>
        <v>AUD6M6MD=</v>
      </c>
      <c r="J17" s="38"/>
      <c r="K17" s="41"/>
      <c r="L17" s="32" t="str">
        <f>_xll.qlIborIndex(,"BBSW",IF(OR(C17="ON",C17="TN",C17="SN"),"1D",IF(C17="SW","1W",C17)),2,Currency,Calendar,BDayConvention,EndOfMonth,DayCounter,YieldCurve,,Trigger)</f>
        <v>obj_002b3#0000</v>
      </c>
      <c r="M17" s="4"/>
      <c r="N17" s="57"/>
      <c r="O17" s="57"/>
      <c r="P17" s="57"/>
      <c r="Q17" s="41"/>
      <c r="R17" s="41"/>
      <c r="S17" s="2"/>
      <c r="T17" s="2"/>
      <c r="U17" s="2"/>
      <c r="V17" s="2"/>
      <c r="W17" s="2"/>
      <c r="X17" s="2"/>
      <c r="Y17" s="2"/>
    </row>
    <row r="18" spans="1:25" x14ac:dyDescent="0.2">
      <c r="A18" s="91"/>
      <c r="B18" s="22"/>
      <c r="C18" s="22"/>
      <c r="D18" s="31"/>
      <c r="E18" s="49"/>
      <c r="F18" s="49"/>
      <c r="G18" s="49"/>
      <c r="H18" s="50"/>
      <c r="I18" s="40"/>
      <c r="J18" s="40"/>
      <c r="K18" s="41"/>
      <c r="L18" s="91"/>
      <c r="M18" s="4"/>
      <c r="N18" s="57"/>
      <c r="O18" s="57"/>
      <c r="P18" s="57"/>
      <c r="Q18" s="41"/>
      <c r="R18" s="41"/>
      <c r="S18" s="2"/>
      <c r="T18" s="2"/>
      <c r="U18" s="2"/>
      <c r="V18" s="2"/>
      <c r="W18" s="2"/>
      <c r="X18" s="2"/>
      <c r="Y18" s="2"/>
    </row>
    <row r="19" spans="1:25" x14ac:dyDescent="0.2">
      <c r="A19" s="91"/>
      <c r="B19" s="20"/>
      <c r="C19" s="20"/>
      <c r="D19" s="28"/>
      <c r="E19" s="45"/>
      <c r="F19" s="45"/>
      <c r="G19" s="45"/>
      <c r="H19" s="110"/>
      <c r="I19" s="39"/>
      <c r="J19" s="39"/>
      <c r="K19" s="41"/>
      <c r="L19" s="91"/>
      <c r="M19" s="4"/>
      <c r="N19" s="57"/>
      <c r="O19" s="57"/>
      <c r="P19" s="57"/>
      <c r="Q19" s="41"/>
      <c r="R19" s="41"/>
      <c r="S19" s="2"/>
      <c r="T19" s="2"/>
      <c r="U19" s="2"/>
      <c r="V19" s="2"/>
      <c r="W19" s="2"/>
      <c r="X19" s="2"/>
      <c r="Y19" s="2"/>
    </row>
    <row r="20" spans="1:25" x14ac:dyDescent="0.2">
      <c r="A20" s="91"/>
      <c r="B20" s="21"/>
      <c r="C20" s="21"/>
      <c r="D20" s="29"/>
      <c r="E20" s="48"/>
      <c r="F20" s="48"/>
      <c r="G20" s="48"/>
      <c r="H20" s="111"/>
      <c r="I20" s="38"/>
      <c r="J20" s="38"/>
      <c r="K20" s="41"/>
      <c r="L20" s="91"/>
      <c r="M20" s="85"/>
      <c r="N20" s="91"/>
      <c r="O20" s="91"/>
      <c r="P20" s="91"/>
      <c r="Q20" s="41"/>
      <c r="R20" s="41"/>
      <c r="S20" s="2"/>
      <c r="T20" s="2"/>
      <c r="U20" s="2"/>
      <c r="V20" s="2"/>
      <c r="W20" s="2"/>
      <c r="X20" s="2"/>
      <c r="Y20" s="2"/>
    </row>
    <row r="21" spans="1:25" x14ac:dyDescent="0.2">
      <c r="A21" s="91"/>
      <c r="B21" s="21"/>
      <c r="C21" s="21"/>
      <c r="D21" s="29"/>
      <c r="E21" s="48"/>
      <c r="F21" s="48"/>
      <c r="G21" s="48"/>
      <c r="H21" s="111"/>
      <c r="I21" s="38"/>
      <c r="J21" s="38"/>
      <c r="K21" s="41"/>
      <c r="L21" s="91"/>
      <c r="M21" s="85"/>
      <c r="N21" s="91"/>
      <c r="O21" s="91"/>
      <c r="P21" s="91"/>
      <c r="Q21" s="41"/>
      <c r="R21" s="41"/>
      <c r="S21" s="2"/>
      <c r="T21" s="2"/>
      <c r="U21" s="2"/>
      <c r="V21" s="2"/>
      <c r="W21" s="2"/>
      <c r="X21" s="2"/>
      <c r="Y21" s="2"/>
    </row>
    <row r="22" spans="1:25" x14ac:dyDescent="0.2">
      <c r="A22" s="91"/>
      <c r="B22" s="21"/>
      <c r="C22" s="21"/>
      <c r="D22" s="29"/>
      <c r="E22" s="48"/>
      <c r="F22" s="48"/>
      <c r="G22" s="48"/>
      <c r="H22" s="111"/>
      <c r="I22" s="38"/>
      <c r="J22" s="38"/>
      <c r="K22" s="41"/>
      <c r="L22" s="91"/>
      <c r="M22" s="85"/>
      <c r="N22" s="91"/>
      <c r="O22" s="91"/>
      <c r="P22" s="91"/>
      <c r="Q22" s="41"/>
      <c r="R22" s="41"/>
      <c r="S22" s="2"/>
      <c r="T22" s="2"/>
      <c r="U22" s="2"/>
      <c r="V22" s="2"/>
      <c r="W22" s="2"/>
      <c r="X22" s="2"/>
      <c r="Y22" s="2"/>
    </row>
    <row r="23" spans="1:25" x14ac:dyDescent="0.2">
      <c r="A23" s="91"/>
      <c r="B23" s="21"/>
      <c r="C23" s="21"/>
      <c r="D23" s="29"/>
      <c r="E23" s="48"/>
      <c r="F23" s="48"/>
      <c r="G23" s="48"/>
      <c r="H23" s="111"/>
      <c r="I23" s="38"/>
      <c r="J23" s="38"/>
      <c r="K23" s="41"/>
      <c r="L23" s="91"/>
      <c r="M23" s="85"/>
      <c r="N23" s="91"/>
      <c r="O23" s="91"/>
      <c r="P23" s="91"/>
      <c r="Q23" s="41"/>
      <c r="R23" s="41"/>
      <c r="S23" s="2"/>
      <c r="T23" s="2"/>
      <c r="U23" s="2"/>
      <c r="V23" s="2"/>
      <c r="W23" s="2"/>
      <c r="X23" s="2"/>
      <c r="Y23" s="2"/>
    </row>
    <row r="24" spans="1:25" x14ac:dyDescent="0.2">
      <c r="A24" s="91"/>
      <c r="B24" s="21"/>
      <c r="C24" s="21"/>
      <c r="D24" s="29"/>
      <c r="E24" s="48"/>
      <c r="F24" s="48"/>
      <c r="G24" s="48"/>
      <c r="H24" s="111"/>
      <c r="I24" s="38"/>
      <c r="J24" s="38"/>
      <c r="K24" s="41"/>
      <c r="L24" s="91"/>
      <c r="M24" s="85"/>
      <c r="N24" s="91"/>
      <c r="O24" s="91"/>
      <c r="P24" s="91"/>
      <c r="Q24" s="41"/>
      <c r="R24" s="41"/>
      <c r="S24" s="2"/>
      <c r="T24" s="2"/>
      <c r="U24" s="2"/>
      <c r="V24" s="2"/>
      <c r="W24" s="2"/>
      <c r="X24" s="2"/>
      <c r="Y24" s="2"/>
    </row>
    <row r="25" spans="1:25" x14ac:dyDescent="0.2">
      <c r="A25" s="91"/>
      <c r="B25" s="22"/>
      <c r="C25" s="22"/>
      <c r="D25" s="31"/>
      <c r="E25" s="49"/>
      <c r="F25" s="49"/>
      <c r="G25" s="49"/>
      <c r="H25" s="112"/>
      <c r="I25" s="40"/>
      <c r="J25" s="40"/>
      <c r="K25" s="41"/>
      <c r="L25" s="90" t="s">
        <v>46</v>
      </c>
      <c r="M25" s="92"/>
      <c r="N25" s="86" t="s">
        <v>41</v>
      </c>
      <c r="O25" s="86" t="s">
        <v>78</v>
      </c>
      <c r="P25" s="86" t="s">
        <v>42</v>
      </c>
      <c r="Q25" s="41"/>
      <c r="R25" s="41"/>
      <c r="S25" s="2"/>
      <c r="T25" s="2"/>
      <c r="U25" s="2"/>
      <c r="V25" s="2"/>
      <c r="W25" s="2"/>
      <c r="X25" s="2"/>
      <c r="Y25" s="2"/>
    </row>
    <row r="26" spans="1:25" x14ac:dyDescent="0.2">
      <c r="A26" s="91"/>
      <c r="B26" s="20"/>
      <c r="C26" s="20" t="s">
        <v>21</v>
      </c>
      <c r="D26" s="28" t="s">
        <v>64</v>
      </c>
      <c r="E26" s="45">
        <f t="shared" ref="E26:E28" si="2">EvaluationDate</f>
        <v>42354</v>
      </c>
      <c r="F26" s="45">
        <f>_xll.qlInterestRateIndexValueDate(L26,E26,Trigger)</f>
        <v>42355</v>
      </c>
      <c r="G26" s="45">
        <f>_xll.qlInterestRateIndexMaturity(L26,F26,Trigger)</f>
        <v>42446</v>
      </c>
      <c r="H26" s="46" t="e">
        <f>_xll.qlIndexFixing(L26,E26,TRUE,AllTriggers)</f>
        <v>#NUM!</v>
      </c>
      <c r="I26" s="39"/>
      <c r="J26" s="39"/>
      <c r="K26" s="41"/>
      <c r="L26" s="88" t="str">
        <f>_xll.qlSwapIndex(,"BBSW",C26,SettlementDays,Currency,Calendar,FixedLegTenor,FixedLegBDC,FixedLegDayCounter,IborIndex,DiscountingCurve,,Trigger)</f>
        <v>obj_002e5#0000</v>
      </c>
      <c r="M26" s="4"/>
      <c r="N26" s="87" t="s">
        <v>14</v>
      </c>
      <c r="O26" s="87" t="s">
        <v>60</v>
      </c>
      <c r="P26" s="87" t="s">
        <v>43</v>
      </c>
      <c r="Q26" s="41"/>
      <c r="R26" s="41"/>
      <c r="S26" s="2"/>
      <c r="T26" s="2"/>
      <c r="U26" s="2"/>
      <c r="V26" s="2"/>
      <c r="W26" s="2"/>
      <c r="X26" s="2"/>
      <c r="Y26" s="2"/>
    </row>
    <row r="27" spans="1:25" x14ac:dyDescent="0.2">
      <c r="A27" s="91"/>
      <c r="B27" s="21"/>
      <c r="C27" s="21" t="s">
        <v>14</v>
      </c>
      <c r="D27" s="29" t="s">
        <v>64</v>
      </c>
      <c r="E27" s="48">
        <f t="shared" si="2"/>
        <v>42354</v>
      </c>
      <c r="F27" s="48">
        <f>_xll.qlInterestRateIndexValueDate(L27,E27,Trigger)</f>
        <v>42355</v>
      </c>
      <c r="G27" s="48">
        <f>_xll.qlInterestRateIndexMaturity(L27,F27,Trigger)</f>
        <v>42538</v>
      </c>
      <c r="H27" s="47" t="e">
        <f>_xll.qlIndexFixing(L27,E27,TRUE,AllTriggers)</f>
        <v>#NUM!</v>
      </c>
      <c r="I27" s="38"/>
      <c r="J27" s="38"/>
      <c r="K27" s="41"/>
      <c r="L27" s="30" t="str">
        <f>_xll.qlSwapIndex(,"BBSW",C27,SettlementDays,Currency,Calendar,FixedLegTenor,FixedLegBDC,FixedLegDayCounter,IborIndex,DiscountingCurve,,Trigger)</f>
        <v>obj_002be#0000</v>
      </c>
      <c r="M27" s="85"/>
      <c r="N27" s="91"/>
      <c r="O27" s="85"/>
      <c r="P27" s="91"/>
      <c r="Q27" s="41"/>
      <c r="R27" s="41"/>
      <c r="S27" s="2"/>
      <c r="T27" s="2"/>
      <c r="U27" s="2"/>
      <c r="V27" s="2"/>
      <c r="W27" s="2"/>
      <c r="X27" s="2"/>
      <c r="Y27" s="2"/>
    </row>
    <row r="28" spans="1:25" x14ac:dyDescent="0.2">
      <c r="A28" s="91"/>
      <c r="B28" s="21"/>
      <c r="C28" s="21" t="s">
        <v>24</v>
      </c>
      <c r="D28" s="29" t="s">
        <v>64</v>
      </c>
      <c r="E28" s="48">
        <f t="shared" si="2"/>
        <v>42354</v>
      </c>
      <c r="F28" s="48">
        <f>_xll.qlInterestRateIndexValueDate(L28,E28,Trigger)</f>
        <v>42355</v>
      </c>
      <c r="G28" s="48">
        <f>_xll.qlInterestRateIndexMaturity(L28,F28,Trigger)</f>
        <v>42632</v>
      </c>
      <c r="H28" s="47" t="e">
        <f>_xll.qlIndexFixing(L28,E28,TRUE,AllTriggers)</f>
        <v>#NUM!</v>
      </c>
      <c r="I28" s="38"/>
      <c r="J28" s="38"/>
      <c r="K28" s="41"/>
      <c r="L28" s="30" t="str">
        <f>_xll.qlSwapIndex(,"BBSW",C28,SettlementDays,Currency,Calendar,FixedLegTenor,FixedLegBDC,FixedLegDayCounter,IborIndex,DiscountingCurve,,Trigger)</f>
        <v>obj_002cd#0000</v>
      </c>
      <c r="M28" s="85"/>
      <c r="N28" s="91"/>
      <c r="O28" s="85"/>
      <c r="P28" s="91"/>
      <c r="Q28" s="41"/>
      <c r="R28" s="41"/>
      <c r="S28" s="2"/>
      <c r="T28" s="2"/>
      <c r="U28" s="2"/>
      <c r="V28" s="2"/>
      <c r="W28" s="2"/>
      <c r="X28" s="2"/>
      <c r="Y28" s="2"/>
    </row>
    <row r="29" spans="1:25" x14ac:dyDescent="0.2">
      <c r="A29" s="91"/>
      <c r="B29" s="21"/>
      <c r="C29" s="21" t="s">
        <v>25</v>
      </c>
      <c r="D29" s="29" t="s">
        <v>64</v>
      </c>
      <c r="E29" s="48">
        <f t="shared" ref="E29:E30" si="3">EvaluationDate</f>
        <v>42354</v>
      </c>
      <c r="F29" s="48">
        <f>_xll.qlInterestRateIndexValueDate(L29,E29,Trigger)</f>
        <v>42355</v>
      </c>
      <c r="G29" s="48">
        <f>_xll.qlInterestRateIndexMaturity(L29,F29,Trigger)</f>
        <v>42723</v>
      </c>
      <c r="H29" s="47" t="e">
        <f>_xll.qlIndexFixing(L29,E29,TRUE,AllTriggers)</f>
        <v>#NUM!</v>
      </c>
      <c r="I29" s="38" t="str">
        <f>Contribution!S29</f>
        <v>AUD6M1Y=</v>
      </c>
      <c r="J29" s="55"/>
      <c r="K29" s="41"/>
      <c r="L29" s="30" t="str">
        <f>_xll.qlSwapIndex(,"BBSW",C29,SettlementDays,Currency,Calendar,FixedLegTenor,FixedLegBDC,FixedLegDayCounter,IborIndex,DiscountingCurve,,Trigger)</f>
        <v>obj_002b4#0000</v>
      </c>
      <c r="M29" s="85"/>
      <c r="N29" s="57"/>
      <c r="O29" s="4"/>
      <c r="P29" s="57"/>
      <c r="Q29" s="41"/>
      <c r="R29" s="41"/>
      <c r="S29" s="2"/>
      <c r="T29" s="2"/>
      <c r="U29" s="2"/>
      <c r="V29" s="2"/>
      <c r="W29" s="2"/>
      <c r="X29" s="2"/>
      <c r="Y29" s="2"/>
    </row>
    <row r="30" spans="1:25" x14ac:dyDescent="0.2">
      <c r="A30" s="91"/>
      <c r="B30" s="21"/>
      <c r="C30" s="21" t="s">
        <v>67</v>
      </c>
      <c r="D30" s="29" t="s">
        <v>64</v>
      </c>
      <c r="E30" s="48">
        <f t="shared" si="3"/>
        <v>42354</v>
      </c>
      <c r="F30" s="48">
        <f>_xll.qlInterestRateIndexValueDate(L30,E30,Trigger)</f>
        <v>42355</v>
      </c>
      <c r="G30" s="48">
        <f>_xll.qlInterestRateIndexMaturity(L30,F30,Trigger)</f>
        <v>42905</v>
      </c>
      <c r="H30" s="47" t="e">
        <f>_xll.qlIndexFixing(L30,E30,TRUE,AllTriggers)</f>
        <v>#NUM!</v>
      </c>
      <c r="I30" s="38"/>
      <c r="J30" s="55"/>
      <c r="K30" s="41"/>
      <c r="L30" s="30" t="str">
        <f>_xll.qlSwapIndex(,"BBSW",C30,SettlementDays,Currency,Calendar,FixedLegTenor,FixedLegBDC,FixedLegDayCounter,IborIndex,DiscountingCurve,,Trigger)</f>
        <v>obj_002ba#0000</v>
      </c>
      <c r="M30" s="85"/>
      <c r="N30" s="57"/>
      <c r="O30" s="4"/>
      <c r="P30" s="57"/>
      <c r="Q30" s="41"/>
      <c r="R30" s="41"/>
      <c r="S30" s="2"/>
      <c r="T30" s="2"/>
      <c r="U30" s="2"/>
      <c r="V30" s="2"/>
      <c r="W30" s="2"/>
      <c r="X30" s="2"/>
      <c r="Y30" s="2"/>
    </row>
    <row r="31" spans="1:25" x14ac:dyDescent="0.2">
      <c r="A31" s="91"/>
      <c r="B31" s="21"/>
      <c r="C31" s="21" t="s">
        <v>26</v>
      </c>
      <c r="D31" s="29" t="s">
        <v>64</v>
      </c>
      <c r="E31" s="48">
        <f t="shared" ref="E31:E44" si="4">EvaluationDate</f>
        <v>42354</v>
      </c>
      <c r="F31" s="48">
        <f>_xll.qlInterestRateIndexValueDate(L31,E31,Trigger)</f>
        <v>42355</v>
      </c>
      <c r="G31" s="48">
        <f>_xll.qlInterestRateIndexMaturity(L31,F31,Trigger)</f>
        <v>43087</v>
      </c>
      <c r="H31" s="47" t="e">
        <f>_xll.qlIndexFixing(L31,E31,TRUE,AllTriggers)</f>
        <v>#NUM!</v>
      </c>
      <c r="I31" s="38" t="str">
        <f>Contribution!S31</f>
        <v>AUD6M2Y=</v>
      </c>
      <c r="J31" s="55"/>
      <c r="K31" s="41"/>
      <c r="L31" s="30" t="str">
        <f>_xll.qlSwapIndex(,"BBSW",C31,SettlementDays,Currency,Calendar,FixedLegTenor,FixedLegBDC,FixedLegDayCounter,IborIndex,DiscountingCurve,,Trigger)</f>
        <v>obj_002ee#0000</v>
      </c>
      <c r="M31" s="85"/>
      <c r="N31" s="57"/>
      <c r="O31" s="4"/>
      <c r="P31" s="57"/>
      <c r="Q31" s="41"/>
      <c r="R31" s="41"/>
      <c r="S31" s="2"/>
      <c r="T31" s="2"/>
      <c r="U31" s="2"/>
      <c r="V31" s="2"/>
      <c r="W31" s="2"/>
      <c r="X31" s="2"/>
      <c r="Y31" s="2"/>
    </row>
    <row r="32" spans="1:25" x14ac:dyDescent="0.2">
      <c r="A32" s="91"/>
      <c r="B32" s="21"/>
      <c r="C32" s="21" t="s">
        <v>27</v>
      </c>
      <c r="D32" s="29" t="s">
        <v>64</v>
      </c>
      <c r="E32" s="48">
        <f t="shared" si="4"/>
        <v>42354</v>
      </c>
      <c r="F32" s="48">
        <f>_xll.qlInterestRateIndexValueDate(L32,E32,Trigger)</f>
        <v>42355</v>
      </c>
      <c r="G32" s="48">
        <f>_xll.qlInterestRateIndexMaturity(L32,F32,Trigger)</f>
        <v>43451</v>
      </c>
      <c r="H32" s="47" t="e">
        <f>_xll.qlIndexFixing(L32,E32,TRUE,AllTriggers)</f>
        <v>#NUM!</v>
      </c>
      <c r="I32" s="38" t="str">
        <f>Contribution!S32</f>
        <v>AUD6M3Y=</v>
      </c>
      <c r="J32" s="55"/>
      <c r="K32" s="41"/>
      <c r="L32" s="30" t="str">
        <f>_xll.qlSwapIndex(,"BBSW",C32,SettlementDays,Currency,Calendar,FixedLegTenor,FixedLegBDC,FixedLegDayCounter,IborIndex,DiscountingCurve,,Trigger)</f>
        <v>obj_002d2#0000</v>
      </c>
      <c r="M32" s="85"/>
      <c r="N32" s="57"/>
      <c r="O32" s="4"/>
      <c r="P32" s="57"/>
      <c r="Q32" s="41"/>
      <c r="R32" s="41"/>
      <c r="S32" s="2"/>
      <c r="T32" s="2"/>
      <c r="U32" s="2"/>
      <c r="V32" s="2"/>
      <c r="W32" s="2"/>
      <c r="X32" s="2"/>
      <c r="Y32" s="2"/>
    </row>
    <row r="33" spans="1:25" x14ac:dyDescent="0.2">
      <c r="A33" s="91"/>
      <c r="B33" s="21"/>
      <c r="C33" s="21" t="s">
        <v>28</v>
      </c>
      <c r="D33" s="29" t="s">
        <v>64</v>
      </c>
      <c r="E33" s="48">
        <f t="shared" si="4"/>
        <v>42354</v>
      </c>
      <c r="F33" s="48">
        <f>_xll.qlInterestRateIndexValueDate(L33,E33,Trigger)</f>
        <v>42355</v>
      </c>
      <c r="G33" s="48">
        <f>_xll.qlInterestRateIndexMaturity(L33,F33,Trigger)</f>
        <v>43816</v>
      </c>
      <c r="H33" s="47" t="e">
        <f>_xll.qlIndexFixing(L33,E33,TRUE,AllTriggers)</f>
        <v>#NUM!</v>
      </c>
      <c r="I33" s="38" t="str">
        <f>Contribution!S33</f>
        <v>AUD6M4Y=</v>
      </c>
      <c r="J33" s="55" t="str">
        <f t="shared" ref="J33:J44" si="5">Currency&amp;"SM6AB"&amp;C33&amp;"=ICAA"</f>
        <v>AUDSM6AB4Y=ICAA</v>
      </c>
      <c r="K33" s="41"/>
      <c r="L33" s="30" t="str">
        <f>_xll.qlSwapIndex(,"BBSW",C33,SettlementDays,Currency,Calendar,FixedLegTenor,FixedLegBDC,FixedLegDayCounter,IborIndex,DiscountingCurve,,Trigger)</f>
        <v>obj_002f3#0000</v>
      </c>
      <c r="M33" s="85"/>
      <c r="N33" s="57"/>
      <c r="O33" s="4"/>
      <c r="P33" s="57"/>
      <c r="Q33" s="41"/>
      <c r="R33" s="41"/>
      <c r="S33" s="2"/>
      <c r="T33" s="2"/>
      <c r="U33" s="2"/>
      <c r="V33" s="2"/>
      <c r="W33" s="2"/>
      <c r="X33" s="2"/>
      <c r="Y33" s="2"/>
    </row>
    <row r="34" spans="1:25" x14ac:dyDescent="0.2">
      <c r="A34" s="91"/>
      <c r="B34" s="21"/>
      <c r="C34" s="21" t="s">
        <v>29</v>
      </c>
      <c r="D34" s="29" t="s">
        <v>64</v>
      </c>
      <c r="E34" s="48">
        <f t="shared" si="4"/>
        <v>42354</v>
      </c>
      <c r="F34" s="48">
        <f>_xll.qlInterestRateIndexValueDate(L34,E34,Trigger)</f>
        <v>42355</v>
      </c>
      <c r="G34" s="48">
        <f>_xll.qlInterestRateIndexMaturity(L34,F34,Trigger)</f>
        <v>44182</v>
      </c>
      <c r="H34" s="47" t="e">
        <f>_xll.qlIndexFixing(L34,E34,TRUE,AllTriggers)</f>
        <v>#NUM!</v>
      </c>
      <c r="I34" s="38" t="str">
        <f>Contribution!S34</f>
        <v>AUD6M5Y=</v>
      </c>
      <c r="J34" s="38" t="str">
        <f t="shared" si="5"/>
        <v>AUDSM6AB5Y=ICAA</v>
      </c>
      <c r="K34" s="41"/>
      <c r="L34" s="30" t="str">
        <f>_xll.qlSwapIndex(,"BBSW",C34,SettlementDays,Currency,Calendar,FixedLegTenor,FixedLegBDC,FixedLegDayCounter,IborIndex,DiscountingCurve,,Trigger)</f>
        <v>obj_002aa#0000</v>
      </c>
      <c r="M34" s="85"/>
      <c r="N34" s="57"/>
      <c r="O34" s="4"/>
      <c r="P34" s="57"/>
      <c r="Q34" s="41"/>
      <c r="R34" s="41"/>
      <c r="S34" s="2"/>
      <c r="T34" s="2"/>
      <c r="U34" s="2"/>
      <c r="V34" s="2"/>
      <c r="W34" s="2"/>
      <c r="X34" s="2"/>
      <c r="Y34" s="2"/>
    </row>
    <row r="35" spans="1:25" x14ac:dyDescent="0.2">
      <c r="A35" s="91"/>
      <c r="B35" s="21"/>
      <c r="C35" s="21" t="s">
        <v>30</v>
      </c>
      <c r="D35" s="29" t="s">
        <v>64</v>
      </c>
      <c r="E35" s="48">
        <f t="shared" si="4"/>
        <v>42354</v>
      </c>
      <c r="F35" s="48">
        <f>_xll.qlInterestRateIndexValueDate(L35,E35,Trigger)</f>
        <v>42355</v>
      </c>
      <c r="G35" s="48">
        <f>_xll.qlInterestRateIndexMaturity(L35,F35,Trigger)</f>
        <v>44547</v>
      </c>
      <c r="H35" s="47" t="e">
        <f>_xll.qlIndexFixing(L35,E35,TRUE,AllTriggers)</f>
        <v>#NUM!</v>
      </c>
      <c r="I35" s="38"/>
      <c r="J35" s="38" t="str">
        <f t="shared" si="5"/>
        <v>AUDSM6AB6Y=ICAA</v>
      </c>
      <c r="K35" s="41"/>
      <c r="L35" s="30" t="str">
        <f>_xll.qlSwapIndex(,"BBSW",C35,SettlementDays,Currency,Calendar,FixedLegTenor,FixedLegBDC,FixedLegDayCounter,IborIndex,DiscountingCurve,,Trigger)</f>
        <v>obj_002f8#0000</v>
      </c>
      <c r="M35" s="85"/>
      <c r="N35" s="57"/>
      <c r="O35" s="4"/>
      <c r="P35" s="57"/>
      <c r="Q35" s="41"/>
      <c r="R35" s="41"/>
      <c r="S35" s="2"/>
      <c r="T35" s="2"/>
      <c r="U35" s="2"/>
      <c r="V35" s="2"/>
      <c r="W35" s="2"/>
      <c r="X35" s="2"/>
      <c r="Y35" s="2"/>
    </row>
    <row r="36" spans="1:25" x14ac:dyDescent="0.2">
      <c r="A36" s="91"/>
      <c r="B36" s="21"/>
      <c r="C36" s="21" t="s">
        <v>31</v>
      </c>
      <c r="D36" s="29" t="s">
        <v>64</v>
      </c>
      <c r="E36" s="48">
        <f t="shared" si="4"/>
        <v>42354</v>
      </c>
      <c r="F36" s="48">
        <f>_xll.qlInterestRateIndexValueDate(L36,E36,Trigger)</f>
        <v>42355</v>
      </c>
      <c r="G36" s="48">
        <f>_xll.qlInterestRateIndexMaturity(L36,F36,Trigger)</f>
        <v>44914</v>
      </c>
      <c r="H36" s="47" t="e">
        <f>_xll.qlIndexFixing(L36,E36,TRUE,AllTriggers)</f>
        <v>#NUM!</v>
      </c>
      <c r="I36" s="38" t="str">
        <f>Contribution!S36</f>
        <v>AUD6M7Y=</v>
      </c>
      <c r="J36" s="38" t="str">
        <f t="shared" si="5"/>
        <v>AUDSM6AB7Y=ICAA</v>
      </c>
      <c r="K36" s="41"/>
      <c r="L36" s="30" t="str">
        <f>_xll.qlSwapIndex(,"BBSW",C36,SettlementDays,Currency,Calendar,FixedLegTenor,FixedLegBDC,FixedLegDayCounter,IborIndex,DiscountingCurve,,Trigger)</f>
        <v>obj_002ef#0000</v>
      </c>
      <c r="M36" s="85"/>
      <c r="N36" s="57"/>
      <c r="O36" s="4"/>
      <c r="P36" s="57"/>
      <c r="Q36" s="41"/>
      <c r="R36" s="41"/>
      <c r="S36" s="2"/>
      <c r="T36" s="2"/>
      <c r="U36" s="2"/>
      <c r="V36" s="2"/>
      <c r="W36" s="2"/>
      <c r="X36" s="2"/>
      <c r="Y36" s="2"/>
    </row>
    <row r="37" spans="1:25" x14ac:dyDescent="0.2">
      <c r="A37" s="91"/>
      <c r="B37" s="21"/>
      <c r="C37" s="21" t="s">
        <v>32</v>
      </c>
      <c r="D37" s="29" t="s">
        <v>64</v>
      </c>
      <c r="E37" s="48">
        <f t="shared" si="4"/>
        <v>42354</v>
      </c>
      <c r="F37" s="48">
        <f>_xll.qlInterestRateIndexValueDate(L37,E37,Trigger)</f>
        <v>42355</v>
      </c>
      <c r="G37" s="48">
        <f>_xll.qlInterestRateIndexMaturity(L37,F37,Trigger)</f>
        <v>45278</v>
      </c>
      <c r="H37" s="47" t="e">
        <f>_xll.qlIndexFixing(L37,E37,TRUE,AllTriggers)</f>
        <v>#NUM!</v>
      </c>
      <c r="I37" s="38"/>
      <c r="J37" s="38" t="str">
        <f t="shared" si="5"/>
        <v>AUDSM6AB8Y=ICAA</v>
      </c>
      <c r="K37" s="41"/>
      <c r="L37" s="30" t="str">
        <f>_xll.qlSwapIndex(,"BBSW",C37,SettlementDays,Currency,Calendar,FixedLegTenor,FixedLegBDC,FixedLegDayCounter,IborIndex,DiscountingCurve,,Trigger)</f>
        <v>obj_002c3#0000</v>
      </c>
      <c r="M37" s="85"/>
      <c r="N37" s="57"/>
      <c r="O37" s="4"/>
      <c r="P37" s="57"/>
      <c r="Q37" s="41"/>
      <c r="R37" s="41"/>
      <c r="S37" s="2"/>
      <c r="T37" s="2"/>
      <c r="U37" s="2"/>
      <c r="V37" s="2"/>
      <c r="W37" s="2"/>
      <c r="X37" s="2"/>
      <c r="Y37" s="2"/>
    </row>
    <row r="38" spans="1:25" x14ac:dyDescent="0.2">
      <c r="A38" s="91"/>
      <c r="B38" s="21"/>
      <c r="C38" s="21" t="s">
        <v>33</v>
      </c>
      <c r="D38" s="29" t="s">
        <v>64</v>
      </c>
      <c r="E38" s="48">
        <f t="shared" si="4"/>
        <v>42354</v>
      </c>
      <c r="F38" s="48">
        <f>_xll.qlInterestRateIndexValueDate(L38,E38,Trigger)</f>
        <v>42355</v>
      </c>
      <c r="G38" s="48">
        <f>_xll.qlInterestRateIndexMaturity(L38,F38,Trigger)</f>
        <v>45643</v>
      </c>
      <c r="H38" s="47" t="e">
        <f>_xll.qlIndexFixing(L38,E38,TRUE,AllTriggers)</f>
        <v>#NUM!</v>
      </c>
      <c r="I38" s="38"/>
      <c r="J38" s="38" t="str">
        <f t="shared" si="5"/>
        <v>AUDSM6AB9Y=ICAA</v>
      </c>
      <c r="K38" s="41"/>
      <c r="L38" s="30" t="str">
        <f>_xll.qlSwapIndex(,"BBSW",C38,SettlementDays,Currency,Calendar,FixedLegTenor,FixedLegBDC,FixedLegDayCounter,IborIndex,DiscountingCurve,,Trigger)</f>
        <v>obj_002dd#0000</v>
      </c>
      <c r="M38" s="85"/>
      <c r="N38" s="57"/>
      <c r="O38" s="84"/>
      <c r="P38" s="83"/>
      <c r="Q38" s="41"/>
      <c r="R38" s="41"/>
      <c r="S38" s="2"/>
      <c r="T38" s="2"/>
      <c r="U38" s="2"/>
      <c r="V38" s="2"/>
      <c r="W38" s="2"/>
      <c r="X38" s="2"/>
      <c r="Y38" s="2"/>
    </row>
    <row r="39" spans="1:25" x14ac:dyDescent="0.2">
      <c r="A39" s="91"/>
      <c r="B39" s="21"/>
      <c r="C39" s="21" t="s">
        <v>34</v>
      </c>
      <c r="D39" s="29" t="s">
        <v>64</v>
      </c>
      <c r="E39" s="48">
        <f t="shared" si="4"/>
        <v>42354</v>
      </c>
      <c r="F39" s="48">
        <f>_xll.qlInterestRateIndexValueDate(L39,E39,Trigger)</f>
        <v>42355</v>
      </c>
      <c r="G39" s="48">
        <f>_xll.qlInterestRateIndexMaturity(L39,F39,Trigger)</f>
        <v>46008</v>
      </c>
      <c r="H39" s="47" t="e">
        <f>_xll.qlIndexFixing(L39,E39,TRUE,AllTriggers)</f>
        <v>#NUM!</v>
      </c>
      <c r="I39" s="38" t="str">
        <f>Contribution!S39</f>
        <v>AUD6M10Y=</v>
      </c>
      <c r="J39" s="38" t="str">
        <f t="shared" si="5"/>
        <v>AUDSM6AB10Y=ICAA</v>
      </c>
      <c r="K39" s="41"/>
      <c r="L39" s="30" t="str">
        <f>_xll.qlSwapIndex(,"BBSW",C39,SettlementDays,Currency,Calendar,FixedLegTenor,FixedLegBDC,FixedLegDayCounter,IborIndex,DiscountingCurve,,Trigger)</f>
        <v>obj_002ac#0000</v>
      </c>
      <c r="M39" s="85"/>
      <c r="N39" s="57"/>
      <c r="O39" s="4"/>
      <c r="P39" s="57"/>
      <c r="Q39" s="41"/>
      <c r="R39" s="41"/>
      <c r="S39" s="2"/>
      <c r="T39" s="2"/>
      <c r="U39" s="2"/>
      <c r="V39" s="2"/>
      <c r="W39" s="2"/>
      <c r="X39" s="2"/>
      <c r="Y39" s="2"/>
    </row>
    <row r="40" spans="1:25" x14ac:dyDescent="0.2">
      <c r="A40" s="91"/>
      <c r="B40" s="21"/>
      <c r="C40" s="21" t="s">
        <v>35</v>
      </c>
      <c r="D40" s="29" t="s">
        <v>64</v>
      </c>
      <c r="E40" s="48">
        <f t="shared" si="4"/>
        <v>42354</v>
      </c>
      <c r="F40" s="48">
        <f>_xll.qlInterestRateIndexValueDate(L40,E40,Trigger)</f>
        <v>42355</v>
      </c>
      <c r="G40" s="48">
        <f>_xll.qlInterestRateIndexMaturity(L40,F40,Trigger)</f>
        <v>46738</v>
      </c>
      <c r="H40" s="47" t="e">
        <f>_xll.qlIndexFixing(L40,E40,TRUE,AllTriggers)</f>
        <v>#NUM!</v>
      </c>
      <c r="I40" s="38" t="str">
        <f>Contribution!S40</f>
        <v>AUD6M12Y=</v>
      </c>
      <c r="J40" s="38" t="str">
        <f t="shared" si="5"/>
        <v>AUDSM6AB12Y=ICAA</v>
      </c>
      <c r="K40" s="41"/>
      <c r="L40" s="30" t="str">
        <f>_xll.qlSwapIndex(,"BBSW",C40,SettlementDays,Currency,Calendar,FixedLegTenor,FixedLegBDC,FixedLegDayCounter,IborIndex,DiscountingCurve,,Trigger)</f>
        <v>obj_002e2#0000</v>
      </c>
      <c r="M40" s="85"/>
      <c r="N40" s="57"/>
      <c r="O40" s="4"/>
      <c r="P40" s="57"/>
      <c r="Q40" s="84"/>
      <c r="R40" s="84"/>
      <c r="S40" s="84"/>
      <c r="T40" s="2"/>
      <c r="U40" s="2"/>
      <c r="V40" s="2"/>
      <c r="W40" s="2"/>
      <c r="X40" s="2"/>
      <c r="Y40" s="2"/>
    </row>
    <row r="41" spans="1:25" x14ac:dyDescent="0.2">
      <c r="A41" s="91"/>
      <c r="B41" s="21"/>
      <c r="C41" s="21" t="s">
        <v>36</v>
      </c>
      <c r="D41" s="29" t="s">
        <v>64</v>
      </c>
      <c r="E41" s="48">
        <f t="shared" si="4"/>
        <v>42354</v>
      </c>
      <c r="F41" s="48">
        <f>_xll.qlInterestRateIndexValueDate(L41,E41,Trigger)</f>
        <v>42355</v>
      </c>
      <c r="G41" s="48">
        <f>_xll.qlInterestRateIndexMaturity(L41,F41,Trigger)</f>
        <v>47834</v>
      </c>
      <c r="H41" s="47" t="e">
        <f>_xll.qlIndexFixing(L41,E41,TRUE,AllTriggers)</f>
        <v>#NUM!</v>
      </c>
      <c r="I41" s="38" t="str">
        <f>Contribution!S41</f>
        <v>AUD6M15Y=</v>
      </c>
      <c r="J41" s="38" t="str">
        <f t="shared" si="5"/>
        <v>AUDSM6AB15Y=ICAA</v>
      </c>
      <c r="K41" s="41"/>
      <c r="L41" s="30" t="str">
        <f>_xll.qlSwapIndex(,"BBSW",C41,SettlementDays,Currency,Calendar,FixedLegTenor,FixedLegBDC,FixedLegDayCounter,IborIndex,DiscountingCurve,,Trigger)</f>
        <v>obj_002d9#0000</v>
      </c>
      <c r="M41" s="85"/>
      <c r="N41" s="57"/>
      <c r="O41" s="4"/>
      <c r="P41" s="57"/>
      <c r="Q41" s="41"/>
      <c r="R41" s="41"/>
      <c r="S41" s="2"/>
      <c r="T41" s="2"/>
      <c r="U41" s="2"/>
      <c r="V41" s="2"/>
      <c r="W41" s="2"/>
      <c r="X41" s="2"/>
      <c r="Y41" s="2"/>
    </row>
    <row r="42" spans="1:25" x14ac:dyDescent="0.2">
      <c r="A42" s="91"/>
      <c r="B42" s="21"/>
      <c r="C42" s="21" t="s">
        <v>37</v>
      </c>
      <c r="D42" s="29" t="s">
        <v>64</v>
      </c>
      <c r="E42" s="48">
        <f t="shared" si="4"/>
        <v>42354</v>
      </c>
      <c r="F42" s="48">
        <f>_xll.qlInterestRateIndexValueDate(L42,E42,Trigger)</f>
        <v>42355</v>
      </c>
      <c r="G42" s="48">
        <f>_xll.qlInterestRateIndexMaturity(L42,F42,Trigger)</f>
        <v>49660</v>
      </c>
      <c r="H42" s="47" t="e">
        <f>_xll.qlIndexFixing(L42,E42,TRUE,AllTriggers)</f>
        <v>#NUM!</v>
      </c>
      <c r="I42" s="38" t="str">
        <f>Contribution!S42</f>
        <v>AUD6M20Y=</v>
      </c>
      <c r="J42" s="38" t="str">
        <f t="shared" si="5"/>
        <v>AUDSM6AB20Y=ICAA</v>
      </c>
      <c r="K42" s="41"/>
      <c r="L42" s="30" t="str">
        <f>_xll.qlSwapIndex(,"BBSW",C42,SettlementDays,Currency,Calendar,FixedLegTenor,FixedLegBDC,FixedLegDayCounter,IborIndex,DiscountingCurve,,Trigger)</f>
        <v>obj_002b1#0000</v>
      </c>
      <c r="M42" s="57"/>
      <c r="N42" s="57"/>
      <c r="O42" s="41"/>
      <c r="P42" s="57"/>
      <c r="Q42" s="41"/>
      <c r="R42" s="41"/>
      <c r="S42" s="2"/>
      <c r="T42" s="2"/>
      <c r="U42" s="2"/>
      <c r="V42" s="2"/>
      <c r="W42" s="2"/>
      <c r="X42" s="2"/>
      <c r="Y42" s="2"/>
    </row>
    <row r="43" spans="1:25" x14ac:dyDescent="0.2">
      <c r="A43" s="91"/>
      <c r="B43" s="21"/>
      <c r="C43" s="21" t="s">
        <v>38</v>
      </c>
      <c r="D43" s="29" t="s">
        <v>64</v>
      </c>
      <c r="E43" s="48">
        <f t="shared" si="4"/>
        <v>42354</v>
      </c>
      <c r="F43" s="48">
        <f>_xll.qlInterestRateIndexValueDate(L43,E43,Trigger)</f>
        <v>42355</v>
      </c>
      <c r="G43" s="48">
        <f>_xll.qlInterestRateIndexMaturity(L43,F43,Trigger)</f>
        <v>51487</v>
      </c>
      <c r="H43" s="47" t="e">
        <f>_xll.qlIndexFixing(L43,E43,TRUE,AllTriggers)</f>
        <v>#NUM!</v>
      </c>
      <c r="I43" s="38" t="str">
        <f>Contribution!S43</f>
        <v>AUD6M25Y=</v>
      </c>
      <c r="J43" s="38" t="str">
        <f t="shared" si="5"/>
        <v>AUDSM6AB25Y=ICAA</v>
      </c>
      <c r="K43" s="41"/>
      <c r="L43" s="30" t="str">
        <f>_xll.qlSwapIndex(,"BBSW",C43,SettlementDays,Currency,Calendar,FixedLegTenor,FixedLegBDC,FixedLegDayCounter,IborIndex,DiscountingCurve,,Trigger)</f>
        <v>obj_002b8#0000</v>
      </c>
      <c r="M43" s="57"/>
      <c r="N43" s="57"/>
      <c r="O43" s="41"/>
      <c r="P43" s="41"/>
      <c r="Q43" s="41"/>
      <c r="R43" s="41"/>
      <c r="S43" s="2"/>
      <c r="T43" s="2"/>
      <c r="U43" s="2"/>
      <c r="V43" s="2"/>
      <c r="W43" s="2"/>
      <c r="X43" s="2"/>
      <c r="Y43" s="2"/>
    </row>
    <row r="44" spans="1:25" x14ac:dyDescent="0.2">
      <c r="A44" s="91"/>
      <c r="B44" s="22"/>
      <c r="C44" s="22" t="s">
        <v>39</v>
      </c>
      <c r="D44" s="31" t="s">
        <v>64</v>
      </c>
      <c r="E44" s="49">
        <f t="shared" si="4"/>
        <v>42354</v>
      </c>
      <c r="F44" s="49">
        <f>_xll.qlInterestRateIndexValueDate(L44,E44,Trigger)</f>
        <v>42355</v>
      </c>
      <c r="G44" s="49">
        <f>_xll.qlInterestRateIndexMaturity(L44,F44,Trigger)</f>
        <v>53314</v>
      </c>
      <c r="H44" s="50" t="e">
        <f>_xll.qlIndexFixing(L44,E44,TRUE,AllTriggers)</f>
        <v>#NUM!</v>
      </c>
      <c r="I44" s="40" t="str">
        <f>Contribution!S44</f>
        <v>AUD6M30Y=</v>
      </c>
      <c r="J44" s="40" t="str">
        <f t="shared" si="5"/>
        <v>AUDSM6AB30Y=ICAA</v>
      </c>
      <c r="K44" s="41"/>
      <c r="L44" s="32" t="str">
        <f>_xll.qlSwapIndex(,"BBSW",C44,SettlementDays,Currency,Calendar,FixedLegTenor,FixedLegBDC,FixedLegDayCounter,IborIndex,DiscountingCurve,,Trigger)</f>
        <v>obj_002de#0000</v>
      </c>
      <c r="M44" s="6"/>
      <c r="N44" s="6"/>
      <c r="O44" s="2"/>
      <c r="P44" s="2"/>
      <c r="Q44" s="57"/>
      <c r="R44" s="41"/>
      <c r="S44" s="2"/>
      <c r="T44" s="2"/>
      <c r="U44" s="2"/>
      <c r="V44" s="2"/>
      <c r="W44" s="2"/>
      <c r="X44" s="2"/>
      <c r="Y44" s="2"/>
    </row>
    <row r="45" spans="1:25" x14ac:dyDescent="0.2">
      <c r="A45" s="91"/>
      <c r="B45" s="91"/>
      <c r="C45" s="3"/>
      <c r="D45" s="6"/>
      <c r="E45" s="6"/>
      <c r="F45" s="6"/>
      <c r="G45" s="6"/>
      <c r="H45" s="6"/>
      <c r="I45" s="6"/>
      <c r="J45" s="6"/>
      <c r="K45" s="41"/>
      <c r="L45" s="6"/>
      <c r="M45" s="6"/>
      <c r="N45" s="6"/>
      <c r="O45" s="2"/>
      <c r="P45" s="2"/>
      <c r="Q45" s="2"/>
      <c r="R45" s="41"/>
      <c r="S45" s="2"/>
      <c r="T45" s="2"/>
      <c r="U45" s="2"/>
      <c r="V45" s="2"/>
      <c r="W45" s="2"/>
      <c r="X45" s="2"/>
      <c r="Y45" s="2"/>
    </row>
    <row r="46" spans="1:25" x14ac:dyDescent="0.2">
      <c r="A46" s="91"/>
      <c r="B46" s="91"/>
      <c r="C46" s="3"/>
      <c r="D46" s="6"/>
      <c r="E46" s="6"/>
      <c r="F46" s="6"/>
      <c r="G46" s="6"/>
      <c r="H46" s="6"/>
      <c r="I46" s="6"/>
      <c r="J46" s="6"/>
      <c r="K46" s="41"/>
      <c r="L46" s="6"/>
      <c r="M46" s="6"/>
      <c r="N46" s="6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">
      <c r="A47" s="91"/>
      <c r="B47" s="91"/>
      <c r="C47" s="3"/>
      <c r="D47" s="6"/>
      <c r="E47" s="6"/>
      <c r="F47" s="6"/>
      <c r="G47" s="6"/>
      <c r="H47" s="6"/>
      <c r="I47" s="6"/>
      <c r="J47" s="6"/>
      <c r="K47" s="57"/>
      <c r="L47" s="6"/>
      <c r="M47" s="6"/>
      <c r="N47" s="6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">
      <c r="A48" s="6"/>
      <c r="B48" s="6"/>
      <c r="C48" s="3"/>
      <c r="D48" s="6"/>
      <c r="E48" s="6"/>
      <c r="F48" s="6"/>
      <c r="G48" s="6"/>
      <c r="H48" s="6"/>
      <c r="I48" s="6"/>
      <c r="J48" s="6"/>
      <c r="K48" s="57"/>
      <c r="L48" s="57"/>
      <c r="M48" s="6"/>
      <c r="N48" s="6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">
      <c r="A49" s="6"/>
      <c r="B49" s="6"/>
      <c r="C49" s="3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">
      <c r="A50" s="6"/>
      <c r="B50" s="6"/>
      <c r="C50" s="3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">
      <c r="A51" s="6"/>
      <c r="B51" s="6"/>
      <c r="C51" s="3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x14ac:dyDescent="0.2">
      <c r="A52" s="6"/>
      <c r="B52" s="6"/>
      <c r="C52" s="3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x14ac:dyDescent="0.2">
      <c r="A53" s="6"/>
      <c r="B53" s="6"/>
      <c r="C53" s="3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x14ac:dyDescent="0.2">
      <c r="A54" s="6"/>
      <c r="B54" s="6"/>
      <c r="C54" s="3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x14ac:dyDescent="0.2">
      <c r="A55" s="6"/>
      <c r="B55" s="6"/>
      <c r="C55" s="3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x14ac:dyDescent="0.2">
      <c r="A56" s="6"/>
      <c r="B56" s="6"/>
      <c r="C56" s="3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x14ac:dyDescent="0.2">
      <c r="A57" s="6"/>
      <c r="B57" s="6"/>
      <c r="C57" s="3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x14ac:dyDescent="0.2">
      <c r="A58" s="6"/>
      <c r="B58" s="6"/>
      <c r="C58" s="3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x14ac:dyDescent="0.2">
      <c r="A59" s="6"/>
      <c r="B59" s="6"/>
      <c r="C59" s="3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x14ac:dyDescent="0.2">
      <c r="A60" s="6"/>
      <c r="B60" s="6"/>
      <c r="C60" s="3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x14ac:dyDescent="0.2">
      <c r="A61" s="6"/>
      <c r="B61" s="6"/>
      <c r="C61" s="3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x14ac:dyDescent="0.2">
      <c r="A62" s="6"/>
      <c r="B62" s="6"/>
      <c r="C62" s="3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x14ac:dyDescent="0.2">
      <c r="A63" s="6"/>
      <c r="B63" s="6"/>
      <c r="C63" s="3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x14ac:dyDescent="0.2">
      <c r="A64" s="6"/>
      <c r="B64" s="6"/>
      <c r="C64" s="3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x14ac:dyDescent="0.2">
      <c r="A65" s="6"/>
      <c r="B65" s="6"/>
      <c r="C65" s="3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x14ac:dyDescent="0.2">
      <c r="A66" s="6"/>
      <c r="B66" s="6"/>
      <c r="C66" s="3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x14ac:dyDescent="0.2">
      <c r="A67" s="6"/>
      <c r="B67" s="6"/>
      <c r="C67" s="3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x14ac:dyDescent="0.2">
      <c r="A68" s="6"/>
      <c r="B68" s="6"/>
      <c r="C68" s="3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x14ac:dyDescent="0.2">
      <c r="A69" s="6"/>
      <c r="B69" s="6"/>
      <c r="C69" s="3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x14ac:dyDescent="0.2">
      <c r="A70" s="6"/>
      <c r="B70" s="6"/>
      <c r="C70" s="3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x14ac:dyDescent="0.2">
      <c r="A71" s="6"/>
      <c r="B71" s="6"/>
      <c r="C71" s="3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x14ac:dyDescent="0.2">
      <c r="A72" s="6"/>
      <c r="B72" s="6"/>
      <c r="C72" s="3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x14ac:dyDescent="0.2">
      <c r="A73" s="6"/>
      <c r="B73" s="6"/>
      <c r="C73" s="3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x14ac:dyDescent="0.2">
      <c r="A74" s="6"/>
      <c r="B74" s="6"/>
      <c r="C74" s="3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x14ac:dyDescent="0.2">
      <c r="A75" s="6"/>
      <c r="B75" s="6"/>
      <c r="C75" s="3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x14ac:dyDescent="0.2">
      <c r="A76" s="6"/>
      <c r="B76" s="6"/>
      <c r="C76" s="3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x14ac:dyDescent="0.2">
      <c r="A77" s="6"/>
      <c r="B77" s="6"/>
      <c r="C77" s="3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x14ac:dyDescent="0.2">
      <c r="A78" s="6"/>
      <c r="B78" s="6"/>
      <c r="C78" s="3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x14ac:dyDescent="0.2">
      <c r="A79" s="6"/>
      <c r="B79" s="6"/>
      <c r="C79" s="3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x14ac:dyDescent="0.2">
      <c r="A80" s="6"/>
      <c r="B80" s="6"/>
      <c r="C80" s="3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x14ac:dyDescent="0.2">
      <c r="A81" s="6"/>
      <c r="B81" s="6"/>
      <c r="C81" s="3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x14ac:dyDescent="0.2">
      <c r="A82" s="6"/>
      <c r="B82" s="6"/>
      <c r="C82" s="3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x14ac:dyDescent="0.2">
      <c r="A83" s="6"/>
      <c r="B83" s="6"/>
      <c r="C83" s="3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x14ac:dyDescent="0.2">
      <c r="A84" s="6"/>
      <c r="B84" s="6"/>
      <c r="C84" s="3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x14ac:dyDescent="0.2">
      <c r="A85" s="6"/>
      <c r="B85" s="6"/>
      <c r="C85" s="3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x14ac:dyDescent="0.2">
      <c r="A86" s="6"/>
      <c r="B86" s="6"/>
      <c r="C86" s="3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x14ac:dyDescent="0.2">
      <c r="A87" s="6"/>
      <c r="B87" s="6"/>
      <c r="C87" s="3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x14ac:dyDescent="0.2">
      <c r="A88" s="6"/>
      <c r="B88" s="6"/>
      <c r="C88" s="3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x14ac:dyDescent="0.2">
      <c r="A89" s="6"/>
      <c r="B89" s="6"/>
      <c r="C89" s="3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x14ac:dyDescent="0.2">
      <c r="A90" s="6"/>
      <c r="B90" s="6"/>
      <c r="C90" s="3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x14ac:dyDescent="0.2">
      <c r="A91" s="6"/>
      <c r="B91" s="6"/>
      <c r="C91" s="3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x14ac:dyDescent="0.2">
      <c r="A92" s="6"/>
      <c r="B92" s="6"/>
      <c r="C92" s="3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x14ac:dyDescent="0.2">
      <c r="A93" s="6"/>
      <c r="B93" s="6"/>
      <c r="C93" s="3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x14ac:dyDescent="0.2">
      <c r="A94" s="6"/>
      <c r="B94" s="6"/>
      <c r="C94" s="3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x14ac:dyDescent="0.2">
      <c r="A95" s="6"/>
      <c r="B95" s="6"/>
      <c r="C95" s="3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x14ac:dyDescent="0.2">
      <c r="A96" s="6"/>
      <c r="B96" s="6"/>
      <c r="C96" s="3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33" x14ac:dyDescent="0.2">
      <c r="A97" s="6"/>
      <c r="B97" s="6"/>
      <c r="C97" s="3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33" x14ac:dyDescent="0.2">
      <c r="A98" s="6"/>
      <c r="B98" s="6"/>
      <c r="C98" s="3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33" x14ac:dyDescent="0.2">
      <c r="A99" s="6"/>
      <c r="B99" s="6"/>
      <c r="C99" s="3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33" x14ac:dyDescent="0.2">
      <c r="A100" s="6"/>
      <c r="B100" s="6"/>
      <c r="C100" s="3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33" x14ac:dyDescent="0.2">
      <c r="A101" s="6"/>
      <c r="B101" s="6"/>
      <c r="C101" s="3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33" x14ac:dyDescent="0.2">
      <c r="A102" s="6"/>
      <c r="B102" s="6"/>
      <c r="C102" s="3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33" x14ac:dyDescent="0.2">
      <c r="A103" s="6"/>
      <c r="B103" s="6"/>
      <c r="C103" s="3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33" x14ac:dyDescent="0.2">
      <c r="A104" s="149"/>
      <c r="B104" s="149"/>
      <c r="C104" s="151"/>
      <c r="D104" s="149"/>
      <c r="E104" s="149"/>
      <c r="F104" s="149"/>
      <c r="G104" s="149"/>
      <c r="H104" s="149"/>
      <c r="I104" s="149"/>
      <c r="J104" s="149"/>
      <c r="K104" s="149"/>
      <c r="L104" s="149"/>
      <c r="M104" s="149"/>
      <c r="N104" s="149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D104" s="11"/>
      <c r="AE104" s="11"/>
      <c r="AF104" s="11"/>
      <c r="AG104" s="11"/>
    </row>
    <row r="105" spans="1:33" x14ac:dyDescent="0.2">
      <c r="A105" s="149"/>
      <c r="B105" s="149"/>
      <c r="C105" s="151"/>
      <c r="D105" s="149"/>
      <c r="E105" s="149"/>
      <c r="F105" s="149"/>
      <c r="G105" s="149"/>
      <c r="H105" s="149"/>
      <c r="I105" s="149"/>
      <c r="J105" s="149"/>
      <c r="K105" s="149"/>
      <c r="L105" s="149"/>
      <c r="M105" s="149"/>
      <c r="N105" s="149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D105" s="11"/>
      <c r="AE105" s="11"/>
      <c r="AF105" s="11"/>
      <c r="AG105" s="11"/>
    </row>
    <row r="106" spans="1:33" x14ac:dyDescent="0.2">
      <c r="A106" s="149"/>
      <c r="B106" s="149"/>
      <c r="C106" s="151"/>
      <c r="D106" s="149"/>
      <c r="E106" s="149"/>
      <c r="F106" s="149"/>
      <c r="G106" s="149"/>
      <c r="H106" s="149"/>
      <c r="I106" s="149"/>
      <c r="J106" s="149"/>
      <c r="K106" s="149"/>
      <c r="L106" s="149"/>
      <c r="M106" s="149"/>
      <c r="N106" s="149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D106" s="11"/>
      <c r="AE106" s="11"/>
      <c r="AF106" s="11"/>
      <c r="AG106" s="11"/>
    </row>
    <row r="107" spans="1:33" x14ac:dyDescent="0.2">
      <c r="A107" s="149"/>
      <c r="B107" s="149"/>
      <c r="C107" s="151"/>
      <c r="D107" s="149"/>
      <c r="E107" s="149"/>
      <c r="F107" s="149"/>
      <c r="G107" s="149"/>
      <c r="H107" s="149"/>
      <c r="I107" s="149"/>
      <c r="J107" s="149"/>
      <c r="K107" s="149"/>
      <c r="L107" s="149"/>
      <c r="M107" s="149"/>
      <c r="N107" s="149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D107" s="11"/>
      <c r="AE107" s="11"/>
      <c r="AF107" s="11"/>
      <c r="AG107" s="11"/>
    </row>
    <row r="108" spans="1:33" x14ac:dyDescent="0.2">
      <c r="A108" s="149"/>
      <c r="B108" s="149"/>
      <c r="C108" s="151"/>
      <c r="D108" s="149"/>
      <c r="E108" s="149"/>
      <c r="F108" s="149"/>
      <c r="G108" s="149"/>
      <c r="H108" s="149"/>
      <c r="I108" s="149"/>
      <c r="J108" s="149"/>
      <c r="K108" s="149"/>
      <c r="L108" s="149"/>
      <c r="M108" s="149"/>
      <c r="N108" s="149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D108" s="11"/>
      <c r="AE108" s="11"/>
      <c r="AF108" s="11"/>
      <c r="AG108" s="11"/>
    </row>
    <row r="109" spans="1:33" x14ac:dyDescent="0.2">
      <c r="A109" s="149"/>
      <c r="B109" s="149"/>
      <c r="C109" s="151"/>
      <c r="D109" s="149"/>
      <c r="E109" s="149"/>
      <c r="F109" s="149"/>
      <c r="G109" s="149"/>
      <c r="H109" s="149"/>
      <c r="I109" s="149"/>
      <c r="J109" s="149"/>
      <c r="K109" s="149"/>
      <c r="L109" s="149"/>
      <c r="M109" s="149"/>
      <c r="N109" s="149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D109" s="11"/>
      <c r="AE109" s="11"/>
      <c r="AF109" s="11"/>
      <c r="AG109" s="11"/>
    </row>
    <row r="110" spans="1:33" x14ac:dyDescent="0.2">
      <c r="A110" s="149"/>
      <c r="B110" s="149"/>
      <c r="C110" s="151"/>
      <c r="D110" s="149"/>
      <c r="E110" s="149"/>
      <c r="F110" s="149"/>
      <c r="G110" s="149"/>
      <c r="H110" s="149"/>
      <c r="I110" s="149"/>
      <c r="J110" s="149"/>
      <c r="K110" s="149"/>
      <c r="L110" s="149"/>
      <c r="M110" s="149"/>
      <c r="N110" s="149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D110" s="11"/>
      <c r="AE110" s="11"/>
      <c r="AF110" s="11"/>
      <c r="AG110" s="11"/>
    </row>
    <row r="111" spans="1:33" x14ac:dyDescent="0.2">
      <c r="A111" s="149"/>
      <c r="B111" s="149"/>
      <c r="C111" s="151"/>
      <c r="D111" s="149"/>
      <c r="E111" s="149"/>
      <c r="F111" s="149"/>
      <c r="G111" s="149"/>
      <c r="H111" s="149"/>
      <c r="I111" s="149"/>
      <c r="J111" s="149"/>
      <c r="K111" s="149"/>
      <c r="L111" s="149"/>
      <c r="M111" s="149"/>
      <c r="N111" s="149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D111" s="11"/>
      <c r="AE111" s="11"/>
      <c r="AF111" s="11"/>
      <c r="AG111" s="11"/>
    </row>
    <row r="112" spans="1:33" x14ac:dyDescent="0.2">
      <c r="B112" s="149"/>
      <c r="C112" s="151"/>
    </row>
    <row r="113" spans="2:3" x14ac:dyDescent="0.2">
      <c r="B113" s="149"/>
      <c r="C113" s="151"/>
    </row>
    <row r="114" spans="2:3" x14ac:dyDescent="0.2">
      <c r="B114" s="149"/>
      <c r="C114" s="151"/>
    </row>
    <row r="115" spans="2:3" x14ac:dyDescent="0.2">
      <c r="B115" s="149"/>
      <c r="C115" s="151"/>
    </row>
    <row r="116" spans="2:3" x14ac:dyDescent="0.2">
      <c r="B116" s="149"/>
      <c r="C116" s="151"/>
    </row>
    <row r="117" spans="2:3" x14ac:dyDescent="0.2">
      <c r="B117" s="149"/>
      <c r="C117" s="151"/>
    </row>
    <row r="118" spans="2:3" x14ac:dyDescent="0.2">
      <c r="B118" s="149"/>
      <c r="C118" s="151"/>
    </row>
    <row r="119" spans="2:3" x14ac:dyDescent="0.2">
      <c r="B119" s="149"/>
      <c r="C119" s="151"/>
    </row>
    <row r="120" spans="2:3" x14ac:dyDescent="0.2">
      <c r="B120" s="149"/>
      <c r="C120" s="151"/>
    </row>
    <row r="121" spans="2:3" x14ac:dyDescent="0.2">
      <c r="B121" s="149"/>
      <c r="C121" s="151"/>
    </row>
    <row r="122" spans="2:3" x14ac:dyDescent="0.2">
      <c r="B122" s="149"/>
      <c r="C122" s="151"/>
    </row>
    <row r="123" spans="2:3" x14ac:dyDescent="0.2">
      <c r="B123" s="149"/>
      <c r="C123" s="151"/>
    </row>
    <row r="124" spans="2:3" x14ac:dyDescent="0.2">
      <c r="B124" s="149"/>
      <c r="C124" s="151"/>
    </row>
    <row r="125" spans="2:3" x14ac:dyDescent="0.2">
      <c r="B125" s="149"/>
      <c r="C125" s="151"/>
    </row>
    <row r="126" spans="2:3" x14ac:dyDescent="0.2">
      <c r="B126" s="149"/>
      <c r="C126" s="151"/>
    </row>
    <row r="127" spans="2:3" x14ac:dyDescent="0.2">
      <c r="B127" s="149"/>
      <c r="C127" s="151"/>
    </row>
    <row r="128" spans="2:3" x14ac:dyDescent="0.2">
      <c r="B128" s="149"/>
      <c r="C128" s="151"/>
    </row>
    <row r="129" spans="2:3" x14ac:dyDescent="0.2">
      <c r="B129" s="149"/>
      <c r="C129" s="151"/>
    </row>
    <row r="130" spans="2:3" x14ac:dyDescent="0.2">
      <c r="B130" s="149"/>
      <c r="C130" s="151"/>
    </row>
  </sheetData>
  <dataValidations count="2">
    <dataValidation type="list" allowBlank="1" showInputMessage="1" showErrorMessage="1" sqref="O26 O8">
      <formula1>"Following,Modified Following,Preceding,Modified Preceding,Unadjusted,Half-Month Modified Following"</formula1>
    </dataValidation>
    <dataValidation type="list" allowBlank="1" showInputMessage="1" showErrorMessage="1" sqref="P26 P8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56</vt:i4>
      </vt:variant>
    </vt:vector>
  </HeadingPairs>
  <TitlesOfParts>
    <vt:vector size="62" baseType="lpstr">
      <vt:lpstr>General Settings</vt:lpstr>
      <vt:lpstr>Contribution</vt:lpstr>
      <vt:lpstr>ON Pricing</vt:lpstr>
      <vt:lpstr>1M Pricing</vt:lpstr>
      <vt:lpstr>3M Pricing</vt:lpstr>
      <vt:lpstr>6M Pricing</vt:lpstr>
      <vt:lpstr>AllTriggers</vt:lpstr>
      <vt:lpstr>ASK</vt:lpstr>
      <vt:lpstr>'1M Pricing'!BDayConvention</vt:lpstr>
      <vt:lpstr>'3M Pricing'!BDayConvention</vt:lpstr>
      <vt:lpstr>'6M Pricing'!BDayConvention</vt:lpstr>
      <vt:lpstr>BID</vt:lpstr>
      <vt:lpstr>Calendar</vt:lpstr>
      <vt:lpstr>Contribute</vt:lpstr>
      <vt:lpstr>Currency</vt:lpstr>
      <vt:lpstr>'1M Pricing'!CurveTenor</vt:lpstr>
      <vt:lpstr>'3M Pricing'!CurveTenor</vt:lpstr>
      <vt:lpstr>'6M Pricing'!CurveTenor</vt:lpstr>
      <vt:lpstr>'ON Pricing'!CurveTenor</vt:lpstr>
      <vt:lpstr>'1M Pricing'!DayCounter</vt:lpstr>
      <vt:lpstr>'3M Pricing'!DayCounter</vt:lpstr>
      <vt:lpstr>'6M Pricing'!DayCounter</vt:lpstr>
      <vt:lpstr>DiscountingCurve</vt:lpstr>
      <vt:lpstr>'1M Pricing'!EndOfMonth</vt:lpstr>
      <vt:lpstr>'3M Pricing'!EndOfMonth</vt:lpstr>
      <vt:lpstr>'6M Pricing'!EndOfMonth</vt:lpstr>
      <vt:lpstr>EvaluationDate</vt:lpstr>
      <vt:lpstr>Fields</vt:lpstr>
      <vt:lpstr>'1M Pricing'!FixedLegBDC</vt:lpstr>
      <vt:lpstr>'6M Pricing'!FixedLegBDC</vt:lpstr>
      <vt:lpstr>'ON Pricing'!FixedLegBDC</vt:lpstr>
      <vt:lpstr>FixedLegBDC</vt:lpstr>
      <vt:lpstr>'1M Pricing'!FixedLegDayCounter</vt:lpstr>
      <vt:lpstr>'3M Pricing'!FixedLegDayCounter</vt:lpstr>
      <vt:lpstr>'6M Pricing'!FixedLegDayCounter</vt:lpstr>
      <vt:lpstr>'ON Pricing'!FixedLegDayCounter</vt:lpstr>
      <vt:lpstr>'1M Pricing'!FixedLegTenor</vt:lpstr>
      <vt:lpstr>'3M Pricing'!FixedLegTenor</vt:lpstr>
      <vt:lpstr>'6M Pricing'!FixedLegTenor</vt:lpstr>
      <vt:lpstr>'ON Pricing'!FixedLegTenor</vt:lpstr>
      <vt:lpstr>'1M Pricing'!IborIndex</vt:lpstr>
      <vt:lpstr>'3M Pricing'!IborIndex</vt:lpstr>
      <vt:lpstr>'6M Pricing'!IborIndex</vt:lpstr>
      <vt:lpstr>IborIndexFamily</vt:lpstr>
      <vt:lpstr>InterestRatesTrigger</vt:lpstr>
      <vt:lpstr>'1M Pricing'!Interpolation</vt:lpstr>
      <vt:lpstr>'3M Pricing'!Interpolation</vt:lpstr>
      <vt:lpstr>'6M Pricing'!Interpolation</vt:lpstr>
      <vt:lpstr>InterpolationType</vt:lpstr>
      <vt:lpstr>LiborCalendar</vt:lpstr>
      <vt:lpstr>LocalCalendar</vt:lpstr>
      <vt:lpstr>MainTenor</vt:lpstr>
      <vt:lpstr>'ON Pricing'!OvernightIndex</vt:lpstr>
      <vt:lpstr>SettlementDate</vt:lpstr>
      <vt:lpstr>SettlementDays</vt:lpstr>
      <vt:lpstr>SourceAlias</vt:lpstr>
      <vt:lpstr>SyntheticQuotesTrigger</vt:lpstr>
      <vt:lpstr>Trigger</vt:lpstr>
      <vt:lpstr>'1M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FONDI STEFANO</cp:lastModifiedBy>
  <cp:lastPrinted>2013-07-11T09:05:29Z</cp:lastPrinted>
  <dcterms:created xsi:type="dcterms:W3CDTF">2013-06-26T06:50:40Z</dcterms:created>
  <dcterms:modified xsi:type="dcterms:W3CDTF">2015-12-16T13:50:03Z</dcterms:modified>
</cp:coreProperties>
</file>