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105" windowWidth="15165" windowHeight="9270" tabRatio="695" firstSheet="1" activeTab="6"/>
  </bookViews>
  <sheets>
    <sheet name="General Settings" sheetId="29" r:id="rId1"/>
    <sheet name="SynthDepo" sheetId="32" r:id="rId2"/>
    <sheet name="RateHelpersFra" sheetId="34" r:id="rId3"/>
    <sheet name="SynthFra" sheetId="35" r:id="rId4"/>
    <sheet name="Contribution" sheetId="33" r:id="rId5"/>
    <sheet name="FRACharts" sheetId="36" r:id="rId6"/>
    <sheet name="3M Depo Charts" sheetId="38" r:id="rId7"/>
  </sheets>
  <externalReferences>
    <externalReference r:id="rId8"/>
  </externalReferences>
  <definedNames>
    <definedName name="Accuracy">'General Settings'!$D$30</definedName>
    <definedName name="AllTriggers">'General Settings'!$J$18:$J$22</definedName>
    <definedName name="BasisInterpolation">'General Settings'!$D$37</definedName>
    <definedName name="BasisInterpolator">'General Settings'!$D$38</definedName>
    <definedName name="Calendar">'General Settings'!$D$5</definedName>
    <definedName name="Currency">'General Settings'!$D$4</definedName>
    <definedName name="DayCounter">'General Settings'!$D$39</definedName>
    <definedName name="DayCounter3M">'3M Depo Charts'!$C$9</definedName>
    <definedName name="DayCounterOIS">'3M Depo Charts'!$C$10</definedName>
    <definedName name="DayCounterON">'3M Depo Charts'!$C$11</definedName>
    <definedName name="EvaluationDate">'General Settings'!$J$19</definedName>
    <definedName name="FileOverwrite">'General Settings'!$J$8</definedName>
    <definedName name="GENERAL_SETTINGS">'General Settings'!$B$2</definedName>
    <definedName name="IborIndex">'General Settings'!$D$36</definedName>
    <definedName name="IborTenor">'General Settings'!$D$28</definedName>
    <definedName name="IborType">'General Settings'!$D$6</definedName>
    <definedName name="InterestRatesTrigger">'General Settings'!$J$20</definedName>
    <definedName name="InterpolatorID">'General Settings'!$D$32</definedName>
    <definedName name="LastDayInNextYear">'General Settings'!$D$21</definedName>
    <definedName name="LastDayInYear">'General Settings'!$D$20</definedName>
    <definedName name="LastFixingsTrigger">'General Settings'!$J$21</definedName>
    <definedName name="LastUpdate">'General Settings'!$D$10</definedName>
    <definedName name="LiveDataFeed">'General Settings'!$D$11</definedName>
    <definedName name="MinDistance">RateHelpersFra!$J$2:$J$6</definedName>
    <definedName name="Months12M" localSheetId="4">Contribution!$A$25</definedName>
    <definedName name="Months1M" localSheetId="4">Contribution!$A$3</definedName>
    <definedName name="Months3M" localSheetId="4">Contribution!$A$8</definedName>
    <definedName name="Months6M" localSheetId="4">Contribution!$A$15</definedName>
    <definedName name="NDays">'General Settings'!$D$29</definedName>
    <definedName name="ObjectOverwrite">'General Settings'!$J$5</definedName>
    <definedName name="OisCurve">'General Settings'!$D$8</definedName>
    <definedName name="OisEngine">'General Settings'!$D$19</definedName>
    <definedName name="OvernightIndex">'General Settings'!$D$7</definedName>
    <definedName name="Permanent">'General Settings'!$J$4</definedName>
    <definedName name="PriceTickValue">'General Settings'!$J$12</definedName>
    <definedName name="Quote" localSheetId="4">Contribution!$N$3:$N$84</definedName>
    <definedName name="QuoteLive" localSheetId="4">Contribution!$J$3:$J$84</definedName>
    <definedName name="QuoteStatic" localSheetId="4">Contribution!$L$3:$L$84</definedName>
    <definedName name="QuoteSuffix">'General Settings'!$J$10</definedName>
    <definedName name="RateHelpers">RateHelpersFra!$F$2:$F$6</definedName>
    <definedName name="RateHelpersIncluded">RateHelpersFra!$H$2:$H$6</definedName>
    <definedName name="RateHelpersPriority">RateHelpersFra!$I$2:$I$6</definedName>
    <definedName name="RateTickValue">'General Settings'!$J$11</definedName>
    <definedName name="SerializationPath">'General Settings'!$J$7</definedName>
    <definedName name="Serialize">'General Settings'!$J$6</definedName>
    <definedName name="SettlementDate">'General Settings'!$D$18</definedName>
    <definedName name="Tenor12M" localSheetId="4">Contribution!$A$26</definedName>
    <definedName name="Tenor1M" localSheetId="4">Contribution!$A$4</definedName>
    <definedName name="Tenor3M" localSheetId="4">Contribution!$A$9</definedName>
    <definedName name="Tenor6M" localSheetId="4">Contribution!$A$16</definedName>
    <definedName name="TraitsID">'General Settings'!$D$31</definedName>
    <definedName name="Trigger">'General Settings'!$J$18</definedName>
    <definedName name="TriggerCounter">'General Settings'!$J$22</definedName>
    <definedName name="YieldCurve">'General Settings'!$D$40</definedName>
  </definedNames>
  <calcPr calcId="145621"/>
</workbook>
</file>

<file path=xl/calcChain.xml><?xml version="1.0" encoding="utf-8"?>
<calcChain xmlns="http://schemas.openxmlformats.org/spreadsheetml/2006/main">
  <c r="S4" i="38" l="1"/>
  <c r="Q4" i="38"/>
  <c r="B12" i="36" l="1"/>
  <c r="B13" i="36" l="1"/>
  <c r="B14" i="36" l="1"/>
  <c r="B15" i="36" l="1"/>
  <c r="B16" i="36"/>
  <c r="B17" i="36"/>
  <c r="B18" i="36"/>
  <c r="B19" i="36"/>
  <c r="B20" i="36"/>
  <c r="B21" i="36"/>
  <c r="B22" i="36"/>
  <c r="B23" i="36"/>
  <c r="B24" i="36"/>
  <c r="B25" i="36"/>
  <c r="B26" i="36"/>
  <c r="B27" i="36"/>
  <c r="B28" i="36"/>
  <c r="B29" i="36"/>
  <c r="B30" i="36"/>
  <c r="B31" i="36"/>
  <c r="B32" i="36"/>
  <c r="B33" i="36"/>
  <c r="B34" i="36"/>
  <c r="B35" i="36"/>
  <c r="B36" i="36"/>
  <c r="B37" i="36"/>
  <c r="B38" i="36"/>
  <c r="B39" i="36"/>
  <c r="B40" i="36"/>
  <c r="B41" i="36"/>
  <c r="B42" i="36"/>
  <c r="B43" i="36"/>
  <c r="B44" i="36"/>
  <c r="B45" i="36"/>
  <c r="B46" i="36"/>
  <c r="B47" i="36"/>
  <c r="B48" i="36"/>
  <c r="B49" i="36"/>
  <c r="B50" i="36"/>
  <c r="B51" i="36"/>
  <c r="B52" i="36"/>
  <c r="B53" i="36"/>
  <c r="B54" i="36"/>
  <c r="B55" i="36"/>
  <c r="B56" i="36"/>
  <c r="B57" i="36"/>
  <c r="B58" i="36"/>
  <c r="B59" i="36"/>
  <c r="J22" i="29" l="1"/>
  <c r="J19" i="29"/>
  <c r="I9" i="32" l="1"/>
  <c r="I8" i="32"/>
  <c r="I18" i="32"/>
  <c r="I17" i="32"/>
  <c r="I75" i="33" l="1"/>
  <c r="I76" i="33"/>
  <c r="I77" i="33"/>
  <c r="I78" i="33"/>
  <c r="I79" i="33"/>
  <c r="I80" i="33"/>
  <c r="I81" i="33"/>
  <c r="I82" i="33"/>
  <c r="I83" i="33"/>
  <c r="I84" i="33"/>
  <c r="I74" i="33"/>
  <c r="C2" i="33" l="1"/>
  <c r="A9" i="33"/>
  <c r="B84" i="33" l="1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I73" i="33"/>
  <c r="I72" i="33"/>
  <c r="I71" i="33"/>
  <c r="I70" i="33"/>
  <c r="I69" i="33"/>
  <c r="I68" i="33"/>
  <c r="I67" i="33"/>
  <c r="I66" i="33"/>
  <c r="I65" i="33"/>
  <c r="I64" i="33"/>
  <c r="I63" i="33"/>
  <c r="I62" i="33"/>
  <c r="I61" i="33"/>
  <c r="I60" i="33"/>
  <c r="I59" i="33"/>
  <c r="I58" i="33"/>
  <c r="I57" i="33"/>
  <c r="I56" i="33"/>
  <c r="I55" i="33"/>
  <c r="I54" i="33"/>
  <c r="I53" i="33"/>
  <c r="I52" i="33"/>
  <c r="I51" i="33"/>
  <c r="I50" i="33"/>
  <c r="I49" i="33"/>
  <c r="I48" i="33"/>
  <c r="I47" i="33"/>
  <c r="I46" i="33"/>
  <c r="I45" i="33"/>
  <c r="I44" i="33"/>
  <c r="I43" i="33"/>
  <c r="I42" i="33"/>
  <c r="I41" i="33"/>
  <c r="D5" i="32"/>
  <c r="D27" i="32"/>
  <c r="D24" i="32"/>
  <c r="D23" i="32"/>
  <c r="D22" i="32"/>
  <c r="D21" i="32"/>
  <c r="D20" i="32"/>
  <c r="D19" i="32"/>
  <c r="D13" i="32"/>
  <c r="D14" i="32"/>
  <c r="D12" i="32"/>
  <c r="C42" i="33" l="1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D46" i="33"/>
  <c r="D74" i="33"/>
  <c r="D49" i="33"/>
  <c r="D66" i="33"/>
  <c r="D48" i="33"/>
  <c r="D45" i="33"/>
  <c r="D78" i="33"/>
  <c r="D67" i="33"/>
  <c r="D52" i="33"/>
  <c r="D44" i="33"/>
  <c r="D47" i="33"/>
  <c r="D59" i="33"/>
  <c r="D75" i="33"/>
  <c r="D51" i="33"/>
  <c r="D68" i="33"/>
  <c r="D60" i="33"/>
  <c r="D80" i="33"/>
  <c r="D56" i="33"/>
  <c r="D63" i="33"/>
  <c r="D81" i="33"/>
  <c r="D82" i="33"/>
  <c r="D79" i="33"/>
  <c r="D77" i="33"/>
  <c r="D76" i="33"/>
  <c r="D57" i="33"/>
  <c r="D64" i="33"/>
  <c r="D41" i="33"/>
  <c r="D61" i="33"/>
  <c r="D84" i="33"/>
  <c r="D58" i="33"/>
  <c r="D55" i="33"/>
  <c r="D72" i="33"/>
  <c r="D43" i="33"/>
  <c r="D54" i="33"/>
  <c r="D73" i="33"/>
  <c r="D42" i="33"/>
  <c r="D83" i="33"/>
  <c r="D71" i="33"/>
  <c r="D50" i="33"/>
  <c r="D53" i="33"/>
  <c r="D69" i="33"/>
  <c r="D62" i="33"/>
  <c r="D65" i="33"/>
  <c r="D70" i="33"/>
  <c r="C9" i="33" l="1"/>
  <c r="C12" i="33"/>
  <c r="C13" i="33"/>
  <c r="C8" i="33"/>
  <c r="C14" i="33"/>
  <c r="C11" i="33"/>
  <c r="C10" i="33"/>
  <c r="A3" i="32"/>
  <c r="A16" i="32"/>
  <c r="A26" i="32"/>
  <c r="A7" i="32"/>
  <c r="A4" i="33"/>
  <c r="A16" i="33"/>
  <c r="A26" i="33"/>
  <c r="E48" i="33"/>
  <c r="E43" i="33"/>
  <c r="E53" i="33"/>
  <c r="E81" i="33"/>
  <c r="E62" i="33"/>
  <c r="E57" i="33"/>
  <c r="E51" i="33"/>
  <c r="E52" i="33"/>
  <c r="E82" i="33"/>
  <c r="E42" i="33"/>
  <c r="E45" i="33"/>
  <c r="E84" i="33"/>
  <c r="E44" i="33"/>
  <c r="E59" i="33"/>
  <c r="E78" i="33"/>
  <c r="E80" i="33"/>
  <c r="E83" i="33"/>
  <c r="E72" i="33"/>
  <c r="E60" i="33"/>
  <c r="E68" i="33"/>
  <c r="E64" i="33"/>
  <c r="E49" i="33"/>
  <c r="E63" i="33"/>
  <c r="E56" i="33"/>
  <c r="E46" i="33"/>
  <c r="E69" i="33"/>
  <c r="E58" i="33"/>
  <c r="E67" i="33"/>
  <c r="E54" i="33"/>
  <c r="E75" i="33"/>
  <c r="E65" i="33"/>
  <c r="E70" i="33"/>
  <c r="E61" i="33"/>
  <c r="E71" i="33"/>
  <c r="E66" i="33"/>
  <c r="E55" i="33"/>
  <c r="E47" i="33"/>
  <c r="E79" i="33"/>
  <c r="E50" i="33"/>
  <c r="E73" i="33"/>
  <c r="E77" i="33"/>
  <c r="E76" i="33"/>
  <c r="E41" i="33"/>
  <c r="E74" i="33"/>
  <c r="D25" i="32" l="1"/>
  <c r="C5" i="33"/>
  <c r="C3" i="33"/>
  <c r="C6" i="33"/>
  <c r="C4" i="33"/>
  <c r="C7" i="33"/>
  <c r="D15" i="32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D2" i="32"/>
  <c r="C20" i="33"/>
  <c r="C22" i="33"/>
  <c r="C21" i="33"/>
  <c r="C23" i="33"/>
  <c r="C18" i="33"/>
  <c r="C24" i="33"/>
  <c r="C16" i="33"/>
  <c r="C15" i="33"/>
  <c r="C19" i="33"/>
  <c r="C17" i="33"/>
  <c r="D6" i="32"/>
  <c r="D8" i="29"/>
  <c r="D6" i="29"/>
  <c r="D28" i="32"/>
  <c r="D17" i="33"/>
  <c r="D13" i="33"/>
  <c r="D23" i="33"/>
  <c r="D37" i="33"/>
  <c r="D32" i="33"/>
  <c r="B1" i="29"/>
  <c r="D14" i="33"/>
  <c r="D18" i="29"/>
  <c r="F34" i="32"/>
  <c r="D39" i="33"/>
  <c r="F36" i="32"/>
  <c r="D19" i="33"/>
  <c r="E24" i="32"/>
  <c r="E19" i="32"/>
  <c r="J44" i="38"/>
  <c r="J48" i="38"/>
  <c r="D6" i="33"/>
  <c r="D31" i="33"/>
  <c r="O2" i="35"/>
  <c r="D16" i="33"/>
  <c r="F47" i="32"/>
  <c r="D15" i="33"/>
  <c r="D28" i="33"/>
  <c r="O5" i="35"/>
  <c r="F48" i="32"/>
  <c r="J61" i="38"/>
  <c r="J56" i="38"/>
  <c r="D40" i="33"/>
  <c r="D4" i="33"/>
  <c r="F44" i="32"/>
  <c r="F37" i="32"/>
  <c r="D12" i="33"/>
  <c r="D27" i="33"/>
  <c r="D25" i="33"/>
  <c r="D11" i="33"/>
  <c r="F45" i="32"/>
  <c r="J45" i="38"/>
  <c r="J49" i="38"/>
  <c r="O4" i="35"/>
  <c r="D3" i="33"/>
  <c r="F35" i="32"/>
  <c r="D33" i="33"/>
  <c r="O6" i="35"/>
  <c r="D5" i="33"/>
  <c r="E14" i="32"/>
  <c r="F42" i="32"/>
  <c r="J50" i="38"/>
  <c r="J60" i="38"/>
  <c r="F10" i="34"/>
  <c r="D21" i="33"/>
  <c r="F43" i="32"/>
  <c r="D20" i="33"/>
  <c r="O3" i="35"/>
  <c r="E20" i="32"/>
  <c r="E21" i="32"/>
  <c r="D29" i="33"/>
  <c r="D19" i="29"/>
  <c r="D30" i="33"/>
  <c r="D35" i="33"/>
  <c r="F41" i="32"/>
  <c r="J47" i="38"/>
  <c r="D38" i="33"/>
  <c r="D8" i="33"/>
  <c r="D26" i="33"/>
  <c r="D18" i="33"/>
  <c r="F46" i="32"/>
  <c r="J55" i="38"/>
  <c r="F39" i="32"/>
  <c r="D24" i="33"/>
  <c r="E12" i="32"/>
  <c r="J58" i="38"/>
  <c r="D9" i="33"/>
  <c r="E23" i="32"/>
  <c r="D7" i="33"/>
  <c r="D22" i="33"/>
  <c r="F38" i="32"/>
  <c r="D36" i="33"/>
  <c r="D10" i="33"/>
  <c r="F40" i="32"/>
  <c r="D34" i="33"/>
  <c r="J46" i="38"/>
  <c r="J59" i="38"/>
  <c r="J57" i="38"/>
  <c r="E13" i="32"/>
  <c r="F49" i="32"/>
  <c r="E27" i="32"/>
  <c r="E22" i="32"/>
  <c r="I61" i="38" l="1"/>
  <c r="I49" i="38"/>
  <c r="I60" i="38"/>
  <c r="I48" i="38"/>
  <c r="I59" i="38"/>
  <c r="I47" i="38"/>
  <c r="I58" i="38"/>
  <c r="I46" i="38"/>
  <c r="I57" i="38"/>
  <c r="I45" i="38"/>
  <c r="I56" i="38"/>
  <c r="I44" i="38"/>
  <c r="I55" i="38"/>
  <c r="I50" i="38"/>
  <c r="B17" i="38"/>
  <c r="AB30" i="32"/>
  <c r="E2" i="34"/>
  <c r="D2" i="35"/>
  <c r="K34" i="32"/>
  <c r="E25" i="32"/>
  <c r="N25" i="32" s="1"/>
  <c r="E15" i="32"/>
  <c r="N15" i="32" s="1"/>
  <c r="E6" i="32"/>
  <c r="E5" i="32"/>
  <c r="E2" i="32"/>
  <c r="N2" i="32" s="1"/>
  <c r="K43" i="32"/>
  <c r="K40" i="32"/>
  <c r="K38" i="32"/>
  <c r="K42" i="32"/>
  <c r="K41" i="32"/>
  <c r="K39" i="32"/>
  <c r="K37" i="32"/>
  <c r="K36" i="32"/>
  <c r="K35" i="32"/>
  <c r="K49" i="32"/>
  <c r="K48" i="32"/>
  <c r="K47" i="32"/>
  <c r="K46" i="32"/>
  <c r="K45" i="32"/>
  <c r="K44" i="32"/>
  <c r="N21" i="32"/>
  <c r="N22" i="32"/>
  <c r="N17" i="32"/>
  <c r="N24" i="32"/>
  <c r="N19" i="32"/>
  <c r="O17" i="32"/>
  <c r="N12" i="32"/>
  <c r="O8" i="32"/>
  <c r="P8" i="32" s="1"/>
  <c r="N23" i="32"/>
  <c r="N14" i="32"/>
  <c r="N20" i="32"/>
  <c r="O18" i="32"/>
  <c r="N9" i="32"/>
  <c r="N18" i="32"/>
  <c r="O9" i="32"/>
  <c r="N27" i="32"/>
  <c r="N13" i="32"/>
  <c r="E41" i="32"/>
  <c r="E40" i="32"/>
  <c r="E38" i="32"/>
  <c r="E35" i="32"/>
  <c r="E49" i="32"/>
  <c r="E39" i="32"/>
  <c r="E37" i="32"/>
  <c r="E36" i="32"/>
  <c r="E44" i="32"/>
  <c r="E42" i="32"/>
  <c r="E34" i="32"/>
  <c r="E47" i="32"/>
  <c r="E48" i="32"/>
  <c r="E46" i="32"/>
  <c r="E45" i="32"/>
  <c r="E43" i="32"/>
  <c r="A4" i="32"/>
  <c r="D3" i="32" s="1"/>
  <c r="A8" i="32"/>
  <c r="A17" i="32"/>
  <c r="D16" i="32"/>
  <c r="A27" i="32"/>
  <c r="D26" i="32"/>
  <c r="I8" i="35"/>
  <c r="B48" i="32"/>
  <c r="O45" i="38"/>
  <c r="I32" i="35"/>
  <c r="O48" i="38"/>
  <c r="E18" i="33"/>
  <c r="P50" i="38"/>
  <c r="E23" i="33"/>
  <c r="E31" i="33"/>
  <c r="B42" i="32"/>
  <c r="F6" i="34"/>
  <c r="O47" i="38"/>
  <c r="E32" i="33"/>
  <c r="C17" i="38"/>
  <c r="E26" i="33"/>
  <c r="N49" i="38"/>
  <c r="AB31" i="32"/>
  <c r="E3" i="33"/>
  <c r="K48" i="38"/>
  <c r="B36" i="32"/>
  <c r="E7" i="33"/>
  <c r="E21" i="33"/>
  <c r="D20" i="29"/>
  <c r="I20" i="35"/>
  <c r="E39" i="33"/>
  <c r="D21" i="29"/>
  <c r="E29" i="33"/>
  <c r="P44" i="38"/>
  <c r="B44" i="32"/>
  <c r="K47" i="38"/>
  <c r="E35" i="33"/>
  <c r="E33" i="33"/>
  <c r="F23" i="32"/>
  <c r="F12" i="32"/>
  <c r="E5" i="33"/>
  <c r="P46" i="38"/>
  <c r="O44" i="38"/>
  <c r="I56" i="35"/>
  <c r="O49" i="38"/>
  <c r="F6" i="32"/>
  <c r="F2" i="34"/>
  <c r="O46" i="38"/>
  <c r="N44" i="38"/>
  <c r="E15" i="33"/>
  <c r="B37" i="32"/>
  <c r="B46" i="32"/>
  <c r="K44" i="38"/>
  <c r="E16" i="33"/>
  <c r="F5" i="32"/>
  <c r="B40" i="32"/>
  <c r="F27" i="32"/>
  <c r="F15" i="32"/>
  <c r="B18" i="38"/>
  <c r="C18" i="38" s="1"/>
  <c r="E30" i="33"/>
  <c r="E37" i="33"/>
  <c r="F20" i="32"/>
  <c r="E6" i="33"/>
  <c r="P47" i="38"/>
  <c r="O50" i="38"/>
  <c r="E34" i="33"/>
  <c r="N47" i="38"/>
  <c r="B41" i="32"/>
  <c r="K49" i="38"/>
  <c r="E36" i="33"/>
  <c r="P48" i="38"/>
  <c r="E38" i="33"/>
  <c r="F3" i="34"/>
  <c r="I44" i="35"/>
  <c r="P49" i="38"/>
  <c r="B47" i="32"/>
  <c r="B19" i="38"/>
  <c r="B20" i="38" s="1"/>
  <c r="F21" i="32"/>
  <c r="B38" i="32"/>
  <c r="F22" i="32"/>
  <c r="F5" i="34"/>
  <c r="B35" i="32"/>
  <c r="E4" i="33"/>
  <c r="E19" i="33"/>
  <c r="E25" i="33"/>
  <c r="N46" i="38"/>
  <c r="E17" i="33"/>
  <c r="C19" i="38"/>
  <c r="A10" i="32"/>
  <c r="N50" i="38"/>
  <c r="B43" i="32"/>
  <c r="F13" i="32"/>
  <c r="F4" i="34"/>
  <c r="K50" i="38"/>
  <c r="F14" i="32"/>
  <c r="B34" i="32"/>
  <c r="E22" i="33"/>
  <c r="E27" i="33"/>
  <c r="F24" i="32"/>
  <c r="B49" i="32"/>
  <c r="E20" i="33"/>
  <c r="N45" i="38"/>
  <c r="F19" i="32"/>
  <c r="E28" i="33"/>
  <c r="E40" i="33"/>
  <c r="B39" i="32"/>
  <c r="K45" i="38"/>
  <c r="F25" i="32"/>
  <c r="K46" i="38"/>
  <c r="B45" i="32"/>
  <c r="C20" i="38"/>
  <c r="P45" i="38"/>
  <c r="N48" i="38"/>
  <c r="F2" i="32"/>
  <c r="E24" i="33"/>
  <c r="B21" i="38"/>
  <c r="B22" i="38"/>
  <c r="C21" i="38"/>
  <c r="C22" i="38"/>
  <c r="B23" i="38"/>
  <c r="B24" i="38"/>
  <c r="C23" i="38"/>
  <c r="C24" i="38"/>
  <c r="B25" i="38"/>
  <c r="B26" i="38"/>
  <c r="C25" i="38"/>
  <c r="B27" i="38"/>
  <c r="C26" i="38"/>
  <c r="C27" i="38"/>
  <c r="B28" i="38"/>
  <c r="C28" i="38"/>
  <c r="B29" i="38"/>
  <c r="C29" i="38"/>
  <c r="B30" i="38"/>
  <c r="B31" i="38"/>
  <c r="C30" i="38"/>
  <c r="C31" i="38"/>
  <c r="B32" i="38"/>
  <c r="B33" i="38"/>
  <c r="C32" i="38"/>
  <c r="C33" i="38"/>
  <c r="B34" i="38"/>
  <c r="C34" i="38"/>
  <c r="B35" i="38"/>
  <c r="B36" i="38"/>
  <c r="C35" i="38"/>
  <c r="C36" i="38"/>
  <c r="B37" i="38"/>
  <c r="C37" i="38"/>
  <c r="B38" i="38"/>
  <c r="B39" i="38"/>
  <c r="C38" i="38"/>
  <c r="C39" i="38"/>
  <c r="B40" i="38"/>
  <c r="C40" i="38"/>
  <c r="B41" i="38"/>
  <c r="B42" i="38"/>
  <c r="C41" i="38"/>
  <c r="C42" i="38"/>
  <c r="B43" i="38"/>
  <c r="B44" i="38"/>
  <c r="C43" i="38"/>
  <c r="B45" i="38"/>
  <c r="C44" i="38"/>
  <c r="C45" i="38"/>
  <c r="B46" i="38"/>
  <c r="B47" i="38"/>
  <c r="C46" i="38"/>
  <c r="C47" i="38"/>
  <c r="B48" i="38"/>
  <c r="C48" i="38"/>
  <c r="B49" i="38"/>
  <c r="C49" i="38"/>
  <c r="B50" i="38"/>
  <c r="B51" i="38"/>
  <c r="C50" i="38"/>
  <c r="C51" i="38"/>
  <c r="B52" i="38"/>
  <c r="C52" i="38"/>
  <c r="B53" i="38"/>
  <c r="C53" i="38"/>
  <c r="B54" i="38"/>
  <c r="C54" i="38"/>
  <c r="B55" i="38"/>
  <c r="B56" i="38"/>
  <c r="C55" i="38"/>
  <c r="B57" i="38"/>
  <c r="C56" i="38"/>
  <c r="C57" i="38"/>
  <c r="B58" i="38"/>
  <c r="B59" i="38"/>
  <c r="C58" i="38"/>
  <c r="C59" i="38"/>
  <c r="B60" i="38"/>
  <c r="C60" i="38"/>
  <c r="B61" i="38"/>
  <c r="C61" i="38"/>
  <c r="B62" i="38"/>
  <c r="B63" i="38"/>
  <c r="C62" i="38"/>
  <c r="B64" i="38"/>
  <c r="C63" i="38"/>
  <c r="C64" i="38"/>
  <c r="B65" i="38"/>
  <c r="C65" i="38"/>
  <c r="B66" i="38"/>
  <c r="C66" i="38"/>
  <c r="B67" i="38"/>
  <c r="C67" i="38"/>
  <c r="B68" i="38"/>
  <c r="B69" i="38"/>
  <c r="C68" i="38"/>
  <c r="C69" i="38"/>
  <c r="B70" i="38"/>
  <c r="C70" i="38"/>
  <c r="B71" i="38"/>
  <c r="C71" i="38"/>
  <c r="B72" i="38"/>
  <c r="C72" i="38"/>
  <c r="B73" i="38"/>
  <c r="B74" i="38"/>
  <c r="C73" i="38"/>
  <c r="C74" i="38"/>
  <c r="B75" i="38"/>
  <c r="C75" i="38"/>
  <c r="B76" i="38"/>
  <c r="C76" i="38"/>
  <c r="B77" i="38"/>
  <c r="C77" i="38"/>
  <c r="B78" i="38"/>
  <c r="B79" i="38"/>
  <c r="C78" i="38"/>
  <c r="C79" i="38"/>
  <c r="B80" i="38"/>
  <c r="B81" i="38"/>
  <c r="C80" i="38"/>
  <c r="B82" i="38"/>
  <c r="C81" i="38"/>
  <c r="B83" i="38"/>
  <c r="C82" i="38"/>
  <c r="P9" i="32" l="1"/>
  <c r="N6" i="32"/>
  <c r="D10" i="32"/>
  <c r="A6" i="35"/>
  <c r="A5" i="35"/>
  <c r="A4" i="35"/>
  <c r="O19" i="32"/>
  <c r="T19" i="32" s="1"/>
  <c r="O24" i="32"/>
  <c r="U24" i="32" s="1"/>
  <c r="O22" i="32"/>
  <c r="T22" i="32" s="1"/>
  <c r="O13" i="32"/>
  <c r="O27" i="32"/>
  <c r="P27" i="32" s="1"/>
  <c r="O2" i="32"/>
  <c r="P2" i="32" s="1"/>
  <c r="F4" i="32"/>
  <c r="O4" i="32" s="1"/>
  <c r="O15" i="32"/>
  <c r="T15" i="32" s="1"/>
  <c r="O25" i="32"/>
  <c r="T25" i="32" s="1"/>
  <c r="O21" i="32"/>
  <c r="U21" i="32" s="1"/>
  <c r="O20" i="32"/>
  <c r="U20" i="32" s="1"/>
  <c r="O12" i="32"/>
  <c r="O14" i="32"/>
  <c r="O23" i="32"/>
  <c r="P23" i="32" s="1"/>
  <c r="O6" i="32"/>
  <c r="P6" i="32" s="1"/>
  <c r="A7" i="35"/>
  <c r="D7" i="32"/>
  <c r="T8" i="32"/>
  <c r="U8" i="32"/>
  <c r="P17" i="32"/>
  <c r="U17" i="32"/>
  <c r="T17" i="32"/>
  <c r="T9" i="32"/>
  <c r="U9" i="32"/>
  <c r="P18" i="32"/>
  <c r="U18" i="32"/>
  <c r="T18" i="32"/>
  <c r="L46" i="38"/>
  <c r="C83" i="38"/>
  <c r="C49" i="32"/>
  <c r="C42" i="32"/>
  <c r="C46" i="32"/>
  <c r="C38" i="32"/>
  <c r="L45" i="38"/>
  <c r="B27" i="32"/>
  <c r="C48" i="32"/>
  <c r="C34" i="32"/>
  <c r="C47" i="32"/>
  <c r="B12" i="32"/>
  <c r="L50" i="38"/>
  <c r="B2" i="32"/>
  <c r="AB32" i="32"/>
  <c r="E10" i="32"/>
  <c r="B22" i="32"/>
  <c r="L49" i="38"/>
  <c r="B6" i="32"/>
  <c r="C40" i="32"/>
  <c r="B24" i="32"/>
  <c r="B23" i="32"/>
  <c r="L44" i="38"/>
  <c r="B14" i="32"/>
  <c r="C35" i="32"/>
  <c r="B19" i="32"/>
  <c r="C44" i="32"/>
  <c r="L47" i="38"/>
  <c r="B15" i="32"/>
  <c r="C37" i="32"/>
  <c r="L48" i="38"/>
  <c r="B20" i="32"/>
  <c r="C43" i="32"/>
  <c r="B21" i="32"/>
  <c r="C36" i="32"/>
  <c r="C41" i="32"/>
  <c r="B13" i="32"/>
  <c r="C39" i="32"/>
  <c r="C45" i="32"/>
  <c r="B25" i="32"/>
  <c r="U13" i="32" l="1"/>
  <c r="P13" i="32"/>
  <c r="T12" i="32"/>
  <c r="P12" i="32"/>
  <c r="U14" i="32"/>
  <c r="P14" i="32"/>
  <c r="N10" i="32"/>
  <c r="U2" i="32"/>
  <c r="T2" i="32"/>
  <c r="U23" i="32"/>
  <c r="P22" i="32"/>
  <c r="U19" i="32"/>
  <c r="P19" i="32"/>
  <c r="T23" i="32"/>
  <c r="P15" i="32"/>
  <c r="U15" i="32"/>
  <c r="U12" i="32"/>
  <c r="U22" i="32"/>
  <c r="P25" i="32"/>
  <c r="U27" i="32"/>
  <c r="P20" i="32"/>
  <c r="U25" i="32"/>
  <c r="T27" i="32"/>
  <c r="T20" i="32"/>
  <c r="T13" i="32"/>
  <c r="P24" i="32"/>
  <c r="P21" i="32"/>
  <c r="U6" i="32"/>
  <c r="T24" i="32"/>
  <c r="T21" i="32"/>
  <c r="T6" i="32"/>
  <c r="T14" i="32"/>
  <c r="AB33" i="32"/>
  <c r="C2" i="32"/>
  <c r="C27" i="32"/>
  <c r="C20" i="32"/>
  <c r="C6" i="32"/>
  <c r="C5" i="35"/>
  <c r="D7" i="35"/>
  <c r="A11" i="32"/>
  <c r="C7" i="35"/>
  <c r="C21" i="32"/>
  <c r="D5" i="35"/>
  <c r="C6" i="35"/>
  <c r="C14" i="32"/>
  <c r="F10" i="32"/>
  <c r="C23" i="32"/>
  <c r="D4" i="35"/>
  <c r="C12" i="32"/>
  <c r="C15" i="32"/>
  <c r="C22" i="32"/>
  <c r="C24" i="32"/>
  <c r="C13" i="32"/>
  <c r="C25" i="32"/>
  <c r="C4" i="35"/>
  <c r="C19" i="32"/>
  <c r="D6" i="35"/>
  <c r="O10" i="32" l="1"/>
  <c r="P10" i="32" s="1"/>
  <c r="D11" i="32"/>
  <c r="D2" i="33"/>
  <c r="B10" i="32"/>
  <c r="I22" i="35"/>
  <c r="I28" i="35"/>
  <c r="C10" i="32"/>
  <c r="I43" i="35"/>
  <c r="I36" i="35"/>
  <c r="I17" i="35"/>
  <c r="I10" i="35"/>
  <c r="I25" i="35"/>
  <c r="I40" i="35"/>
  <c r="I23" i="35"/>
  <c r="I54" i="35"/>
  <c r="I46" i="35"/>
  <c r="I3" i="35"/>
  <c r="I35" i="35"/>
  <c r="I13" i="35"/>
  <c r="I34" i="35"/>
  <c r="E11" i="32"/>
  <c r="I31" i="35"/>
  <c r="I18" i="35"/>
  <c r="AB34" i="32"/>
  <c r="I49" i="35"/>
  <c r="I19" i="35"/>
  <c r="I41" i="35"/>
  <c r="I30" i="35"/>
  <c r="I39" i="35"/>
  <c r="I47" i="35"/>
  <c r="I2" i="35"/>
  <c r="I38" i="35"/>
  <c r="I55" i="35"/>
  <c r="I11" i="35"/>
  <c r="I6" i="35"/>
  <c r="I4" i="35"/>
  <c r="I16" i="35"/>
  <c r="I14" i="35"/>
  <c r="I26" i="35"/>
  <c r="I5" i="35"/>
  <c r="I9" i="35"/>
  <c r="I21" i="35"/>
  <c r="I37" i="35"/>
  <c r="I53" i="35"/>
  <c r="I29" i="35"/>
  <c r="I42" i="35"/>
  <c r="I48" i="35"/>
  <c r="I12" i="35"/>
  <c r="I24" i="35"/>
  <c r="I15" i="35"/>
  <c r="I33" i="35"/>
  <c r="I27" i="35"/>
  <c r="I52" i="35"/>
  <c r="I45" i="35"/>
  <c r="I50" i="35"/>
  <c r="I51" i="35"/>
  <c r="D13" i="36" l="1"/>
  <c r="D20" i="36"/>
  <c r="D34" i="36"/>
  <c r="D44" i="36"/>
  <c r="D29" i="36"/>
  <c r="D36" i="36"/>
  <c r="D43" i="36"/>
  <c r="D38" i="36"/>
  <c r="D15" i="36"/>
  <c r="D54" i="36"/>
  <c r="D49" i="36"/>
  <c r="D41" i="36"/>
  <c r="D32" i="36"/>
  <c r="D31" i="36"/>
  <c r="D28" i="36"/>
  <c r="D24" i="36"/>
  <c r="D48" i="36"/>
  <c r="D39" i="36"/>
  <c r="D57" i="36"/>
  <c r="D22" i="36"/>
  <c r="D17" i="36"/>
  <c r="D18" i="36"/>
  <c r="D25" i="36"/>
  <c r="D59" i="36"/>
  <c r="D53" i="36"/>
  <c r="D55" i="36"/>
  <c r="D46" i="36"/>
  <c r="D37" i="36"/>
  <c r="D11" i="36"/>
  <c r="D56" i="36"/>
  <c r="D27" i="36"/>
  <c r="D42" i="36"/>
  <c r="D12" i="36"/>
  <c r="D51" i="36"/>
  <c r="D30" i="36"/>
  <c r="D26" i="36"/>
  <c r="D52" i="36"/>
  <c r="D19" i="36"/>
  <c r="D40" i="36"/>
  <c r="D21" i="36"/>
  <c r="D14" i="36"/>
  <c r="D47" i="36"/>
  <c r="D45" i="36"/>
  <c r="D16" i="36"/>
  <c r="D50" i="36"/>
  <c r="D35" i="36"/>
  <c r="D23" i="36"/>
  <c r="D33" i="36"/>
  <c r="D58" i="36"/>
  <c r="N11" i="32"/>
  <c r="U10" i="32"/>
  <c r="T10" i="32"/>
  <c r="A3" i="35"/>
  <c r="F11" i="32"/>
  <c r="E24" i="36"/>
  <c r="C3" i="35"/>
  <c r="E28" i="36"/>
  <c r="E31" i="36"/>
  <c r="E17" i="36"/>
  <c r="F17" i="36"/>
  <c r="E35" i="36"/>
  <c r="E13" i="36"/>
  <c r="E44" i="36"/>
  <c r="E54" i="36"/>
  <c r="E59" i="36"/>
  <c r="E25" i="36"/>
  <c r="E18" i="36"/>
  <c r="E56" i="36"/>
  <c r="E45" i="36"/>
  <c r="E58" i="36"/>
  <c r="E29" i="36"/>
  <c r="E34" i="36"/>
  <c r="E48" i="36"/>
  <c r="E42" i="36"/>
  <c r="F25" i="36"/>
  <c r="E27" i="36"/>
  <c r="E33" i="36"/>
  <c r="D38" i="29"/>
  <c r="E16" i="36"/>
  <c r="E57" i="36"/>
  <c r="E49" i="36"/>
  <c r="E53" i="36"/>
  <c r="E21" i="36"/>
  <c r="E14" i="36"/>
  <c r="E23" i="36"/>
  <c r="E50" i="36"/>
  <c r="F29" i="36"/>
  <c r="F57" i="36"/>
  <c r="F49" i="36"/>
  <c r="F53" i="36"/>
  <c r="F21" i="36"/>
  <c r="E19" i="36"/>
  <c r="E51" i="36"/>
  <c r="AB35" i="32"/>
  <c r="D3" i="35"/>
  <c r="E41" i="36"/>
  <c r="E46" i="36"/>
  <c r="E39" i="36"/>
  <c r="E12" i="36"/>
  <c r="F45" i="36"/>
  <c r="E15" i="36"/>
  <c r="D40" i="29"/>
  <c r="E36" i="36"/>
  <c r="F41" i="36"/>
  <c r="E26" i="36"/>
  <c r="E43" i="36"/>
  <c r="E22" i="36"/>
  <c r="E52" i="36"/>
  <c r="E2" i="33"/>
  <c r="E47" i="36"/>
  <c r="B11" i="32"/>
  <c r="E30" i="36"/>
  <c r="E55" i="36"/>
  <c r="E11" i="36"/>
  <c r="E20" i="36"/>
  <c r="E38" i="36"/>
  <c r="E32" i="36"/>
  <c r="E37" i="36"/>
  <c r="F37" i="36" s="1"/>
  <c r="E40" i="36"/>
  <c r="D41" i="29"/>
  <c r="D34" i="29"/>
  <c r="C43" i="29"/>
  <c r="O11" i="32" l="1"/>
  <c r="P11" i="32" s="1"/>
  <c r="U11" i="32"/>
  <c r="T11" i="32"/>
  <c r="F33" i="36"/>
  <c r="F54" i="36"/>
  <c r="F47" i="36"/>
  <c r="F31" i="36"/>
  <c r="F59" i="36"/>
  <c r="AB36" i="32"/>
  <c r="F30" i="36"/>
  <c r="F16" i="36"/>
  <c r="C44" i="29"/>
  <c r="F12" i="36"/>
  <c r="F42" i="36"/>
  <c r="F58" i="36"/>
  <c r="F36" i="36"/>
  <c r="F51" i="36"/>
  <c r="F56" i="36"/>
  <c r="F26" i="36"/>
  <c r="F32" i="36"/>
  <c r="F38" i="36"/>
  <c r="F35" i="36"/>
  <c r="F22" i="36"/>
  <c r="F44" i="36"/>
  <c r="F20" i="36"/>
  <c r="F15" i="36"/>
  <c r="C11" i="32"/>
  <c r="F43" i="36"/>
  <c r="F40" i="36"/>
  <c r="F14" i="36"/>
  <c r="F55" i="36"/>
  <c r="F23" i="36"/>
  <c r="F19" i="36"/>
  <c r="D36" i="29"/>
  <c r="C23" i="36"/>
  <c r="G27" i="35"/>
  <c r="C57" i="36"/>
  <c r="G26" i="35"/>
  <c r="J25" i="35"/>
  <c r="J26" i="35"/>
  <c r="J37" i="35"/>
  <c r="C21" i="36"/>
  <c r="G53" i="35"/>
  <c r="F52" i="36"/>
  <c r="F39" i="36"/>
  <c r="G30" i="35"/>
  <c r="C39" i="36"/>
  <c r="C36" i="36"/>
  <c r="G5" i="35"/>
  <c r="G54" i="35"/>
  <c r="G24" i="35"/>
  <c r="C24" i="36"/>
  <c r="G39" i="35"/>
  <c r="G52" i="35"/>
  <c r="J31" i="35"/>
  <c r="G36" i="35"/>
  <c r="F18" i="36"/>
  <c r="C58" i="36"/>
  <c r="J28" i="35"/>
  <c r="H28" i="35" s="1"/>
  <c r="G16" i="35"/>
  <c r="J18" i="35"/>
  <c r="G15" i="35"/>
  <c r="C15" i="36"/>
  <c r="G46" i="35"/>
  <c r="G48" i="35"/>
  <c r="C40" i="36"/>
  <c r="AB37" i="32"/>
  <c r="AB38" i="32" s="1"/>
  <c r="AB39" i="32" s="1"/>
  <c r="AB40" i="32" s="1"/>
  <c r="C14" i="36"/>
  <c r="J33" i="35"/>
  <c r="C22" i="36"/>
  <c r="F27" i="36"/>
  <c r="J50" i="35"/>
  <c r="C41" i="36"/>
  <c r="AB41" i="32"/>
  <c r="AB42" i="32" s="1"/>
  <c r="AB43" i="32" s="1"/>
  <c r="AB44" i="32" s="1"/>
  <c r="AB45" i="32" s="1"/>
  <c r="AB46" i="32" s="1"/>
  <c r="AB47" i="32" s="1"/>
  <c r="AB48" i="32" s="1"/>
  <c r="G11" i="35"/>
  <c r="C47" i="36"/>
  <c r="C44" i="36"/>
  <c r="F11" i="36"/>
  <c r="J38" i="35"/>
  <c r="J2" i="35"/>
  <c r="F28" i="36"/>
  <c r="G35" i="35"/>
  <c r="F46" i="36"/>
  <c r="J21" i="35"/>
  <c r="G29" i="35"/>
  <c r="J13" i="35"/>
  <c r="C46" i="36"/>
  <c r="F24" i="36"/>
  <c r="J11" i="35"/>
  <c r="J55" i="35"/>
  <c r="J9" i="35"/>
  <c r="C50" i="36"/>
  <c r="F13" i="36"/>
  <c r="C43" i="36"/>
  <c r="J35" i="35"/>
  <c r="J10" i="35"/>
  <c r="F48" i="36"/>
  <c r="F34" i="36"/>
  <c r="C51" i="36"/>
  <c r="C33" i="36"/>
  <c r="G17" i="35"/>
  <c r="G42" i="35"/>
  <c r="F50" i="36"/>
  <c r="C28" i="36"/>
  <c r="C16" i="36"/>
  <c r="G55" i="35"/>
  <c r="G51" i="35"/>
  <c r="J15" i="35"/>
  <c r="AB49" i="32"/>
  <c r="AB50" i="32"/>
  <c r="AB51" i="32"/>
  <c r="AB52" i="32"/>
  <c r="AB53" i="32"/>
  <c r="AB54" i="32"/>
  <c r="AB55" i="32"/>
  <c r="AB56" i="32"/>
  <c r="AB57" i="32"/>
  <c r="AB58" i="32"/>
  <c r="AB59" i="32"/>
  <c r="AB60" i="32"/>
  <c r="AB61" i="32"/>
  <c r="AB62" i="32"/>
  <c r="AB63" i="32"/>
  <c r="AB64" i="32"/>
  <c r="AB65" i="32"/>
  <c r="AB66" i="32"/>
  <c r="AB67" i="32"/>
  <c r="AB68" i="32"/>
  <c r="AB69" i="32"/>
  <c r="AB70" i="32"/>
  <c r="AB71" i="32"/>
  <c r="AB72" i="32"/>
  <c r="AB73" i="32"/>
  <c r="AB74" i="32"/>
  <c r="AB75" i="32"/>
  <c r="AB76" i="32"/>
  <c r="AB77" i="32"/>
  <c r="AB78" i="32"/>
  <c r="AB79" i="32"/>
  <c r="AB80" i="32"/>
  <c r="AB81" i="32"/>
  <c r="AB82" i="32"/>
  <c r="AB83" i="32"/>
  <c r="AB84" i="32"/>
  <c r="AB85" i="32"/>
  <c r="AB86" i="32"/>
  <c r="AB87" i="32"/>
  <c r="AB88" i="32"/>
  <c r="AB89" i="32"/>
  <c r="AB90" i="32"/>
  <c r="AB91" i="32"/>
  <c r="AB92" i="32"/>
  <c r="AB93" i="32"/>
  <c r="AB94" i="32"/>
  <c r="AB95" i="32"/>
  <c r="AB96" i="32"/>
  <c r="J30" i="35"/>
  <c r="J48" i="35"/>
  <c r="G33" i="35"/>
  <c r="J17" i="35"/>
  <c r="C48" i="36"/>
  <c r="G50" i="35"/>
  <c r="J8" i="35"/>
  <c r="G56" i="35"/>
  <c r="C34" i="36"/>
  <c r="C52" i="36"/>
  <c r="G25" i="35"/>
  <c r="J32" i="35"/>
  <c r="J53" i="35"/>
  <c r="J43" i="35"/>
  <c r="C42" i="36"/>
  <c r="C26" i="36"/>
  <c r="C53" i="36"/>
  <c r="J5" i="35"/>
  <c r="G2" i="35"/>
  <c r="C30" i="36"/>
  <c r="G20" i="35"/>
  <c r="J20" i="35"/>
  <c r="C19" i="36"/>
  <c r="G44" i="35"/>
  <c r="J47" i="35"/>
  <c r="C55" i="36"/>
  <c r="G22" i="35"/>
  <c r="G21" i="35"/>
  <c r="G31" i="35"/>
  <c r="G45" i="35"/>
  <c r="J14" i="35"/>
  <c r="G49" i="35"/>
  <c r="J49" i="35"/>
  <c r="G28" i="35"/>
  <c r="C32" i="36"/>
  <c r="G37" i="35"/>
  <c r="C20" i="36"/>
  <c r="J41" i="35"/>
  <c r="J34" i="35"/>
  <c r="C38" i="36"/>
  <c r="J54" i="35"/>
  <c r="C31" i="36"/>
  <c r="G12" i="35"/>
  <c r="C25" i="36"/>
  <c r="J27" i="35"/>
  <c r="J24" i="35"/>
  <c r="J44" i="35"/>
  <c r="C37" i="36"/>
  <c r="J29" i="35"/>
  <c r="G40" i="35"/>
  <c r="G3" i="35"/>
  <c r="J36" i="35"/>
  <c r="J45" i="35"/>
  <c r="J52" i="35"/>
  <c r="J23" i="35"/>
  <c r="G8" i="35"/>
  <c r="J12" i="35"/>
  <c r="C27" i="36"/>
  <c r="G41" i="35"/>
  <c r="J4" i="35"/>
  <c r="J39" i="35"/>
  <c r="G43" i="35"/>
  <c r="G13" i="35"/>
  <c r="G18" i="35"/>
  <c r="J42" i="35"/>
  <c r="G19" i="35"/>
  <c r="C11" i="36"/>
  <c r="G14" i="35"/>
  <c r="G23" i="35"/>
  <c r="G9" i="35"/>
  <c r="G38" i="35"/>
  <c r="G4" i="35"/>
  <c r="C49" i="36"/>
  <c r="C13" i="36"/>
  <c r="J16" i="35"/>
  <c r="G32" i="35"/>
  <c r="G10" i="35"/>
  <c r="J6" i="35"/>
  <c r="J46" i="35"/>
  <c r="G47" i="35"/>
  <c r="G34" i="35"/>
  <c r="C29" i="36"/>
  <c r="C35" i="36"/>
  <c r="J22" i="35"/>
  <c r="C45" i="36"/>
  <c r="C12" i="36"/>
  <c r="C17" i="36"/>
  <c r="C56" i="36"/>
  <c r="J40" i="35"/>
  <c r="J51" i="35"/>
  <c r="J19" i="35"/>
  <c r="C54" i="36"/>
  <c r="C18" i="36"/>
  <c r="J3" i="35"/>
  <c r="J56" i="35"/>
  <c r="H56" i="35" s="1"/>
  <c r="C59" i="36"/>
  <c r="G6" i="35"/>
  <c r="H3" i="35"/>
  <c r="H42" i="35"/>
  <c r="H29" i="35"/>
  <c r="H14" i="35"/>
  <c r="H17" i="35"/>
  <c r="H11" i="35"/>
  <c r="H31" i="35"/>
  <c r="H19" i="35"/>
  <c r="H39" i="35"/>
  <c r="H44" i="35"/>
  <c r="H47" i="35"/>
  <c r="H48" i="35"/>
  <c r="H13" i="35"/>
  <c r="H37" i="35"/>
  <c r="H51" i="35"/>
  <c r="H4" i="35"/>
  <c r="H24" i="35"/>
  <c r="H20" i="35"/>
  <c r="H30" i="35"/>
  <c r="H21" i="35"/>
  <c r="H26" i="35"/>
  <c r="H40" i="35"/>
  <c r="H12" i="35"/>
  <c r="H27" i="35"/>
  <c r="H5" i="35"/>
  <c r="H15" i="35"/>
  <c r="H2" i="35"/>
  <c r="H25" i="35"/>
  <c r="H22" i="35"/>
  <c r="H23" i="35"/>
  <c r="H54" i="35"/>
  <c r="H43" i="35"/>
  <c r="H10" i="35"/>
  <c r="H38" i="35"/>
  <c r="H46" i="35"/>
  <c r="H52" i="35"/>
  <c r="H34" i="35"/>
  <c r="H53" i="35"/>
  <c r="H35" i="35"/>
  <c r="H50" i="35"/>
  <c r="H6" i="35"/>
  <c r="H41" i="35"/>
  <c r="H32" i="35"/>
  <c r="H9" i="35"/>
  <c r="H33" i="35"/>
  <c r="H16" i="35"/>
  <c r="H8" i="35"/>
  <c r="H18" i="35"/>
  <c r="H45" i="35"/>
  <c r="H36" i="35"/>
  <c r="H49" i="35"/>
  <c r="H55" i="35"/>
  <c r="J20" i="29" l="1"/>
  <c r="J21" i="29"/>
  <c r="G7" i="36"/>
  <c r="K6" i="35"/>
  <c r="G5" i="36"/>
  <c r="K4" i="35"/>
  <c r="K3" i="35"/>
  <c r="G4" i="36"/>
  <c r="K2" i="35"/>
  <c r="G3" i="36"/>
  <c r="M45" i="38"/>
  <c r="L49" i="32"/>
  <c r="L39" i="32"/>
  <c r="G3" i="34"/>
  <c r="L40" i="32"/>
  <c r="H24" i="32"/>
  <c r="K6" i="34"/>
  <c r="L43" i="32"/>
  <c r="L42" i="32"/>
  <c r="G16" i="32"/>
  <c r="G2" i="32"/>
  <c r="H19" i="32"/>
  <c r="G15" i="32"/>
  <c r="G12" i="32"/>
  <c r="L38" i="32"/>
  <c r="B7" i="35"/>
  <c r="G4" i="34"/>
  <c r="B5" i="35"/>
  <c r="G10" i="32"/>
  <c r="B6" i="35"/>
  <c r="H14" i="32"/>
  <c r="H27" i="32"/>
  <c r="H6" i="32"/>
  <c r="G25" i="32"/>
  <c r="L41" i="32"/>
  <c r="G7" i="32"/>
  <c r="H15" i="32"/>
  <c r="H22" i="32"/>
  <c r="B3" i="35"/>
  <c r="L47" i="32"/>
  <c r="K3" i="34"/>
  <c r="L6" i="34"/>
  <c r="H12" i="32"/>
  <c r="E2" i="35" a="1"/>
  <c r="H21" i="32"/>
  <c r="K4" i="34"/>
  <c r="M46" i="38"/>
  <c r="G13" i="32"/>
  <c r="H11" i="36" a="1"/>
  <c r="H20" i="32"/>
  <c r="L45" i="32"/>
  <c r="L48" i="32"/>
  <c r="G5" i="34"/>
  <c r="M49" i="38"/>
  <c r="M50" i="38"/>
  <c r="G3" i="32"/>
  <c r="M47" i="38"/>
  <c r="K5" i="34"/>
  <c r="L3" i="34"/>
  <c r="H2" i="32"/>
  <c r="L4" i="34"/>
  <c r="L5" i="34"/>
  <c r="K2" i="34"/>
  <c r="G26" i="32"/>
  <c r="G14" i="32"/>
  <c r="H25" i="32"/>
  <c r="H10" i="32"/>
  <c r="K5" i="35"/>
  <c r="G21" i="32"/>
  <c r="M44" i="38"/>
  <c r="G6" i="36"/>
  <c r="L46" i="32"/>
  <c r="G19" i="32"/>
  <c r="G23" i="32"/>
  <c r="G6" i="34"/>
  <c r="L36" i="32"/>
  <c r="H11" i="32"/>
  <c r="G6" i="32"/>
  <c r="H23" i="32"/>
  <c r="G20" i="32"/>
  <c r="G27" i="32"/>
  <c r="H13" i="32"/>
  <c r="G5" i="32"/>
  <c r="M48" i="38"/>
  <c r="L35" i="32"/>
  <c r="G22" i="32"/>
  <c r="G24" i="32"/>
  <c r="B4" i="35"/>
  <c r="G11" i="32"/>
  <c r="L44" i="32"/>
  <c r="G2" i="34"/>
  <c r="L34" i="32"/>
  <c r="L37" i="32"/>
  <c r="L2" i="34"/>
  <c r="E3" i="32"/>
  <c r="E16" i="32"/>
  <c r="E26" i="32"/>
  <c r="E7" i="32"/>
  <c r="F3" i="32"/>
  <c r="F16" i="32"/>
  <c r="F26" i="32"/>
  <c r="F7" i="32"/>
  <c r="B3" i="32"/>
  <c r="C3" i="32" s="1"/>
  <c r="H3" i="32" s="1"/>
  <c r="B16" i="32"/>
  <c r="C16" i="32" s="1"/>
  <c r="H16" i="32" s="1"/>
  <c r="B26" i="32"/>
  <c r="C26" i="32" s="1"/>
  <c r="H26" i="32" s="1"/>
  <c r="B7" i="32"/>
  <c r="C7" i="32" s="1"/>
  <c r="H7" i="32" s="1"/>
  <c r="O7" i="32" l="1"/>
  <c r="O26" i="32"/>
  <c r="O16" i="32"/>
  <c r="E4" i="32"/>
  <c r="O3" i="32"/>
  <c r="N7" i="32"/>
  <c r="N26" i="32"/>
  <c r="N16" i="32"/>
  <c r="N3" i="32"/>
  <c r="E3" i="36"/>
  <c r="C3" i="36"/>
  <c r="I11" i="32"/>
  <c r="I24" i="32"/>
  <c r="I22" i="32"/>
  <c r="G4" i="32"/>
  <c r="I27" i="32"/>
  <c r="I20" i="32"/>
  <c r="I6" i="32"/>
  <c r="C7" i="36"/>
  <c r="I23" i="32"/>
  <c r="I19" i="32"/>
  <c r="I21" i="32"/>
  <c r="I14" i="32"/>
  <c r="I26" i="32"/>
  <c r="J26" i="32" s="1"/>
  <c r="D3" i="36"/>
  <c r="E6" i="36"/>
  <c r="E5" i="36"/>
  <c r="E4" i="36"/>
  <c r="D6" i="36"/>
  <c r="I3" i="32"/>
  <c r="J3" i="32" s="1"/>
  <c r="C6" i="36"/>
  <c r="H14" i="36"/>
  <c r="H57" i="36"/>
  <c r="H24" i="36"/>
  <c r="H36" i="36"/>
  <c r="H41" i="36"/>
  <c r="H30" i="36"/>
  <c r="H52" i="36"/>
  <c r="H12" i="36"/>
  <c r="H39" i="36"/>
  <c r="H51" i="36"/>
  <c r="H27" i="36"/>
  <c r="H43" i="36"/>
  <c r="H44" i="36"/>
  <c r="H35" i="36"/>
  <c r="H54" i="36"/>
  <c r="H13" i="36"/>
  <c r="H26" i="36"/>
  <c r="H56" i="36"/>
  <c r="H34" i="36"/>
  <c r="H16" i="36"/>
  <c r="H20" i="36"/>
  <c r="H42" i="36"/>
  <c r="H29" i="36"/>
  <c r="H32" i="36"/>
  <c r="H28" i="36"/>
  <c r="H15" i="36"/>
  <c r="H48" i="36"/>
  <c r="H55" i="36"/>
  <c r="H59" i="36"/>
  <c r="H45" i="36"/>
  <c r="H37" i="36"/>
  <c r="H38" i="36"/>
  <c r="H46" i="36"/>
  <c r="H50" i="36"/>
  <c r="H11" i="36"/>
  <c r="H23" i="36"/>
  <c r="H31" i="36"/>
  <c r="H19" i="36"/>
  <c r="H25" i="36"/>
  <c r="H53" i="36"/>
  <c r="H21" i="36"/>
  <c r="H33" i="36"/>
  <c r="H22" i="36"/>
  <c r="H40" i="36"/>
  <c r="H17" i="36"/>
  <c r="H49" i="36"/>
  <c r="H18" i="36"/>
  <c r="H58" i="36"/>
  <c r="H47" i="36"/>
  <c r="I13" i="32"/>
  <c r="D5" i="36"/>
  <c r="E64" i="35"/>
  <c r="E65" i="35"/>
  <c r="E120" i="35"/>
  <c r="E67" i="35"/>
  <c r="E44" i="35"/>
  <c r="E39" i="35"/>
  <c r="E17" i="35"/>
  <c r="E78" i="35"/>
  <c r="E48" i="35"/>
  <c r="E76" i="35"/>
  <c r="E118" i="35"/>
  <c r="E10" i="35"/>
  <c r="E33" i="35"/>
  <c r="E26" i="35"/>
  <c r="E71" i="35"/>
  <c r="E31" i="35"/>
  <c r="E51" i="35"/>
  <c r="E27" i="35"/>
  <c r="E56" i="35"/>
  <c r="E91" i="35"/>
  <c r="E113" i="35"/>
  <c r="E19" i="35"/>
  <c r="E75" i="35"/>
  <c r="E5" i="35"/>
  <c r="E30" i="35"/>
  <c r="E14" i="35"/>
  <c r="E58" i="35"/>
  <c r="E79" i="35"/>
  <c r="E25" i="35"/>
  <c r="E7" i="35"/>
  <c r="E88" i="35"/>
  <c r="E100" i="35"/>
  <c r="E74" i="35"/>
  <c r="E22" i="35"/>
  <c r="E87" i="35"/>
  <c r="E97" i="35"/>
  <c r="E29" i="35"/>
  <c r="E50" i="35"/>
  <c r="E52" i="35"/>
  <c r="E32" i="35"/>
  <c r="E41" i="35"/>
  <c r="E125" i="35"/>
  <c r="E6" i="35"/>
  <c r="E89" i="35"/>
  <c r="E68" i="35"/>
  <c r="E62" i="35"/>
  <c r="E35" i="35"/>
  <c r="E115" i="35"/>
  <c r="E82" i="35"/>
  <c r="E110" i="35"/>
  <c r="E49" i="35"/>
  <c r="E104" i="35"/>
  <c r="E43" i="35"/>
  <c r="E20" i="35"/>
  <c r="E61" i="35"/>
  <c r="E84" i="35"/>
  <c r="E37" i="35"/>
  <c r="E122" i="35"/>
  <c r="E105" i="35"/>
  <c r="E112" i="35"/>
  <c r="E123" i="35"/>
  <c r="E102" i="35"/>
  <c r="E107" i="35"/>
  <c r="E63" i="35"/>
  <c r="E34" i="35"/>
  <c r="E57" i="35"/>
  <c r="E38" i="35"/>
  <c r="E94" i="35"/>
  <c r="E80" i="35"/>
  <c r="E98" i="35"/>
  <c r="E12" i="35"/>
  <c r="E2" i="35"/>
  <c r="E124" i="35"/>
  <c r="E16" i="35"/>
  <c r="E121" i="35"/>
  <c r="E103" i="35"/>
  <c r="E59" i="35"/>
  <c r="E55" i="35"/>
  <c r="E99" i="35"/>
  <c r="E15" i="35"/>
  <c r="E21" i="35"/>
  <c r="E81" i="35"/>
  <c r="E28" i="35"/>
  <c r="E8" i="35"/>
  <c r="E77" i="35"/>
  <c r="E96" i="35"/>
  <c r="E69" i="35"/>
  <c r="E66" i="35"/>
  <c r="E45" i="35"/>
  <c r="E3" i="35"/>
  <c r="E46" i="35"/>
  <c r="E86" i="35"/>
  <c r="E111" i="35"/>
  <c r="E116" i="35"/>
  <c r="E85" i="35"/>
  <c r="E42" i="35"/>
  <c r="E127" i="35"/>
  <c r="E23" i="35"/>
  <c r="E106" i="35"/>
  <c r="E109" i="35"/>
  <c r="E119" i="35"/>
  <c r="E18" i="35"/>
  <c r="E60" i="35"/>
  <c r="E93" i="35"/>
  <c r="E36" i="35"/>
  <c r="E53" i="35"/>
  <c r="E108" i="35"/>
  <c r="E117" i="35"/>
  <c r="E72" i="35"/>
  <c r="E83" i="35"/>
  <c r="E90" i="35"/>
  <c r="E95" i="35"/>
  <c r="E24" i="35"/>
  <c r="E9" i="35"/>
  <c r="E40" i="35"/>
  <c r="E11" i="35"/>
  <c r="E126" i="35"/>
  <c r="E47" i="35"/>
  <c r="E70" i="35"/>
  <c r="E4" i="35"/>
  <c r="E114" i="35"/>
  <c r="E92" i="35"/>
  <c r="E73" i="35"/>
  <c r="E13" i="35"/>
  <c r="E54" i="35"/>
  <c r="E101" i="35"/>
  <c r="E7" i="36"/>
  <c r="D4" i="36"/>
  <c r="I7" i="32"/>
  <c r="I25" i="32"/>
  <c r="I10" i="32"/>
  <c r="C5" i="36"/>
  <c r="I12" i="32"/>
  <c r="I15" i="32"/>
  <c r="I2" i="32"/>
  <c r="I16" i="32"/>
  <c r="J16" i="32" s="1"/>
  <c r="D7" i="36"/>
  <c r="C4" i="36"/>
  <c r="F3" i="36"/>
  <c r="I31" i="32"/>
  <c r="F4" i="36"/>
  <c r="B4" i="32"/>
  <c r="C4" i="32" s="1"/>
  <c r="H4" i="32" s="1"/>
  <c r="F7" i="36"/>
  <c r="F6" i="36"/>
  <c r="F5" i="36"/>
  <c r="J12" i="32" l="1"/>
  <c r="I4" i="32"/>
  <c r="J10" i="32"/>
  <c r="J21" i="32"/>
  <c r="J24" i="32"/>
  <c r="P16" i="32"/>
  <c r="U16" i="32"/>
  <c r="T16" i="32"/>
  <c r="J13" i="32"/>
  <c r="T26" i="32"/>
  <c r="P26" i="32"/>
  <c r="U26" i="32"/>
  <c r="J27" i="32"/>
  <c r="J14" i="32"/>
  <c r="J22" i="32"/>
  <c r="J19" i="32"/>
  <c r="P3" i="32"/>
  <c r="U3" i="32"/>
  <c r="T3" i="32"/>
  <c r="J7" i="32"/>
  <c r="J23" i="32"/>
  <c r="J11" i="32"/>
  <c r="N4" i="32"/>
  <c r="J20" i="32"/>
  <c r="T7" i="32"/>
  <c r="P7" i="32"/>
  <c r="U7" i="32"/>
  <c r="Y18" i="32" a="1"/>
  <c r="X18" i="32" a="1"/>
  <c r="Z18" i="32" a="1"/>
  <c r="AD18" i="32" a="1"/>
  <c r="K27" i="32"/>
  <c r="X9" i="32" a="1"/>
  <c r="K12" i="32"/>
  <c r="K10" i="32"/>
  <c r="K13" i="32"/>
  <c r="H31" i="32"/>
  <c r="AD9" i="32" a="1"/>
  <c r="L13" i="32"/>
  <c r="L10" i="32"/>
  <c r="L12" i="32"/>
  <c r="K14" i="32"/>
  <c r="L14" i="32" s="1"/>
  <c r="K11" i="32"/>
  <c r="L11" i="32" s="1"/>
  <c r="F3" i="38" a="1"/>
  <c r="D3" i="38" a="1"/>
  <c r="C3" i="38" a="1"/>
  <c r="E3" i="38" a="1"/>
  <c r="Z9" i="32" a="1"/>
  <c r="B3" i="38" a="1"/>
  <c r="Y9" i="32" a="1"/>
  <c r="K21" i="32"/>
  <c r="L21" i="32" s="1"/>
  <c r="K24" i="32"/>
  <c r="L24" i="32" s="1"/>
  <c r="K22" i="32"/>
  <c r="L22" i="32" s="1"/>
  <c r="K19" i="32"/>
  <c r="K23" i="32"/>
  <c r="L23" i="32" s="1"/>
  <c r="K20" i="32"/>
  <c r="L20" i="32" s="1"/>
  <c r="L19" i="32"/>
  <c r="P31" i="32" l="1"/>
  <c r="Y11" i="32"/>
  <c r="Y10" i="32"/>
  <c r="Y9" i="32"/>
  <c r="B5" i="38"/>
  <c r="B4" i="38"/>
  <c r="B3" i="38"/>
  <c r="Z11" i="32"/>
  <c r="Z10" i="32"/>
  <c r="Z9" i="32"/>
  <c r="E3" i="38"/>
  <c r="E4" i="38"/>
  <c r="E5" i="38"/>
  <c r="C3" i="38"/>
  <c r="C4" i="38"/>
  <c r="C5" i="38"/>
  <c r="D5" i="38"/>
  <c r="D4" i="38"/>
  <c r="D3" i="38"/>
  <c r="F4" i="38"/>
  <c r="F3" i="38"/>
  <c r="F5" i="38"/>
  <c r="AD10" i="32"/>
  <c r="AD9" i="32"/>
  <c r="AD11" i="32"/>
  <c r="H32" i="32"/>
  <c r="I32" i="32"/>
  <c r="X11" i="32"/>
  <c r="X10" i="32"/>
  <c r="X9" i="32"/>
  <c r="K26" i="32"/>
  <c r="Q31" i="32" s="1"/>
  <c r="AD20" i="32"/>
  <c r="AD19" i="32"/>
  <c r="AD18" i="32"/>
  <c r="Z18" i="32"/>
  <c r="Z20" i="32"/>
  <c r="Z19" i="32"/>
  <c r="X19" i="32"/>
  <c r="X18" i="32"/>
  <c r="X20" i="32"/>
  <c r="Y19" i="32"/>
  <c r="Y20" i="32"/>
  <c r="Y18" i="32"/>
  <c r="U4" i="32"/>
  <c r="P4" i="32"/>
  <c r="T4" i="32"/>
  <c r="J4" i="32"/>
  <c r="H3" i="38"/>
  <c r="F11" i="38"/>
  <c r="H5" i="38"/>
  <c r="F10" i="38"/>
  <c r="E9" i="38"/>
  <c r="F9" i="38"/>
  <c r="E10" i="38"/>
  <c r="G3" i="38"/>
  <c r="E11" i="38"/>
  <c r="K4" i="32"/>
  <c r="G4" i="38"/>
  <c r="G5" i="38"/>
  <c r="H4" i="38"/>
  <c r="I5" i="38" l="1"/>
  <c r="T5" i="38" s="1"/>
  <c r="I4" i="38"/>
  <c r="K3" i="32"/>
  <c r="N31" i="32"/>
  <c r="I3" i="38"/>
  <c r="H9" i="38"/>
  <c r="I9" i="38"/>
  <c r="N3" i="38" s="1"/>
  <c r="G9" i="38"/>
  <c r="I10" i="38"/>
  <c r="N4" i="38" s="1"/>
  <c r="H10" i="38"/>
  <c r="G10" i="38"/>
  <c r="I11" i="38"/>
  <c r="N5" i="38" s="1"/>
  <c r="H11" i="38"/>
  <c r="O5" i="38" s="1"/>
  <c r="G11" i="38"/>
  <c r="P5" i="38" s="1"/>
  <c r="AF18" i="32" a="1"/>
  <c r="AF9" i="32" a="1"/>
  <c r="AC80" i="32"/>
  <c r="AC39" i="32"/>
  <c r="AC58" i="32"/>
  <c r="AC67" i="32"/>
  <c r="AC77" i="32"/>
  <c r="AC70" i="32"/>
  <c r="AC91" i="32"/>
  <c r="AC46" i="32"/>
  <c r="AC72" i="32"/>
  <c r="AC38" i="32"/>
  <c r="AC43" i="32"/>
  <c r="AC76" i="32"/>
  <c r="AC65" i="32"/>
  <c r="AC74" i="32"/>
  <c r="AC88" i="32"/>
  <c r="AC93" i="32"/>
  <c r="AC44" i="32"/>
  <c r="AC81" i="32"/>
  <c r="AC51" i="32"/>
  <c r="AC34" i="32"/>
  <c r="AC63" i="32"/>
  <c r="AC78" i="32"/>
  <c r="AC54" i="32"/>
  <c r="AC87" i="32"/>
  <c r="AC86" i="32"/>
  <c r="AC48" i="32"/>
  <c r="AC32" i="32"/>
  <c r="AC73" i="32"/>
  <c r="AC61" i="32"/>
  <c r="AC66" i="32"/>
  <c r="AC84" i="32"/>
  <c r="AC45" i="32"/>
  <c r="AC79" i="32"/>
  <c r="AC41" i="32"/>
  <c r="AC95" i="32"/>
  <c r="AC30" i="32"/>
  <c r="AC35" i="32"/>
  <c r="AC50" i="32"/>
  <c r="AC90" i="32"/>
  <c r="AC83" i="32"/>
  <c r="AC89" i="32"/>
  <c r="AC85" i="32"/>
  <c r="AC55" i="32"/>
  <c r="AC69" i="32"/>
  <c r="AC64" i="32"/>
  <c r="AC56" i="32"/>
  <c r="AC47" i="32"/>
  <c r="AC62" i="32"/>
  <c r="AC92" i="32"/>
  <c r="AC96" i="32"/>
  <c r="AC31" i="32"/>
  <c r="AC53" i="32"/>
  <c r="AC36" i="32"/>
  <c r="AC57" i="32"/>
  <c r="AC49" i="32"/>
  <c r="AC42" i="32"/>
  <c r="AC40" i="32"/>
  <c r="AC52" i="32"/>
  <c r="AC59" i="32"/>
  <c r="AC75" i="32"/>
  <c r="AC71" i="32"/>
  <c r="AC60" i="32"/>
  <c r="AC82" i="32"/>
  <c r="AC37" i="32"/>
  <c r="AC68" i="32"/>
  <c r="AC33" i="32"/>
  <c r="AC94" i="32"/>
  <c r="P13" i="38" l="1"/>
  <c r="V13" i="38" s="1"/>
  <c r="P9" i="38"/>
  <c r="P3" i="38"/>
  <c r="O3" i="38"/>
  <c r="O9" i="38"/>
  <c r="T13" i="38"/>
  <c r="T9" i="38"/>
  <c r="T3" i="38"/>
  <c r="P4" i="38"/>
  <c r="P10" i="38"/>
  <c r="AF20" i="32"/>
  <c r="AG20" i="32"/>
  <c r="AH18" i="32"/>
  <c r="AG18" i="32"/>
  <c r="AF18" i="32"/>
  <c r="AF19" i="32"/>
  <c r="AH19" i="32"/>
  <c r="AG19" i="32"/>
  <c r="AH20" i="32"/>
  <c r="AF11" i="32"/>
  <c r="AH11" i="32"/>
  <c r="AF10" i="32"/>
  <c r="AG11" i="32"/>
  <c r="AF9" i="32"/>
  <c r="AG10" i="32"/>
  <c r="AH10" i="32"/>
  <c r="AG9" i="32"/>
  <c r="AH9" i="32"/>
  <c r="O10" i="38"/>
  <c r="O4" i="38"/>
  <c r="T10" i="38"/>
  <c r="T4" i="38"/>
  <c r="V9" i="38" l="1" a="1"/>
  <c r="AB9" i="32" a="1"/>
  <c r="AB18" i="32" a="1"/>
  <c r="V3" i="38" a="1"/>
  <c r="R13" i="38"/>
  <c r="D72" i="38" l="1"/>
  <c r="D82" i="38"/>
  <c r="D34" i="38"/>
  <c r="D25" i="38"/>
  <c r="D26" i="38"/>
  <c r="D66" i="38"/>
  <c r="D74" i="38"/>
  <c r="D67" i="38"/>
  <c r="D77" i="38"/>
  <c r="D35" i="38"/>
  <c r="D83" i="38"/>
  <c r="D22" i="38"/>
  <c r="D47" i="38"/>
  <c r="D70" i="38"/>
  <c r="D75" i="38"/>
  <c r="D33" i="38"/>
  <c r="D63" i="38"/>
  <c r="D19" i="38"/>
  <c r="D79" i="38"/>
  <c r="D38" i="38"/>
  <c r="D57" i="38"/>
  <c r="D43" i="38"/>
  <c r="D64" i="38"/>
  <c r="D44" i="38"/>
  <c r="D39" i="38"/>
  <c r="D41" i="38"/>
  <c r="D17" i="38"/>
  <c r="D61" i="38"/>
  <c r="D73" i="38"/>
  <c r="D60" i="38"/>
  <c r="D54" i="38"/>
  <c r="Q49" i="38"/>
  <c r="M60" i="38" s="1"/>
  <c r="Q46" i="38"/>
  <c r="M57" i="38" s="1"/>
  <c r="D30" i="38"/>
  <c r="D71" i="38"/>
  <c r="D36" i="38"/>
  <c r="D78" i="38"/>
  <c r="D69" i="38"/>
  <c r="D62" i="38"/>
  <c r="D21" i="38"/>
  <c r="D31" i="38"/>
  <c r="D24" i="38"/>
  <c r="Q50" i="38"/>
  <c r="M61" i="38" s="1"/>
  <c r="D45" i="38"/>
  <c r="D32" i="38"/>
  <c r="D59" i="38"/>
  <c r="D53" i="38"/>
  <c r="D20" i="38"/>
  <c r="D46" i="38"/>
  <c r="D50" i="38"/>
  <c r="D28" i="38"/>
  <c r="D76" i="38"/>
  <c r="D27" i="38"/>
  <c r="Q48" i="38"/>
  <c r="M59" i="38" s="1"/>
  <c r="D65" i="38"/>
  <c r="D48" i="38"/>
  <c r="D42" i="38"/>
  <c r="D80" i="38"/>
  <c r="D58" i="38"/>
  <c r="D40" i="38"/>
  <c r="D37" i="38"/>
  <c r="D52" i="38"/>
  <c r="D68" i="38"/>
  <c r="D23" i="38"/>
  <c r="Q45" i="38"/>
  <c r="M56" i="38" s="1"/>
  <c r="D18" i="38"/>
  <c r="D29" i="38"/>
  <c r="Q44" i="38"/>
  <c r="M55" i="38" s="1"/>
  <c r="Q47" i="38"/>
  <c r="M58" i="38" s="1"/>
  <c r="D81" i="38"/>
  <c r="D51" i="38"/>
  <c r="D56" i="38"/>
  <c r="D55" i="38"/>
  <c r="D49" i="38"/>
  <c r="V4" i="38"/>
  <c r="V5" i="38"/>
  <c r="W3" i="38"/>
  <c r="X3" i="38"/>
  <c r="W5" i="38"/>
  <c r="X5" i="38"/>
  <c r="V3" i="38"/>
  <c r="W4" i="38"/>
  <c r="X4" i="38"/>
  <c r="AB20" i="32"/>
  <c r="U32" i="32" s="1"/>
  <c r="AB18" i="32"/>
  <c r="AB19" i="32"/>
  <c r="U31" i="32" s="1"/>
  <c r="AB11" i="32"/>
  <c r="AB9" i="32"/>
  <c r="AB10" i="32"/>
  <c r="W9" i="38"/>
  <c r="V10" i="38"/>
  <c r="V9" i="38"/>
  <c r="W10" i="38"/>
  <c r="U30" i="32" l="1"/>
  <c r="AJ18" i="32" a="1"/>
  <c r="R9" i="38" a="1"/>
  <c r="R3" i="38" a="1"/>
  <c r="T31" i="32"/>
  <c r="T30" i="32"/>
  <c r="AJ9" i="32" a="1"/>
  <c r="T32" i="32"/>
  <c r="R10" i="38" l="1"/>
  <c r="R9" i="38"/>
  <c r="T39" i="32"/>
  <c r="O39" i="32" s="1"/>
  <c r="H39" i="32" s="1"/>
  <c r="J13" i="33" s="1"/>
  <c r="T36" i="32"/>
  <c r="O36" i="32" s="1"/>
  <c r="H36" i="32" s="1"/>
  <c r="J10" i="33" s="1"/>
  <c r="T38" i="32"/>
  <c r="O38" i="32" s="1"/>
  <c r="H38" i="32" s="1"/>
  <c r="J12" i="33" s="1"/>
  <c r="T34" i="32"/>
  <c r="O34" i="32" s="1"/>
  <c r="H34" i="32" s="1"/>
  <c r="J8" i="33" s="1"/>
  <c r="T40" i="32"/>
  <c r="O40" i="32" s="1"/>
  <c r="H40" i="32" s="1"/>
  <c r="J14" i="33" s="1"/>
  <c r="T37" i="32"/>
  <c r="O37" i="32" s="1"/>
  <c r="H37" i="32" s="1"/>
  <c r="J11" i="33" s="1"/>
  <c r="T35" i="32"/>
  <c r="O35" i="32" s="1"/>
  <c r="H35" i="32" s="1"/>
  <c r="J9" i="33" s="1"/>
  <c r="AJ20" i="32"/>
  <c r="AJ19" i="32"/>
  <c r="AJ18" i="32"/>
  <c r="R4" i="38"/>
  <c r="R5" i="38"/>
  <c r="R3" i="38"/>
  <c r="AE58" i="32"/>
  <c r="AE50" i="32"/>
  <c r="AE55" i="32"/>
  <c r="AE30" i="32"/>
  <c r="AE93" i="32"/>
  <c r="AE36" i="32"/>
  <c r="AE45" i="32"/>
  <c r="AE63" i="32"/>
  <c r="AE89" i="32"/>
  <c r="AE44" i="32"/>
  <c r="AE48" i="32"/>
  <c r="AE41" i="32"/>
  <c r="AE85" i="32"/>
  <c r="AE71" i="32"/>
  <c r="AE51" i="32"/>
  <c r="AE46" i="32"/>
  <c r="AE70" i="32"/>
  <c r="AE56" i="32"/>
  <c r="AE33" i="32"/>
  <c r="AE42" i="32"/>
  <c r="AE78" i="32"/>
  <c r="AE37" i="32"/>
  <c r="AE92" i="32"/>
  <c r="AE86" i="32"/>
  <c r="AE40" i="32"/>
  <c r="AE87" i="32"/>
  <c r="AE73" i="32"/>
  <c r="AE52" i="32"/>
  <c r="AE62" i="32"/>
  <c r="AE64" i="32"/>
  <c r="AE54" i="32"/>
  <c r="AE60" i="32"/>
  <c r="AE76" i="32"/>
  <c r="AE57" i="32"/>
  <c r="AE80" i="32"/>
  <c r="AE39" i="32"/>
  <c r="AE88" i="32"/>
  <c r="AE68" i="32"/>
  <c r="AE59" i="32"/>
  <c r="AE32" i="32"/>
  <c r="AE95" i="32"/>
  <c r="AE83" i="32"/>
  <c r="AE82" i="32"/>
  <c r="AE66" i="32"/>
  <c r="AE96" i="32"/>
  <c r="AE31" i="32"/>
  <c r="AE65" i="32"/>
  <c r="AE43" i="32"/>
  <c r="AE47" i="32"/>
  <c r="AE49" i="32"/>
  <c r="AE53" i="32"/>
  <c r="AE69" i="32"/>
  <c r="AE61" i="32"/>
  <c r="AE74" i="32"/>
  <c r="AE79" i="32"/>
  <c r="AE81" i="32"/>
  <c r="AE94" i="32"/>
  <c r="AE34" i="32"/>
  <c r="AE84" i="32"/>
  <c r="AE91" i="32"/>
  <c r="AE75" i="32"/>
  <c r="AE67" i="32"/>
  <c r="AE90" i="32"/>
  <c r="AE35" i="32"/>
  <c r="AE77" i="32"/>
  <c r="AE72" i="32"/>
  <c r="AE38" i="32"/>
  <c r="AJ10" i="32"/>
  <c r="AJ11" i="32"/>
  <c r="AJ9" i="32"/>
  <c r="U35" i="32"/>
  <c r="P35" i="32" s="1"/>
  <c r="I35" i="32" s="1"/>
  <c r="J16" i="33" s="1"/>
  <c r="U36" i="32"/>
  <c r="P36" i="32" s="1"/>
  <c r="I36" i="32" s="1"/>
  <c r="J17" i="33" s="1"/>
  <c r="U41" i="32"/>
  <c r="P41" i="32" s="1"/>
  <c r="I41" i="32" s="1"/>
  <c r="J22" i="33" s="1"/>
  <c r="U38" i="32"/>
  <c r="P38" i="32" s="1"/>
  <c r="I38" i="32" s="1"/>
  <c r="J19" i="33" s="1"/>
  <c r="U34" i="32"/>
  <c r="P34" i="32" s="1"/>
  <c r="I34" i="32" s="1"/>
  <c r="J15" i="33" s="1"/>
  <c r="U40" i="32"/>
  <c r="P40" i="32" s="1"/>
  <c r="I40" i="32" s="1"/>
  <c r="J21" i="33" s="1"/>
  <c r="U42" i="32"/>
  <c r="P42" i="32" s="1"/>
  <c r="I42" i="32" s="1"/>
  <c r="J23" i="33" s="1"/>
  <c r="U37" i="32"/>
  <c r="P37" i="32" s="1"/>
  <c r="I37" i="32" s="1"/>
  <c r="J18" i="33" s="1"/>
  <c r="U43" i="32"/>
  <c r="P43" i="32" s="1"/>
  <c r="I43" i="32" s="1"/>
  <c r="J24" i="33" s="1"/>
  <c r="U39" i="32"/>
  <c r="P39" i="32" s="1"/>
  <c r="I39" i="32" s="1"/>
  <c r="J20" i="33" s="1"/>
  <c r="S44" i="38" l="1"/>
  <c r="O55" i="38" s="1"/>
  <c r="F56" i="38"/>
  <c r="F21" i="38"/>
  <c r="F76" i="38"/>
  <c r="F44" i="38"/>
  <c r="F49" i="38"/>
  <c r="F30" i="38"/>
  <c r="F45" i="38"/>
  <c r="F70" i="38"/>
  <c r="F32" i="38"/>
  <c r="F67" i="38"/>
  <c r="F69" i="38"/>
  <c r="F41" i="38"/>
  <c r="F43" i="38"/>
  <c r="F61" i="38"/>
  <c r="F48" i="38"/>
  <c r="F58" i="38"/>
  <c r="F64" i="38"/>
  <c r="F20" i="38"/>
  <c r="F55" i="38"/>
  <c r="S48" i="38"/>
  <c r="O59" i="38" s="1"/>
  <c r="F63" i="38"/>
  <c r="F36" i="38"/>
  <c r="F82" i="38"/>
  <c r="F59" i="38"/>
  <c r="F53" i="38"/>
  <c r="F37" i="38"/>
  <c r="F75" i="38"/>
  <c r="F79" i="38"/>
  <c r="F52" i="38"/>
  <c r="F17" i="38"/>
  <c r="F66" i="38"/>
  <c r="F42" i="38"/>
  <c r="F39" i="38"/>
  <c r="F40" i="38"/>
  <c r="F46" i="38"/>
  <c r="F60" i="38"/>
  <c r="F72" i="38"/>
  <c r="F24" i="38"/>
  <c r="F83" i="38"/>
  <c r="S45" i="38"/>
  <c r="O56" i="38" s="1"/>
  <c r="F27" i="38"/>
  <c r="F51" i="38"/>
  <c r="F34" i="38"/>
  <c r="F74" i="38"/>
  <c r="F80" i="38"/>
  <c r="F35" i="38"/>
  <c r="F18" i="38"/>
  <c r="F50" i="38"/>
  <c r="F28" i="38"/>
  <c r="F81" i="38"/>
  <c r="F68" i="38"/>
  <c r="F26" i="38"/>
  <c r="F65" i="38"/>
  <c r="F25" i="38"/>
  <c r="F47" i="38"/>
  <c r="F77" i="38"/>
  <c r="F57" i="38"/>
  <c r="S49" i="38"/>
  <c r="O60" i="38" s="1"/>
  <c r="F33" i="38"/>
  <c r="S50" i="38"/>
  <c r="O61" i="38" s="1"/>
  <c r="S47" i="38"/>
  <c r="O58" i="38" s="1"/>
  <c r="F22" i="38"/>
  <c r="S46" i="38"/>
  <c r="O57" i="38" s="1"/>
  <c r="F73" i="38"/>
  <c r="F19" i="38"/>
  <c r="F78" i="38"/>
  <c r="F29" i="38"/>
  <c r="F71" i="38"/>
  <c r="F23" i="38"/>
  <c r="F38" i="38"/>
  <c r="F62" i="38"/>
  <c r="F54" i="38"/>
  <c r="F31" i="38"/>
  <c r="R49" i="38"/>
  <c r="N60" i="38" s="1"/>
  <c r="E23" i="38"/>
  <c r="E69" i="38"/>
  <c r="E82" i="38"/>
  <c r="R50" i="38"/>
  <c r="N61" i="38" s="1"/>
  <c r="E55" i="38"/>
  <c r="E42" i="38"/>
  <c r="E52" i="38"/>
  <c r="E18" i="38"/>
  <c r="E64" i="38"/>
  <c r="R48" i="38"/>
  <c r="N59" i="38" s="1"/>
  <c r="E39" i="38"/>
  <c r="E45" i="38"/>
  <c r="E22" i="38"/>
  <c r="E29" i="38"/>
  <c r="E19" i="38"/>
  <c r="E17" i="38"/>
  <c r="E70" i="38"/>
  <c r="E50" i="38"/>
  <c r="E68" i="38"/>
  <c r="E40" i="38"/>
  <c r="E58" i="38"/>
  <c r="E48" i="38"/>
  <c r="E47" i="38"/>
  <c r="E38" i="38"/>
  <c r="E25" i="38"/>
  <c r="E57" i="38"/>
  <c r="E31" i="38"/>
  <c r="E75" i="38"/>
  <c r="E66" i="38"/>
  <c r="E34" i="38"/>
  <c r="E83" i="38"/>
  <c r="E27" i="38"/>
  <c r="E28" i="38"/>
  <c r="E26" i="38"/>
  <c r="E35" i="38"/>
  <c r="E32" i="38"/>
  <c r="E67" i="38"/>
  <c r="E73" i="38"/>
  <c r="E51" i="38"/>
  <c r="E74" i="38"/>
  <c r="E72" i="38"/>
  <c r="R44" i="38"/>
  <c r="N55" i="38" s="1"/>
  <c r="E60" i="38"/>
  <c r="E78" i="38"/>
  <c r="E62" i="38"/>
  <c r="E21" i="38"/>
  <c r="E65" i="38"/>
  <c r="E36" i="38"/>
  <c r="E30" i="38"/>
  <c r="E54" i="38"/>
  <c r="R45" i="38"/>
  <c r="N56" i="38" s="1"/>
  <c r="E49" i="38"/>
  <c r="E44" i="38"/>
  <c r="E71" i="38"/>
  <c r="R46" i="38"/>
  <c r="N57" i="38" s="1"/>
  <c r="E46" i="38"/>
  <c r="E43" i="38"/>
  <c r="E76" i="38"/>
  <c r="E63" i="38"/>
  <c r="E33" i="38"/>
  <c r="E80" i="38"/>
  <c r="E53" i="38"/>
  <c r="E56" i="38"/>
  <c r="E81" i="38"/>
  <c r="E59" i="38"/>
  <c r="E24" i="38"/>
  <c r="E20" i="38"/>
  <c r="E37" i="38"/>
  <c r="E61" i="38"/>
  <c r="E77" i="38"/>
  <c r="E41" i="38"/>
  <c r="R47" i="38"/>
  <c r="N58" i="38" s="1"/>
  <c r="E79" i="38"/>
  <c r="N3" i="33" a="1"/>
  <c r="N17" i="33"/>
  <c r="O17" i="33"/>
  <c r="N9" i="33"/>
  <c r="O9" i="33"/>
  <c r="N24" i="33"/>
  <c r="O24" i="33"/>
  <c r="N16" i="33"/>
  <c r="O16" i="33"/>
  <c r="N8" i="33"/>
  <c r="O8" i="33"/>
  <c r="N23" i="33"/>
  <c r="O23" i="33"/>
  <c r="N15" i="33"/>
  <c r="O15" i="33"/>
  <c r="N22" i="33"/>
  <c r="O22" i="33"/>
  <c r="N14" i="33"/>
  <c r="O14" i="33"/>
  <c r="N21" i="33"/>
  <c r="O21" i="33"/>
  <c r="N13" i="33"/>
  <c r="O13" i="33"/>
  <c r="N20" i="33"/>
  <c r="O20" i="33"/>
  <c r="N12" i="33"/>
  <c r="O12" i="33"/>
  <c r="N19" i="33"/>
  <c r="O19" i="33"/>
  <c r="N18" i="33"/>
  <c r="O18" i="33"/>
  <c r="P15" i="33"/>
  <c r="N11" i="33"/>
  <c r="O11" i="33"/>
  <c r="N10" i="33"/>
  <c r="O10" i="33"/>
  <c r="P8" i="33"/>
  <c r="L26" i="32"/>
  <c r="L27" i="32"/>
  <c r="L4" i="32"/>
  <c r="K9" i="32"/>
  <c r="J31" i="32"/>
  <c r="D43" i="29"/>
  <c r="G31" i="32"/>
  <c r="K18" i="32"/>
  <c r="D44" i="29"/>
  <c r="L3" i="32"/>
  <c r="N32" i="32"/>
  <c r="O31" i="32"/>
  <c r="Q32" i="32"/>
  <c r="G32" i="32"/>
  <c r="J32" i="32"/>
  <c r="L18" i="32"/>
  <c r="P32" i="32"/>
  <c r="L9" i="32"/>
  <c r="O32" i="32"/>
  <c r="AD30" i="32" s="1"/>
  <c r="AD55" i="32"/>
  <c r="AD41" i="32"/>
  <c r="AD92" i="32"/>
  <c r="AD85" i="32"/>
  <c r="AD72" i="32"/>
  <c r="AD48" i="32"/>
  <c r="AD56" i="32"/>
  <c r="AD67" i="32"/>
  <c r="Q49" i="32"/>
  <c r="J49" i="32"/>
  <c r="J40" i="33"/>
  <c r="Q44" i="32"/>
  <c r="J44" i="32" s="1"/>
  <c r="J35" i="33" s="1"/>
  <c r="Q35" i="32"/>
  <c r="J35" i="32" s="1"/>
  <c r="J26" i="33" s="1"/>
  <c r="Q48" i="32"/>
  <c r="J48" i="32"/>
  <c r="J39" i="33" s="1"/>
  <c r="Q38" i="32"/>
  <c r="J38" i="32"/>
  <c r="J29" i="33" s="1"/>
  <c r="Q42" i="32"/>
  <c r="J42" i="32"/>
  <c r="J33" i="33" s="1"/>
  <c r="N33" i="33" s="1"/>
  <c r="Q40" i="32"/>
  <c r="J40" i="32"/>
  <c r="J31" i="33" s="1"/>
  <c r="Q43" i="32"/>
  <c r="J43" i="32" s="1"/>
  <c r="J34" i="33" s="1"/>
  <c r="Q45" i="32"/>
  <c r="J45" i="32" s="1"/>
  <c r="J36" i="33" s="1"/>
  <c r="Q47" i="32"/>
  <c r="J47" i="32" s="1"/>
  <c r="J38" i="33" s="1"/>
  <c r="Q39" i="32"/>
  <c r="J39" i="32" s="1"/>
  <c r="J30" i="33" s="1"/>
  <c r="Q37" i="32"/>
  <c r="J37" i="32" s="1"/>
  <c r="J28" i="33" s="1"/>
  <c r="Q34" i="32"/>
  <c r="J34" i="32" s="1"/>
  <c r="J25" i="33" s="1"/>
  <c r="Q36" i="32"/>
  <c r="J36" i="32"/>
  <c r="J27" i="33" s="1"/>
  <c r="Q41" i="32"/>
  <c r="J41" i="32" s="1"/>
  <c r="J32" i="33" s="1"/>
  <c r="Q46" i="32"/>
  <c r="J46" i="32" s="1"/>
  <c r="J37" i="33" s="1"/>
  <c r="N36" i="32"/>
  <c r="G36" i="32"/>
  <c r="J5" i="33"/>
  <c r="N37" i="32"/>
  <c r="G37" i="32" s="1"/>
  <c r="J6" i="33" s="1"/>
  <c r="N34" i="32"/>
  <c r="G34" i="32" s="1"/>
  <c r="J3" i="33" s="1"/>
  <c r="N35" i="32"/>
  <c r="G35" i="32" s="1"/>
  <c r="J4" i="33" s="1"/>
  <c r="N38" i="32"/>
  <c r="G38" i="32" s="1"/>
  <c r="J7" i="33" s="1"/>
  <c r="O33" i="33"/>
  <c r="AD58" i="32" l="1"/>
  <c r="AD64" i="32"/>
  <c r="AD86" i="32"/>
  <c r="AD78" i="32"/>
  <c r="AD50" i="32"/>
  <c r="AD39" i="32"/>
  <c r="AD44" i="32"/>
  <c r="AD57" i="32"/>
  <c r="AD65" i="32"/>
  <c r="AD91" i="32"/>
  <c r="AD88" i="32"/>
  <c r="AD33" i="32"/>
  <c r="AD47" i="32"/>
  <c r="AD40" i="32"/>
  <c r="AD77" i="32"/>
  <c r="AD66" i="32"/>
  <c r="AD68" i="32"/>
  <c r="AD82" i="32"/>
  <c r="AD59" i="32"/>
  <c r="AD75" i="32"/>
  <c r="AD79" i="32"/>
  <c r="AD34" i="32"/>
  <c r="AD71" i="32"/>
  <c r="AD36" i="32"/>
  <c r="AD43" i="32"/>
  <c r="AD96" i="32"/>
  <c r="AD37" i="32"/>
  <c r="AD76" i="32"/>
  <c r="AD51" i="32"/>
  <c r="AD61" i="32"/>
  <c r="AD81" i="32"/>
  <c r="AD63" i="32"/>
  <c r="AD69" i="32"/>
  <c r="AD53" i="32"/>
  <c r="AD87" i="32"/>
  <c r="AD89" i="32"/>
  <c r="AD46" i="32"/>
  <c r="AD52" i="32"/>
  <c r="AD31" i="32"/>
  <c r="AD45" i="32"/>
  <c r="AD32" i="32"/>
  <c r="AD94" i="32"/>
  <c r="AD90" i="32"/>
  <c r="AD42" i="32"/>
  <c r="AD73" i="32"/>
  <c r="AD38" i="32"/>
  <c r="AD49" i="32"/>
  <c r="AD95" i="32"/>
  <c r="AD35" i="32"/>
  <c r="AD84" i="32"/>
  <c r="AD93" i="32"/>
  <c r="AD70" i="32"/>
  <c r="AD80" i="32"/>
  <c r="AD83" i="32"/>
  <c r="AD54" i="32"/>
  <c r="AD74" i="32"/>
  <c r="AD60" i="32"/>
  <c r="AD62" i="32"/>
  <c r="N25" i="33"/>
  <c r="O25" i="33"/>
  <c r="N40" i="33"/>
  <c r="O40" i="33"/>
  <c r="N32" i="33"/>
  <c r="O32" i="33"/>
  <c r="N39" i="33"/>
  <c r="O39" i="33"/>
  <c r="N31" i="33"/>
  <c r="O31" i="33"/>
  <c r="N7" i="33"/>
  <c r="O7" i="33"/>
  <c r="N38" i="33"/>
  <c r="O38" i="33"/>
  <c r="N30" i="33"/>
  <c r="O30" i="33"/>
  <c r="N6" i="33"/>
  <c r="O6" i="33"/>
  <c r="N37" i="33"/>
  <c r="O37" i="33"/>
  <c r="N29" i="33"/>
  <c r="O29" i="33"/>
  <c r="N5" i="33"/>
  <c r="O5" i="33"/>
  <c r="N36" i="33"/>
  <c r="O36" i="33"/>
  <c r="N28" i="33"/>
  <c r="O28" i="33"/>
  <c r="N4" i="33"/>
  <c r="O4" i="33"/>
  <c r="N35" i="33"/>
  <c r="O35" i="33"/>
  <c r="N27" i="33"/>
  <c r="O27" i="33"/>
  <c r="N3" i="33"/>
  <c r="O3" i="33"/>
  <c r="N34" i="33"/>
  <c r="O34" i="33"/>
  <c r="N26" i="33"/>
  <c r="O26" i="33"/>
  <c r="P25" i="33"/>
  <c r="G15" i="36"/>
  <c r="I15" i="36"/>
  <c r="G13" i="36"/>
  <c r="I13" i="36"/>
  <c r="G39" i="36"/>
  <c r="I39" i="36"/>
  <c r="G54" i="36"/>
  <c r="I54" i="36"/>
  <c r="G31" i="36"/>
  <c r="I31" i="36"/>
  <c r="G20" i="36"/>
  <c r="I20" i="36"/>
  <c r="G23" i="36"/>
  <c r="I23" i="36"/>
  <c r="G24" i="36"/>
  <c r="I24" i="36"/>
  <c r="G34" i="36"/>
  <c r="I34" i="36"/>
  <c r="G38" i="36"/>
  <c r="I38" i="36"/>
  <c r="G57" i="36"/>
  <c r="I57" i="36"/>
  <c r="G55" i="36"/>
  <c r="I55" i="36"/>
  <c r="G51" i="36"/>
  <c r="I51" i="36"/>
  <c r="G18" i="36"/>
  <c r="I18" i="36"/>
  <c r="G35" i="36"/>
  <c r="I35" i="36"/>
  <c r="G28" i="36"/>
  <c r="I28" i="36"/>
  <c r="G58" i="36"/>
  <c r="I58" i="36"/>
  <c r="L4" i="35"/>
  <c r="H5" i="36"/>
  <c r="M4" i="35"/>
  <c r="I5" i="36" s="1"/>
  <c r="J5" i="36" s="1"/>
  <c r="L6" i="35"/>
  <c r="M6" i="35"/>
  <c r="P6" i="35"/>
  <c r="P4" i="35"/>
  <c r="G53" i="36"/>
  <c r="I53" i="36"/>
  <c r="L3" i="35"/>
  <c r="M3" i="35"/>
  <c r="I4" i="36" s="1"/>
  <c r="J4" i="36" s="1"/>
  <c r="H4" i="36"/>
  <c r="P3" i="35"/>
  <c r="G44" i="36"/>
  <c r="I44" i="36"/>
  <c r="G48" i="36"/>
  <c r="I48" i="36"/>
  <c r="G42" i="36"/>
  <c r="I42" i="36"/>
  <c r="G56" i="36"/>
  <c r="I56" i="36"/>
  <c r="G36" i="36"/>
  <c r="I36" i="36"/>
  <c r="G46" i="36"/>
  <c r="I46" i="36"/>
  <c r="G26" i="36"/>
  <c r="I26" i="36"/>
  <c r="G52" i="36"/>
  <c r="I52" i="36"/>
  <c r="G49" i="36"/>
  <c r="I49" i="36"/>
  <c r="G17" i="36"/>
  <c r="I17" i="36"/>
  <c r="G33" i="36"/>
  <c r="I33" i="36"/>
  <c r="G50" i="36"/>
  <c r="I50" i="36"/>
  <c r="G11" i="36"/>
  <c r="I11" i="36"/>
  <c r="G27" i="36"/>
  <c r="I27" i="36"/>
  <c r="G21" i="36"/>
  <c r="I21" i="36"/>
  <c r="L2" i="35"/>
  <c r="M2" i="35"/>
  <c r="I3" i="36" s="1"/>
  <c r="J3" i="36" s="1"/>
  <c r="P2" i="35"/>
  <c r="H3" i="36"/>
  <c r="G19" i="36"/>
  <c r="I19" i="36"/>
  <c r="G43" i="36"/>
  <c r="I43" i="36"/>
  <c r="G59" i="36"/>
  <c r="I59" i="36"/>
  <c r="G45" i="36"/>
  <c r="I45" i="36"/>
  <c r="G14" i="36"/>
  <c r="I14" i="36"/>
  <c r="G47" i="36"/>
  <c r="I47" i="36"/>
  <c r="G41" i="36"/>
  <c r="I41" i="36"/>
  <c r="G25" i="36"/>
  <c r="I25" i="36"/>
  <c r="G16" i="36"/>
  <c r="I16" i="36"/>
  <c r="G37" i="36"/>
  <c r="I37" i="36"/>
  <c r="G32" i="36"/>
  <c r="I32" i="36"/>
  <c r="G12" i="36"/>
  <c r="I12" i="36"/>
  <c r="G29" i="36"/>
  <c r="I29" i="36"/>
  <c r="G30" i="36"/>
  <c r="I30" i="36"/>
  <c r="G22" i="36"/>
  <c r="I22" i="36"/>
  <c r="I7" i="36"/>
  <c r="H7" i="36"/>
  <c r="J7" i="36"/>
  <c r="G40" i="36"/>
  <c r="I40" i="36"/>
  <c r="L5" i="35"/>
  <c r="M5" i="35"/>
  <c r="I6" i="36" s="1"/>
  <c r="J6" i="36" s="1"/>
  <c r="P5" i="35"/>
  <c r="H6" i="36"/>
  <c r="P2" i="33"/>
  <c r="L8" i="35"/>
  <c r="M8" i="35"/>
  <c r="N8" i="35"/>
  <c r="J11" i="36"/>
  <c r="L32" i="35"/>
  <c r="M32" i="35"/>
  <c r="N32" i="35"/>
  <c r="J35" i="36"/>
  <c r="L52" i="35"/>
  <c r="M52" i="35"/>
  <c r="N52" i="35"/>
  <c r="J55" i="36"/>
  <c r="L54" i="35"/>
  <c r="M54" i="35"/>
  <c r="N54" i="35"/>
  <c r="J57" i="36"/>
  <c r="L47" i="35"/>
  <c r="M47" i="35"/>
  <c r="N47" i="35"/>
  <c r="J50" i="36"/>
  <c r="L12" i="35"/>
  <c r="M12" i="35"/>
  <c r="L51" i="35"/>
  <c r="M51" i="35"/>
  <c r="L26" i="35"/>
  <c r="M26" i="35"/>
  <c r="N26" i="35"/>
  <c r="J29" i="36"/>
  <c r="L15" i="35"/>
  <c r="M15" i="35"/>
  <c r="L20" i="35"/>
  <c r="M20" i="35"/>
  <c r="N20" i="35"/>
  <c r="J23" i="36"/>
  <c r="L19" i="35"/>
  <c r="M19" i="35"/>
  <c r="N19" i="35"/>
  <c r="J22" i="36" s="1"/>
  <c r="L34" i="35"/>
  <c r="M34" i="35"/>
  <c r="N34" i="35"/>
  <c r="J37" i="36"/>
  <c r="L50" i="35"/>
  <c r="M50" i="35"/>
  <c r="N50" i="35"/>
  <c r="J53" i="36" s="1"/>
  <c r="L40" i="35"/>
  <c r="M40" i="35"/>
  <c r="N40" i="35"/>
  <c r="J43" i="36" s="1"/>
  <c r="L53" i="35"/>
  <c r="M53" i="35"/>
  <c r="L25" i="35"/>
  <c r="M25" i="35"/>
  <c r="N25" i="35"/>
  <c r="J28" i="36"/>
  <c r="L17" i="35"/>
  <c r="M17" i="35"/>
  <c r="L30" i="35"/>
  <c r="M30" i="35"/>
  <c r="N30" i="35"/>
  <c r="J33" i="36" s="1"/>
  <c r="L13" i="35"/>
  <c r="M13" i="35"/>
  <c r="N15" i="35"/>
  <c r="N53" i="35"/>
  <c r="J56" i="36"/>
  <c r="N13" i="35"/>
  <c r="J16" i="36"/>
  <c r="N12" i="35"/>
  <c r="J15" i="36" s="1"/>
  <c r="J18" i="36"/>
  <c r="N51" i="35"/>
  <c r="J54" i="36" s="1"/>
  <c r="N17" i="35"/>
  <c r="J20" i="36" s="1"/>
  <c r="L41" i="35"/>
  <c r="M41" i="35"/>
  <c r="N41" i="35"/>
  <c r="J44" i="36" s="1"/>
  <c r="L33" i="35"/>
  <c r="M33" i="35"/>
  <c r="N33" i="35"/>
  <c r="J36" i="36" s="1"/>
  <c r="L23" i="35"/>
  <c r="M23" i="35"/>
  <c r="N23" i="35"/>
  <c r="J26" i="36" s="1"/>
  <c r="L11" i="35"/>
  <c r="M11" i="35"/>
  <c r="N11" i="35"/>
  <c r="J14" i="36" s="1"/>
  <c r="L28" i="35"/>
  <c r="M28" i="35"/>
  <c r="N28" i="35"/>
  <c r="J31" i="36" s="1"/>
  <c r="L43" i="35"/>
  <c r="M43" i="35"/>
  <c r="N43" i="35"/>
  <c r="J46" i="36" s="1"/>
  <c r="L48" i="35"/>
  <c r="M48" i="35"/>
  <c r="N48" i="35"/>
  <c r="J51" i="36" s="1"/>
  <c r="L9" i="35"/>
  <c r="M9" i="35"/>
  <c r="J81" i="33"/>
  <c r="J80" i="33"/>
  <c r="J44" i="33"/>
  <c r="N44" i="33" s="1"/>
  <c r="J43" i="33"/>
  <c r="N43" i="33"/>
  <c r="J45" i="33"/>
  <c r="N45" i="33" s="1"/>
  <c r="J79" i="33"/>
  <c r="N79" i="33"/>
  <c r="J51" i="33"/>
  <c r="J54" i="33"/>
  <c r="N54" i="33"/>
  <c r="N81" i="33"/>
  <c r="N80" i="33"/>
  <c r="J63" i="33"/>
  <c r="N63" i="33" s="1"/>
  <c r="J77" i="33"/>
  <c r="N77" i="33"/>
  <c r="J82" i="33"/>
  <c r="J56" i="33"/>
  <c r="N56" i="33" s="1"/>
  <c r="J59" i="33"/>
  <c r="N59" i="33"/>
  <c r="J70" i="33"/>
  <c r="N70" i="33"/>
  <c r="J71" i="33"/>
  <c r="N71" i="33" s="1"/>
  <c r="J73" i="33"/>
  <c r="N73" i="33" s="1"/>
  <c r="J64" i="33"/>
  <c r="N64" i="33"/>
  <c r="J61" i="33"/>
  <c r="N61" i="33"/>
  <c r="J83" i="33"/>
  <c r="N83" i="33" s="1"/>
  <c r="N82" i="33"/>
  <c r="J47" i="33"/>
  <c r="N47" i="33" s="1"/>
  <c r="N9" i="35"/>
  <c r="J41" i="33" s="1"/>
  <c r="N41" i="33" s="1"/>
  <c r="J49" i="33"/>
  <c r="N49" i="33" s="1"/>
  <c r="J76" i="33"/>
  <c r="N76" i="33" s="1"/>
  <c r="N51" i="33"/>
  <c r="J57" i="33"/>
  <c r="N57" i="33" s="1"/>
  <c r="O70" i="33"/>
  <c r="O56" i="33"/>
  <c r="O82" i="33"/>
  <c r="O63" i="33"/>
  <c r="O80" i="33"/>
  <c r="O45" i="33"/>
  <c r="O49" i="33"/>
  <c r="O73" i="33"/>
  <c r="O44" i="33"/>
  <c r="O51" i="33"/>
  <c r="O79" i="33"/>
  <c r="O81" i="33"/>
  <c r="O71" i="33"/>
  <c r="O76" i="33"/>
  <c r="O59" i="33"/>
  <c r="O61" i="33"/>
  <c r="O54" i="33"/>
  <c r="O43" i="33"/>
  <c r="O77" i="33"/>
  <c r="O64" i="33"/>
  <c r="O83" i="33"/>
  <c r="O47" i="33"/>
  <c r="O57" i="33"/>
  <c r="O41" i="33"/>
  <c r="L10" i="35"/>
  <c r="M10" i="35"/>
  <c r="N10" i="35"/>
  <c r="J42" i="33" s="1"/>
  <c r="N42" i="33" s="1"/>
  <c r="O42" i="33"/>
  <c r="L14" i="35"/>
  <c r="M14" i="35"/>
  <c r="N14" i="35"/>
  <c r="J46" i="33" s="1"/>
  <c r="N46" i="33" s="1"/>
  <c r="O46" i="33"/>
  <c r="L16" i="35"/>
  <c r="M16" i="35"/>
  <c r="N16" i="35"/>
  <c r="J48" i="33"/>
  <c r="N48" i="33" s="1"/>
  <c r="O48" i="33"/>
  <c r="L18" i="35"/>
  <c r="M18" i="35"/>
  <c r="N18" i="35"/>
  <c r="J50" i="33" s="1"/>
  <c r="N50" i="33" s="1"/>
  <c r="O50" i="33"/>
  <c r="L21" i="35"/>
  <c r="M21" i="35"/>
  <c r="N21" i="35"/>
  <c r="J52" i="33"/>
  <c r="N52" i="33"/>
  <c r="O52" i="33"/>
  <c r="L22" i="35"/>
  <c r="M22" i="35"/>
  <c r="N22" i="35"/>
  <c r="J53" i="33" s="1"/>
  <c r="N53" i="33" s="1"/>
  <c r="O53" i="33"/>
  <c r="L24" i="35"/>
  <c r="M24" i="35"/>
  <c r="N24" i="35"/>
  <c r="J55" i="33" s="1"/>
  <c r="N55" i="33" s="1"/>
  <c r="O55" i="33"/>
  <c r="L27" i="35"/>
  <c r="M27" i="35"/>
  <c r="N27" i="35"/>
  <c r="J58" i="33"/>
  <c r="N58" i="33"/>
  <c r="O58" i="33"/>
  <c r="L29" i="35"/>
  <c r="M29" i="35"/>
  <c r="N29" i="35"/>
  <c r="J60" i="33" s="1"/>
  <c r="N60" i="33" s="1"/>
  <c r="O60" i="33"/>
  <c r="L31" i="35"/>
  <c r="M31" i="35"/>
  <c r="N31" i="35"/>
  <c r="J62" i="33" s="1"/>
  <c r="N62" i="33" s="1"/>
  <c r="O62" i="33"/>
  <c r="L35" i="35"/>
  <c r="M35" i="35"/>
  <c r="N35" i="35"/>
  <c r="J65" i="33"/>
  <c r="N65" i="33"/>
  <c r="O65" i="33"/>
  <c r="L36" i="35"/>
  <c r="M36" i="35"/>
  <c r="N36" i="35"/>
  <c r="J66" i="33"/>
  <c r="N66" i="33"/>
  <c r="O66" i="33"/>
  <c r="L37" i="35"/>
  <c r="M37" i="35"/>
  <c r="N37" i="35"/>
  <c r="J67" i="33"/>
  <c r="N67" i="33"/>
  <c r="O67" i="33"/>
  <c r="L38" i="35"/>
  <c r="M38" i="35"/>
  <c r="N38" i="35"/>
  <c r="J68" i="33" s="1"/>
  <c r="N68" i="33" s="1"/>
  <c r="O68" i="33"/>
  <c r="L39" i="35"/>
  <c r="M39" i="35"/>
  <c r="N39" i="35"/>
  <c r="J69" i="33"/>
  <c r="N69" i="33"/>
  <c r="O69" i="33"/>
  <c r="L42" i="35"/>
  <c r="M42" i="35"/>
  <c r="N42" i="35"/>
  <c r="J72" i="33"/>
  <c r="N72" i="33"/>
  <c r="O72" i="33"/>
  <c r="L45" i="35"/>
  <c r="M45" i="35"/>
  <c r="N45" i="35"/>
  <c r="J74" i="33"/>
  <c r="N74" i="33"/>
  <c r="O74" i="33"/>
  <c r="L46" i="35"/>
  <c r="M46" i="35"/>
  <c r="N46" i="35"/>
  <c r="J75" i="33"/>
  <c r="N75" i="33"/>
  <c r="O75" i="33"/>
  <c r="L49" i="35"/>
  <c r="M49" i="35"/>
  <c r="N49" i="35"/>
  <c r="J78" i="33" s="1"/>
  <c r="N78" i="33" s="1"/>
  <c r="O78" i="33"/>
  <c r="L55" i="35"/>
  <c r="M55" i="35"/>
  <c r="N55" i="35"/>
  <c r="J84" i="33"/>
  <c r="N84" i="33"/>
  <c r="O84" i="33"/>
  <c r="P41" i="33"/>
  <c r="J32" i="36"/>
  <c r="J42" i="36"/>
  <c r="J17" i="36"/>
  <c r="L44" i="35"/>
  <c r="M44" i="35"/>
  <c r="J30" i="36"/>
  <c r="J27" i="36"/>
  <c r="J52" i="36"/>
  <c r="J39" i="36"/>
  <c r="J12" i="36"/>
  <c r="J58" i="36"/>
  <c r="J24" i="36"/>
  <c r="J13" i="36"/>
  <c r="J40" i="36"/>
  <c r="J48" i="36"/>
  <c r="J41" i="36"/>
  <c r="J49" i="36"/>
  <c r="N44" i="35"/>
  <c r="J47" i="36"/>
  <c r="J38" i="36"/>
  <c r="J21" i="36"/>
  <c r="L56" i="35"/>
  <c r="M56" i="35"/>
  <c r="J45" i="36"/>
  <c r="J25" i="36"/>
  <c r="J34" i="36"/>
  <c r="N56" i="35"/>
  <c r="J59" i="36" s="1"/>
  <c r="J19" i="36"/>
</calcChain>
</file>

<file path=xl/comments1.xml><?xml version="1.0" encoding="utf-8"?>
<comments xmlns="http://schemas.openxmlformats.org/spreadsheetml/2006/main">
  <authors>
    <author>Ferdinando Ametrano</author>
  </authors>
  <commentList>
    <comment ref="D29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<sst xmlns="http://schemas.openxmlformats.org/spreadsheetml/2006/main" count="341" uniqueCount="171">
  <si>
    <t>General Settings</t>
  </si>
  <si>
    <t>Currency</t>
  </si>
  <si>
    <t>EUR</t>
  </si>
  <si>
    <t>Calendar</t>
  </si>
  <si>
    <t>TARGET</t>
  </si>
  <si>
    <t>ADDITIONAL SETTINGS</t>
  </si>
  <si>
    <t>IborType</t>
  </si>
  <si>
    <t>OvenightIndex</t>
  </si>
  <si>
    <t>Eonia</t>
  </si>
  <si>
    <t>Permanent</t>
  </si>
  <si>
    <t>ObjectOverwrite</t>
  </si>
  <si>
    <t>SettlementDate</t>
  </si>
  <si>
    <t>Serialize</t>
  </si>
  <si>
    <t>OisCurve</t>
  </si>
  <si>
    <t>SerializationPath</t>
  </si>
  <si>
    <t>OisEngine</t>
  </si>
  <si>
    <t>FileOverwrite</t>
  </si>
  <si>
    <t>DayCounter</t>
  </si>
  <si>
    <t>Actual/360</t>
  </si>
  <si>
    <t>LastDayInYear</t>
  </si>
  <si>
    <t>QuoteSuffix</t>
  </si>
  <si>
    <t>_Quote</t>
  </si>
  <si>
    <t>LastDayInNextYear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</si>
  <si>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</si>
  <si>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</si>
  <si>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</si>
  <si>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</si>
  <si>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</si>
  <si>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</si>
  <si>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</si>
  <si>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</si>
  <si>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</si>
  <si>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</si>
  <si>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</si>
  <si>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</si>
  <si>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</si>
  <si>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</si>
  <si>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</si>
  <si>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</si>
  <si>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MonotonicLogCubicNaturalSpline</t>
  </si>
  <si>
    <t>OIS id</t>
  </si>
  <si>
    <t>Instrument</t>
  </si>
  <si>
    <t>start</t>
  </si>
  <si>
    <t>end</t>
  </si>
  <si>
    <t>quote</t>
  </si>
  <si>
    <t>OIS</t>
  </si>
  <si>
    <t>basis</t>
  </si>
  <si>
    <t>β</t>
  </si>
  <si>
    <t>α</t>
  </si>
  <si>
    <t>a</t>
  </si>
  <si>
    <t>b</t>
  </si>
  <si>
    <t>BA</t>
  </si>
  <si>
    <t>1x2F</t>
  </si>
  <si>
    <t>solution</t>
  </si>
  <si>
    <t>inverse</t>
  </si>
  <si>
    <t>error</t>
  </si>
  <si>
    <t>x</t>
  </si>
  <si>
    <t>=</t>
  </si>
  <si>
    <t>Flat</t>
  </si>
  <si>
    <t>γ</t>
  </si>
  <si>
    <t>parallel shift first guess</t>
  </si>
  <si>
    <t>parallel shift monotonicity</t>
  </si>
  <si>
    <t>1M</t>
  </si>
  <si>
    <t>3M</t>
  </si>
  <si>
    <t>6M</t>
  </si>
  <si>
    <t>days</t>
  </si>
  <si>
    <t>1D</t>
  </si>
  <si>
    <t>1W</t>
  </si>
  <si>
    <t>2W</t>
  </si>
  <si>
    <t>3W</t>
  </si>
  <si>
    <t>2M</t>
  </si>
  <si>
    <t>4M</t>
  </si>
  <si>
    <t>5M</t>
  </si>
  <si>
    <t>7M</t>
  </si>
  <si>
    <t>integrated</t>
  </si>
  <si>
    <t>8M</t>
  </si>
  <si>
    <t>instantaneous</t>
  </si>
  <si>
    <t>9M</t>
  </si>
  <si>
    <t>fwd spread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</si>
  <si>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</si>
  <si>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</si>
  <si>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</si>
  <si>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</si>
  <si>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</si>
  <si>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</si>
  <si>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</si>
  <si>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</si>
  <si>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</si>
  <si>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</si>
  <si>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</si>
  <si>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</si>
  <si>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</si>
  <si>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</si>
  <si>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</si>
  <si>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</si>
  <si>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</si>
  <si>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</si>
  <si>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</si>
  <si>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</si>
  <si>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</si>
  <si>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</si>
  <si>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</si>
  <si>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</si>
  <si>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Code</t>
  </si>
  <si>
    <t>Quote</t>
  </si>
  <si>
    <t>RateHelper</t>
  </si>
  <si>
    <t>Quote Value</t>
  </si>
  <si>
    <t>Include Flag</t>
  </si>
  <si>
    <t>Priority</t>
  </si>
  <si>
    <t>Min Distance</t>
  </si>
  <si>
    <t>Earliest Date</t>
  </si>
  <si>
    <t>Latest Date</t>
  </si>
  <si>
    <t>D</t>
  </si>
  <si>
    <t>x24</t>
  </si>
  <si>
    <t>F</t>
  </si>
  <si>
    <t>EUR12x24F_Quote</t>
  </si>
  <si>
    <t>AB12E</t>
  </si>
  <si>
    <t>BASIS</t>
  </si>
  <si>
    <t>3Y</t>
  </si>
  <si>
    <t>EURAB12EBASIS3Y_Quote</t>
  </si>
  <si>
    <t>4Y</t>
  </si>
  <si>
    <t>EURAB12EBASIS4Y_Quote</t>
  </si>
  <si>
    <t>5Y</t>
  </si>
  <si>
    <t>EURAB12EBASIS5Y_Quote</t>
  </si>
  <si>
    <t>Selected</t>
  </si>
  <si>
    <t>Rate</t>
  </si>
  <si>
    <t>Fixing Date</t>
  </si>
  <si>
    <t>Value Date</t>
  </si>
  <si>
    <t>Maturity Date</t>
  </si>
  <si>
    <t>FRA</t>
  </si>
  <si>
    <t>spread</t>
  </si>
  <si>
    <t>interp. FRA</t>
  </si>
  <si>
    <t>Depo Settings</t>
  </si>
  <si>
    <t>FRA Settings</t>
  </si>
  <si>
    <t>AllowInterpolation</t>
  </si>
  <si>
    <t>IborIndex</t>
  </si>
  <si>
    <t>BasisInterpolation</t>
  </si>
  <si>
    <t>BasisInterpolator</t>
  </si>
  <si>
    <t>MonotonicCubicNaturalSpline</t>
  </si>
  <si>
    <t>PiecewiseYieldCurve</t>
  </si>
  <si>
    <t>Error</t>
  </si>
  <si>
    <t>Triggers</t>
  </si>
  <si>
    <t>Synt FRA</t>
  </si>
  <si>
    <t>Linear</t>
  </si>
  <si>
    <t>Quadratic</t>
  </si>
  <si>
    <t>EURFUT3MQ4_Quote</t>
  </si>
  <si>
    <t>EURFUT3MU4_Quote</t>
  </si>
  <si>
    <t>Euribor3M LastFixing</t>
  </si>
  <si>
    <t>Instruments</t>
  </si>
  <si>
    <t>Basis</t>
  </si>
  <si>
    <t>FRA 12x24</t>
  </si>
  <si>
    <t>IRS 3Y (vs 12M Euribor)</t>
  </si>
  <si>
    <t>IRS 4Y (vs 12M Euribor)</t>
  </si>
  <si>
    <t>IRS 5Y (vs 12M Euribor)</t>
  </si>
  <si>
    <t>Implied FRA</t>
  </si>
  <si>
    <t>Fixing 12M</t>
  </si>
  <si>
    <t>quadratic</t>
  </si>
  <si>
    <t>linear</t>
  </si>
  <si>
    <t>flat</t>
  </si>
  <si>
    <t>3M market day counter</t>
  </si>
  <si>
    <t>OIS day counter</t>
  </si>
  <si>
    <t>ON-Curve Day counter</t>
  </si>
  <si>
    <t>Actual/365 (Fixed)</t>
  </si>
  <si>
    <t>inverse matrix</t>
  </si>
  <si>
    <t>γ,β,α</t>
  </si>
  <si>
    <t>β,α</t>
  </si>
  <si>
    <t>coef α</t>
  </si>
  <si>
    <t>coef β</t>
  </si>
  <si>
    <t>coef γ</t>
  </si>
  <si>
    <t>tenor</t>
  </si>
  <si>
    <t>3M Synthetic Deposits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</si>
</sst>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E+00"/>
    <numFmt numFmtId="176" formatCode="0.00000000000"/>
    <numFmt numFmtId="177" formatCode="[$-409]d\-mmm\-yy;@"/>
    <numFmt numFmtId="178" formatCode="0.000000000"/>
    <numFmt numFmtId="179" formatCode="ddd\,\ d\-mmm\-yy"/>
    <numFmt numFmtId="180" formatCode="0.E+00"/>
    <numFmt numFmtId="181" formatCode="0.0000E+00"/>
  </numFmts>
  <fonts count="29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b/>
      <sz val="12"/>
      <name val="MS Sans Serif"/>
      <family val="2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i/>
      <sz val="8"/>
      <name val="Courier New"/>
      <family val="3"/>
    </font>
    <font>
      <b/>
      <sz val="8"/>
      <name val="Arial"/>
      <family val="2"/>
    </font>
    <font>
      <b/>
      <sz val="8"/>
      <color indexed="81"/>
      <name val="Tahoma"/>
      <family val="2"/>
    </font>
    <font>
      <sz val="10"/>
      <name val="Courier New"/>
      <family val="3"/>
    </font>
    <font>
      <sz val="10"/>
      <color theme="0"/>
      <name val="Courier New"/>
      <family val="3"/>
    </font>
    <font>
      <sz val="8"/>
      <color theme="0"/>
      <name val="Courier New"/>
      <family val="3"/>
    </font>
    <font>
      <b/>
      <i/>
      <sz val="8"/>
      <name val="Courier New"/>
      <family val="3"/>
    </font>
    <font>
      <sz val="8"/>
      <color theme="0"/>
      <name val="Calibri"/>
      <family val="2"/>
    </font>
    <font>
      <sz val="9"/>
      <name val="Calibri"/>
      <family val="2"/>
    </font>
    <font>
      <sz val="10"/>
      <name val="Calibri"/>
      <family val="2"/>
    </font>
  </fonts>
  <fills count="16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13"/>
        <bgColor indexed="64"/>
      </patternFill>
    </fill>
    <fill>
      <patternFill patternType="gray0625">
        <bgColor indexed="43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6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166" fontId="5" fillId="0" borderId="0" applyFont="0" applyFill="0" applyBorder="0" applyAlignment="0" applyProtection="0"/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167" fontId="8" fillId="0" borderId="0"/>
    <xf numFmtId="165" fontId="6" fillId="2" borderId="0">
      <alignment horizontal="center" vertical="center"/>
    </xf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9" fillId="0" borderId="0"/>
    <xf numFmtId="0" fontId="3" fillId="0" borderId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11" fillId="0" borderId="0"/>
    <xf numFmtId="9" fontId="11" fillId="0" borderId="0" applyFont="0" applyFill="0" applyBorder="0" applyAlignment="0" applyProtection="0"/>
    <xf numFmtId="0" fontId="5" fillId="0" borderId="0"/>
    <xf numFmtId="0" fontId="11" fillId="0" borderId="0"/>
    <xf numFmtId="0" fontId="2" fillId="0" borderId="0"/>
    <xf numFmtId="9" fontId="11" fillId="0" borderId="0" applyFont="0" applyFill="0" applyBorder="0" applyAlignment="0" applyProtection="0"/>
    <xf numFmtId="0" fontId="4" fillId="0" borderId="0"/>
    <xf numFmtId="0" fontId="4" fillId="0" borderId="0"/>
    <xf numFmtId="0" fontId="1" fillId="0" borderId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/>
    <xf numFmtId="9" fontId="4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1" fillId="0" borderId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0" fontId="5" fillId="0" borderId="0"/>
  </cellStyleXfs>
  <cellXfs count="536">
    <xf numFmtId="0" fontId="0" fillId="0" borderId="0" xfId="0"/>
    <xf numFmtId="0" fontId="10" fillId="3" borderId="0" xfId="15" applyFont="1" applyFill="1"/>
    <xf numFmtId="0" fontId="10" fillId="5" borderId="4" xfId="15" applyFont="1" applyFill="1" applyBorder="1"/>
    <xf numFmtId="0" fontId="10" fillId="5" borderId="0" xfId="15" applyFont="1" applyFill="1" applyBorder="1"/>
    <xf numFmtId="0" fontId="10" fillId="5" borderId="5" xfId="15" applyFont="1" applyFill="1" applyBorder="1"/>
    <xf numFmtId="0" fontId="10" fillId="6" borderId="6" xfId="15" applyFont="1" applyFill="1" applyBorder="1" applyAlignment="1">
      <alignment horizontal="right"/>
    </xf>
    <xf numFmtId="0" fontId="10" fillId="5" borderId="6" xfId="15" applyFont="1" applyFill="1" applyBorder="1" applyAlignment="1">
      <alignment horizontal="center"/>
    </xf>
    <xf numFmtId="168" fontId="10" fillId="5" borderId="6" xfId="15" applyNumberFormat="1" applyFont="1" applyFill="1" applyBorder="1" applyAlignment="1">
      <alignment horizontal="center"/>
    </xf>
    <xf numFmtId="0" fontId="10" fillId="3" borderId="0" xfId="16" applyFont="1" applyFill="1"/>
    <xf numFmtId="0" fontId="14" fillId="5" borderId="4" xfId="14" applyFont="1" applyFill="1" applyBorder="1"/>
    <xf numFmtId="0" fontId="14" fillId="5" borderId="0" xfId="14" applyFont="1" applyFill="1" applyBorder="1"/>
    <xf numFmtId="0" fontId="14" fillId="5" borderId="5" xfId="14" applyFont="1" applyFill="1" applyBorder="1"/>
    <xf numFmtId="169" fontId="10" fillId="5" borderId="6" xfId="17" applyNumberFormat="1" applyFont="1" applyFill="1" applyBorder="1" applyAlignment="1">
      <alignment horizontal="center"/>
    </xf>
    <xf numFmtId="0" fontId="14" fillId="6" borderId="6" xfId="14" applyNumberFormat="1" applyFont="1" applyFill="1" applyBorder="1"/>
    <xf numFmtId="170" fontId="14" fillId="7" borderId="7" xfId="14" applyNumberFormat="1" applyFont="1" applyFill="1" applyBorder="1" applyAlignment="1" applyProtection="1">
      <alignment horizontal="center"/>
    </xf>
    <xf numFmtId="15" fontId="14" fillId="5" borderId="5" xfId="14" applyNumberFormat="1" applyFont="1" applyFill="1" applyBorder="1"/>
    <xf numFmtId="171" fontId="10" fillId="5" borderId="7" xfId="17" applyNumberFormat="1" applyFont="1" applyFill="1" applyBorder="1" applyAlignment="1">
      <alignment horizontal="center"/>
    </xf>
    <xf numFmtId="169" fontId="10" fillId="5" borderId="7" xfId="17" applyNumberFormat="1" applyFont="1" applyFill="1" applyBorder="1" applyAlignment="1">
      <alignment horizontal="center"/>
    </xf>
    <xf numFmtId="170" fontId="14" fillId="7" borderId="7" xfId="14" quotePrefix="1" applyNumberFormat="1" applyFont="1" applyFill="1" applyBorder="1" applyAlignment="1" applyProtection="1">
      <alignment horizontal="left"/>
    </xf>
    <xf numFmtId="170" fontId="14" fillId="7" borderId="7" xfId="14" quotePrefix="1" applyNumberFormat="1" applyFont="1" applyFill="1" applyBorder="1" applyAlignment="1" applyProtection="1">
      <alignment horizontal="center"/>
    </xf>
    <xf numFmtId="172" fontId="14" fillId="7" borderId="7" xfId="14" quotePrefix="1" applyNumberFormat="1" applyFont="1" applyFill="1" applyBorder="1" applyAlignment="1" applyProtection="1">
      <alignment horizontal="center"/>
    </xf>
    <xf numFmtId="0" fontId="10" fillId="5" borderId="0" xfId="15" applyFont="1" applyFill="1" applyBorder="1" applyAlignment="1">
      <alignment horizontal="center"/>
    </xf>
    <xf numFmtId="173" fontId="14" fillId="7" borderId="7" xfId="14" quotePrefix="1" applyNumberFormat="1" applyFont="1" applyFill="1" applyBorder="1" applyAlignment="1" applyProtection="1">
      <alignment horizontal="center"/>
    </xf>
    <xf numFmtId="0" fontId="15" fillId="5" borderId="0" xfId="15" applyFont="1" applyFill="1" applyBorder="1" applyAlignment="1">
      <alignment horizontal="right"/>
    </xf>
    <xf numFmtId="174" fontId="16" fillId="5" borderId="0" xfId="15" applyNumberFormat="1" applyFont="1" applyFill="1" applyBorder="1" applyAlignment="1">
      <alignment horizontal="left"/>
    </xf>
    <xf numFmtId="0" fontId="14" fillId="5" borderId="10" xfId="14" applyFont="1" applyFill="1" applyBorder="1"/>
    <xf numFmtId="0" fontId="14" fillId="5" borderId="11" xfId="14" applyFont="1" applyFill="1" applyBorder="1"/>
    <xf numFmtId="0" fontId="14" fillId="5" borderId="12" xfId="14" applyFont="1" applyFill="1" applyBorder="1"/>
    <xf numFmtId="0" fontId="10" fillId="5" borderId="0" xfId="15" applyFont="1" applyFill="1" applyBorder="1" applyAlignment="1">
      <alignment horizontal="right"/>
    </xf>
    <xf numFmtId="0" fontId="16" fillId="5" borderId="0" xfId="15" applyFont="1" applyFill="1" applyBorder="1" applyAlignment="1">
      <alignment horizontal="right"/>
    </xf>
    <xf numFmtId="0" fontId="16" fillId="5" borderId="0" xfId="15" quotePrefix="1" applyFont="1" applyFill="1" applyBorder="1" applyAlignment="1">
      <alignment horizontal="left"/>
    </xf>
    <xf numFmtId="0" fontId="10" fillId="5" borderId="10" xfId="15" applyFont="1" applyFill="1" applyBorder="1"/>
    <xf numFmtId="0" fontId="10" fillId="5" borderId="11" xfId="15" applyFont="1" applyFill="1" applyBorder="1"/>
    <xf numFmtId="0" fontId="10" fillId="5" borderId="12" xfId="15" applyFont="1" applyFill="1" applyBorder="1"/>
    <xf numFmtId="0" fontId="10" fillId="3" borderId="0" xfId="15" applyFont="1" applyFill="1" applyBorder="1"/>
    <xf numFmtId="0" fontId="10" fillId="5" borderId="0" xfId="0" applyFont="1" applyFill="1" applyBorder="1"/>
    <xf numFmtId="0" fontId="10" fillId="0" borderId="0" xfId="0" applyFont="1"/>
    <xf numFmtId="0" fontId="10" fillId="0" borderId="20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169" fontId="10" fillId="0" borderId="21" xfId="0" applyNumberFormat="1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22" xfId="0" applyFont="1" applyBorder="1"/>
    <xf numFmtId="0" fontId="10" fillId="0" borderId="18" xfId="0" applyFont="1" applyBorder="1"/>
    <xf numFmtId="0" fontId="10" fillId="8" borderId="22" xfId="0" applyFont="1" applyFill="1" applyBorder="1" applyAlignment="1"/>
    <xf numFmtId="171" fontId="10" fillId="8" borderId="23" xfId="0" applyNumberFormat="1" applyFont="1" applyFill="1" applyBorder="1" applyAlignment="1"/>
    <xf numFmtId="171" fontId="10" fillId="8" borderId="18" xfId="0" applyNumberFormat="1" applyFont="1" applyFill="1" applyBorder="1" applyAlignment="1"/>
    <xf numFmtId="172" fontId="10" fillId="8" borderId="22" xfId="0" applyNumberFormat="1" applyFont="1" applyFill="1" applyBorder="1" applyAlignment="1"/>
    <xf numFmtId="172" fontId="10" fillId="8" borderId="23" xfId="17" applyNumberFormat="1" applyFont="1" applyFill="1" applyBorder="1"/>
    <xf numFmtId="172" fontId="10" fillId="8" borderId="18" xfId="0" applyNumberFormat="1" applyFont="1" applyFill="1" applyBorder="1"/>
    <xf numFmtId="0" fontId="10" fillId="8" borderId="0" xfId="0" applyFont="1" applyFill="1"/>
    <xf numFmtId="0" fontId="10" fillId="8" borderId="0" xfId="0" applyFont="1" applyFill="1" applyBorder="1"/>
    <xf numFmtId="0" fontId="10" fillId="8" borderId="0" xfId="0" applyNumberFormat="1" applyFont="1" applyFill="1" applyBorder="1"/>
    <xf numFmtId="2" fontId="10" fillId="8" borderId="0" xfId="0" applyNumberFormat="1" applyFont="1" applyFill="1"/>
    <xf numFmtId="0" fontId="10" fillId="0" borderId="13" xfId="0" applyFont="1" applyFill="1" applyBorder="1"/>
    <xf numFmtId="0" fontId="10" fillId="0" borderId="9" xfId="0" applyFont="1" applyBorder="1"/>
    <xf numFmtId="0" fontId="10" fillId="8" borderId="13" xfId="0" applyFont="1" applyFill="1" applyBorder="1" applyAlignment="1"/>
    <xf numFmtId="171" fontId="10" fillId="8" borderId="0" xfId="0" applyNumberFormat="1" applyFont="1" applyFill="1" applyBorder="1" applyAlignment="1"/>
    <xf numFmtId="171" fontId="10" fillId="8" borderId="9" xfId="0" applyNumberFormat="1" applyFont="1" applyFill="1" applyBorder="1" applyAlignment="1"/>
    <xf numFmtId="172" fontId="10" fillId="8" borderId="13" xfId="0" applyNumberFormat="1" applyFont="1" applyFill="1" applyBorder="1" applyAlignment="1"/>
    <xf numFmtId="172" fontId="10" fillId="8" borderId="0" xfId="17" applyNumberFormat="1" applyFont="1" applyFill="1" applyBorder="1"/>
    <xf numFmtId="172" fontId="10" fillId="8" borderId="9" xfId="0" applyNumberFormat="1" applyFont="1" applyFill="1" applyBorder="1"/>
    <xf numFmtId="172" fontId="10" fillId="8" borderId="0" xfId="0" applyNumberFormat="1" applyFont="1" applyFill="1" applyBorder="1"/>
    <xf numFmtId="0" fontId="10" fillId="0" borderId="13" xfId="0" applyFont="1" applyBorder="1" applyAlignment="1"/>
    <xf numFmtId="171" fontId="10" fillId="0" borderId="0" xfId="0" applyNumberFormat="1" applyFont="1" applyBorder="1" applyAlignment="1"/>
    <xf numFmtId="171" fontId="10" fillId="0" borderId="9" xfId="0" applyNumberFormat="1" applyFont="1" applyBorder="1" applyAlignment="1"/>
    <xf numFmtId="172" fontId="10" fillId="0" borderId="13" xfId="0" applyNumberFormat="1" applyFont="1" applyBorder="1" applyAlignment="1"/>
    <xf numFmtId="172" fontId="10" fillId="0" borderId="0" xfId="17" applyNumberFormat="1" applyFont="1" applyBorder="1"/>
    <xf numFmtId="172" fontId="10" fillId="0" borderId="9" xfId="0" applyNumberFormat="1" applyFont="1" applyBorder="1"/>
    <xf numFmtId="0" fontId="10" fillId="0" borderId="0" xfId="0" applyFont="1" applyBorder="1"/>
    <xf numFmtId="0" fontId="10" fillId="0" borderId="0" xfId="0" applyNumberFormat="1" applyFont="1" applyBorder="1"/>
    <xf numFmtId="2" fontId="10" fillId="0" borderId="0" xfId="0" applyNumberFormat="1" applyFont="1"/>
    <xf numFmtId="0" fontId="10" fillId="0" borderId="14" xfId="0" applyFont="1" applyBorder="1" applyAlignment="1"/>
    <xf numFmtId="172" fontId="10" fillId="0" borderId="13" xfId="17" applyNumberFormat="1" applyFont="1" applyBorder="1" applyAlignment="1"/>
    <xf numFmtId="172" fontId="10" fillId="0" borderId="0" xfId="17" applyNumberFormat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6" fillId="0" borderId="0" xfId="0" applyNumberFormat="1" applyFont="1" applyBorder="1"/>
    <xf numFmtId="0" fontId="10" fillId="8" borderId="0" xfId="0" quotePrefix="1" applyFont="1" applyFill="1" applyBorder="1"/>
    <xf numFmtId="0" fontId="10" fillId="0" borderId="13" xfId="0" applyFont="1" applyBorder="1"/>
    <xf numFmtId="172" fontId="10" fillId="8" borderId="13" xfId="17" applyNumberFormat="1" applyFont="1" applyFill="1" applyBorder="1" applyAlignment="1"/>
    <xf numFmtId="2" fontId="10" fillId="0" borderId="22" xfId="0" applyNumberFormat="1" applyFont="1" applyBorder="1"/>
    <xf numFmtId="2" fontId="10" fillId="0" borderId="13" xfId="0" applyNumberFormat="1" applyFont="1" applyBorder="1"/>
    <xf numFmtId="2" fontId="10" fillId="0" borderId="14" xfId="0" applyNumberFormat="1" applyFont="1" applyBorder="1"/>
    <xf numFmtId="2" fontId="10" fillId="0" borderId="23" xfId="0" applyNumberFormat="1" applyFont="1" applyBorder="1"/>
    <xf numFmtId="2" fontId="10" fillId="0" borderId="0" xfId="0" applyNumberFormat="1" applyFont="1" applyBorder="1"/>
    <xf numFmtId="2" fontId="10" fillId="0" borderId="15" xfId="0" applyNumberFormat="1" applyFont="1" applyBorder="1"/>
    <xf numFmtId="2" fontId="10" fillId="0" borderId="18" xfId="0" applyNumberFormat="1" applyFont="1" applyBorder="1"/>
    <xf numFmtId="2" fontId="10" fillId="0" borderId="9" xfId="0" applyNumberFormat="1" applyFont="1" applyBorder="1"/>
    <xf numFmtId="2" fontId="10" fillId="0" borderId="16" xfId="0" applyNumberFormat="1" applyFont="1" applyBorder="1"/>
    <xf numFmtId="172" fontId="10" fillId="0" borderId="17" xfId="0" applyNumberFormat="1" applyFont="1" applyBorder="1"/>
    <xf numFmtId="172" fontId="10" fillId="0" borderId="8" xfId="0" applyNumberFormat="1" applyFont="1" applyBorder="1"/>
    <xf numFmtId="172" fontId="10" fillId="0" borderId="19" xfId="0" applyNumberFormat="1" applyFont="1" applyBorder="1"/>
    <xf numFmtId="175" fontId="10" fillId="0" borderId="22" xfId="0" applyNumberFormat="1" applyFont="1" applyBorder="1"/>
    <xf numFmtId="175" fontId="10" fillId="0" borderId="23" xfId="0" applyNumberFormat="1" applyFont="1" applyBorder="1"/>
    <xf numFmtId="175" fontId="10" fillId="0" borderId="18" xfId="0" applyNumberFormat="1" applyFont="1" applyBorder="1"/>
    <xf numFmtId="175" fontId="10" fillId="0" borderId="13" xfId="0" applyNumberFormat="1" applyFont="1" applyBorder="1"/>
    <xf numFmtId="175" fontId="10" fillId="0" borderId="0" xfId="0" applyNumberFormat="1" applyFont="1" applyBorder="1"/>
    <xf numFmtId="175" fontId="10" fillId="0" borderId="9" xfId="0" applyNumberFormat="1" applyFont="1" applyBorder="1"/>
    <xf numFmtId="175" fontId="10" fillId="0" borderId="14" xfId="0" applyNumberFormat="1" applyFont="1" applyBorder="1"/>
    <xf numFmtId="175" fontId="10" fillId="0" borderId="15" xfId="0" applyNumberFormat="1" applyFont="1" applyBorder="1"/>
    <xf numFmtId="175" fontId="10" fillId="0" borderId="16" xfId="0" applyNumberFormat="1" applyFont="1" applyBorder="1"/>
    <xf numFmtId="175" fontId="10" fillId="0" borderId="17" xfId="0" applyNumberFormat="1" applyFont="1" applyBorder="1"/>
    <xf numFmtId="175" fontId="10" fillId="0" borderId="8" xfId="0" applyNumberFormat="1" applyFont="1" applyBorder="1"/>
    <xf numFmtId="175" fontId="10" fillId="0" borderId="19" xfId="0" applyNumberFormat="1" applyFont="1" applyBorder="1"/>
    <xf numFmtId="172" fontId="10" fillId="0" borderId="0" xfId="0" applyNumberFormat="1" applyFont="1"/>
    <xf numFmtId="0" fontId="10" fillId="0" borderId="23" xfId="0" applyFont="1" applyBorder="1"/>
    <xf numFmtId="169" fontId="10" fillId="0" borderId="23" xfId="0" applyNumberFormat="1" applyFont="1" applyBorder="1" applyAlignment="1"/>
    <xf numFmtId="172" fontId="10" fillId="0" borderId="23" xfId="0" applyNumberFormat="1" applyFont="1" applyBorder="1" applyAlignment="1"/>
    <xf numFmtId="172" fontId="10" fillId="0" borderId="0" xfId="17" applyNumberFormat="1" applyFont="1"/>
    <xf numFmtId="169" fontId="10" fillId="0" borderId="0" xfId="0" applyNumberFormat="1" applyFont="1" applyBorder="1" applyAlignment="1"/>
    <xf numFmtId="0" fontId="10" fillId="0" borderId="17" xfId="0" applyFont="1" applyBorder="1" applyAlignment="1">
      <alignment horizontal="center"/>
    </xf>
    <xf numFmtId="172" fontId="10" fillId="0" borderId="23" xfId="0" applyNumberFormat="1" applyFont="1" applyBorder="1"/>
    <xf numFmtId="172" fontId="10" fillId="0" borderId="18" xfId="0" applyNumberFormat="1" applyFont="1" applyBorder="1"/>
    <xf numFmtId="172" fontId="10" fillId="0" borderId="20" xfId="0" applyNumberFormat="1" applyFont="1" applyBorder="1"/>
    <xf numFmtId="172" fontId="10" fillId="0" borderId="21" xfId="0" applyNumberFormat="1" applyFont="1" applyBorder="1"/>
    <xf numFmtId="172" fontId="10" fillId="0" borderId="7" xfId="0" applyNumberFormat="1" applyFont="1" applyBorder="1"/>
    <xf numFmtId="0" fontId="10" fillId="0" borderId="8" xfId="0" applyFont="1" applyBorder="1" applyAlignment="1">
      <alignment horizontal="center"/>
    </xf>
    <xf numFmtId="172" fontId="10" fillId="0" borderId="0" xfId="0" applyNumberFormat="1" applyFont="1" applyBorder="1"/>
    <xf numFmtId="0" fontId="10" fillId="0" borderId="6" xfId="0" applyFont="1" applyBorder="1"/>
    <xf numFmtId="0" fontId="10" fillId="0" borderId="22" xfId="0" applyFont="1" applyBorder="1" applyAlignment="1">
      <alignment horizontal="right"/>
    </xf>
    <xf numFmtId="171" fontId="10" fillId="0" borderId="23" xfId="0" applyNumberFormat="1" applyFont="1" applyBorder="1" applyAlignment="1"/>
    <xf numFmtId="171" fontId="10" fillId="0" borderId="18" xfId="0" applyNumberFormat="1" applyFont="1" applyBorder="1"/>
    <xf numFmtId="172" fontId="16" fillId="0" borderId="0" xfId="17" applyNumberFormat="1" applyFont="1" applyBorder="1"/>
    <xf numFmtId="0" fontId="10" fillId="0" borderId="17" xfId="0" applyFont="1" applyBorder="1"/>
    <xf numFmtId="172" fontId="10" fillId="0" borderId="17" xfId="17" applyNumberFormat="1" applyFont="1" applyBorder="1"/>
    <xf numFmtId="172" fontId="10" fillId="0" borderId="13" xfId="0" applyNumberFormat="1" applyFont="1" applyBorder="1"/>
    <xf numFmtId="0" fontId="10" fillId="0" borderId="17" xfId="0" applyFont="1" applyBorder="1" applyAlignment="1">
      <alignment horizontal="right"/>
    </xf>
    <xf numFmtId="0" fontId="10" fillId="0" borderId="13" xfId="0" applyFont="1" applyBorder="1" applyAlignment="1">
      <alignment horizontal="right"/>
    </xf>
    <xf numFmtId="171" fontId="10" fillId="0" borderId="9" xfId="0" applyNumberFormat="1" applyFont="1" applyBorder="1"/>
    <xf numFmtId="0" fontId="10" fillId="0" borderId="8" xfId="0" applyFont="1" applyBorder="1"/>
    <xf numFmtId="172" fontId="10" fillId="0" borderId="8" xfId="17" applyNumberFormat="1" applyFont="1" applyBorder="1"/>
    <xf numFmtId="0" fontId="10" fillId="0" borderId="8" xfId="0" applyFont="1" applyBorder="1" applyAlignment="1">
      <alignment horizontal="right"/>
    </xf>
    <xf numFmtId="0" fontId="10" fillId="0" borderId="14" xfId="0" applyFont="1" applyBorder="1"/>
    <xf numFmtId="0" fontId="10" fillId="0" borderId="15" xfId="0" applyFont="1" applyBorder="1"/>
    <xf numFmtId="0" fontId="10" fillId="0" borderId="14" xfId="0" applyFont="1" applyBorder="1" applyAlignment="1">
      <alignment horizontal="right"/>
    </xf>
    <xf numFmtId="171" fontId="10" fillId="0" borderId="15" xfId="0" applyNumberFormat="1" applyFont="1" applyBorder="1" applyAlignment="1"/>
    <xf numFmtId="171" fontId="10" fillId="0" borderId="16" xfId="0" applyNumberFormat="1" applyFont="1" applyBorder="1"/>
    <xf numFmtId="172" fontId="16" fillId="0" borderId="15" xfId="17" applyNumberFormat="1" applyFont="1" applyBorder="1"/>
    <xf numFmtId="0" fontId="10" fillId="0" borderId="19" xfId="0" applyFont="1" applyBorder="1"/>
    <xf numFmtId="172" fontId="10" fillId="0" borderId="19" xfId="17" applyNumberFormat="1" applyFont="1" applyBorder="1"/>
    <xf numFmtId="172" fontId="10" fillId="0" borderId="14" xfId="0" applyNumberFormat="1" applyFont="1" applyBorder="1"/>
    <xf numFmtId="172" fontId="10" fillId="0" borderId="15" xfId="0" applyNumberFormat="1" applyFont="1" applyBorder="1"/>
    <xf numFmtId="172" fontId="10" fillId="0" borderId="16" xfId="0" applyNumberFormat="1" applyFont="1" applyBorder="1"/>
    <xf numFmtId="0" fontId="10" fillId="0" borderId="19" xfId="0" applyFont="1" applyBorder="1" applyAlignment="1">
      <alignment horizontal="right"/>
    </xf>
    <xf numFmtId="172" fontId="16" fillId="0" borderId="23" xfId="17" applyNumberFormat="1" applyFont="1" applyBorder="1"/>
    <xf numFmtId="172" fontId="16" fillId="9" borderId="17" xfId="17" applyNumberFormat="1" applyFont="1" applyFill="1" applyBorder="1" applyAlignment="1"/>
    <xf numFmtId="172" fontId="16" fillId="9" borderId="8" xfId="17" applyNumberFormat="1" applyFont="1" applyFill="1" applyBorder="1" applyAlignment="1"/>
    <xf numFmtId="172" fontId="16" fillId="9" borderId="13" xfId="17" applyNumberFormat="1" applyFont="1" applyFill="1" applyBorder="1" applyAlignment="1"/>
    <xf numFmtId="172" fontId="16" fillId="9" borderId="18" xfId="17" applyNumberFormat="1" applyFont="1" applyFill="1" applyBorder="1"/>
    <xf numFmtId="172" fontId="16" fillId="9" borderId="9" xfId="17" applyNumberFormat="1" applyFont="1" applyFill="1" applyBorder="1"/>
    <xf numFmtId="0" fontId="10" fillId="0" borderId="13" xfId="0" applyFont="1" applyFill="1" applyBorder="1" applyAlignment="1">
      <alignment horizontal="right"/>
    </xf>
    <xf numFmtId="0" fontId="10" fillId="0" borderId="19" xfId="0" applyFont="1" applyFill="1" applyBorder="1" applyAlignment="1">
      <alignment horizontal="right"/>
    </xf>
    <xf numFmtId="172" fontId="16" fillId="9" borderId="16" xfId="17" applyNumberFormat="1" applyFont="1" applyFill="1" applyBorder="1"/>
    <xf numFmtId="172" fontId="16" fillId="9" borderId="0" xfId="17" applyNumberFormat="1" applyFont="1" applyFill="1" applyBorder="1"/>
    <xf numFmtId="172" fontId="16" fillId="10" borderId="13" xfId="17" applyNumberFormat="1" applyFont="1" applyFill="1" applyBorder="1" applyAlignment="1">
      <alignment horizontal="left"/>
    </xf>
    <xf numFmtId="172" fontId="16" fillId="10" borderId="0" xfId="17" applyNumberFormat="1" applyFont="1" applyFill="1" applyBorder="1"/>
    <xf numFmtId="172" fontId="16" fillId="10" borderId="13" xfId="17" applyNumberFormat="1" applyFont="1" applyFill="1" applyBorder="1" applyAlignment="1"/>
    <xf numFmtId="172" fontId="16" fillId="10" borderId="0" xfId="17" applyNumberFormat="1" applyFont="1" applyFill="1" applyBorder="1" applyAlignment="1">
      <alignment horizontal="center"/>
    </xf>
    <xf numFmtId="172" fontId="16" fillId="10" borderId="9" xfId="17" applyNumberFormat="1" applyFont="1" applyFill="1" applyBorder="1"/>
    <xf numFmtId="172" fontId="16" fillId="10" borderId="9" xfId="17" applyNumberFormat="1" applyFont="1" applyFill="1" applyBorder="1" applyAlignment="1">
      <alignment horizontal="right"/>
    </xf>
    <xf numFmtId="172" fontId="16" fillId="9" borderId="14" xfId="17" applyNumberFormat="1" applyFont="1" applyFill="1" applyBorder="1" applyAlignment="1"/>
    <xf numFmtId="172" fontId="16" fillId="9" borderId="15" xfId="17" applyNumberFormat="1" applyFont="1" applyFill="1" applyBorder="1"/>
    <xf numFmtId="176" fontId="10" fillId="0" borderId="0" xfId="0" applyNumberFormat="1" applyFont="1"/>
    <xf numFmtId="0" fontId="10" fillId="5" borderId="24" xfId="14" applyFont="1" applyFill="1" applyBorder="1"/>
    <xf numFmtId="0" fontId="10" fillId="5" borderId="25" xfId="14" applyFont="1" applyFill="1" applyBorder="1"/>
    <xf numFmtId="0" fontId="10" fillId="5" borderId="26" xfId="14" applyFont="1" applyFill="1" applyBorder="1"/>
    <xf numFmtId="0" fontId="10" fillId="0" borderId="0" xfId="14" applyFont="1"/>
    <xf numFmtId="0" fontId="10" fillId="5" borderId="24" xfId="20" applyFont="1" applyFill="1" applyBorder="1" applyAlignment="1">
      <alignment horizontal="center"/>
    </xf>
    <xf numFmtId="0" fontId="10" fillId="5" borderId="25" xfId="20" applyFont="1" applyFill="1" applyBorder="1"/>
    <xf numFmtId="0" fontId="10" fillId="5" borderId="25" xfId="20" applyFont="1" applyFill="1" applyBorder="1" applyAlignment="1">
      <alignment horizontal="center"/>
    </xf>
    <xf numFmtId="0" fontId="10" fillId="5" borderId="26" xfId="18" applyFont="1" applyFill="1" applyBorder="1"/>
    <xf numFmtId="0" fontId="11" fillId="0" borderId="0" xfId="14" applyFont="1"/>
    <xf numFmtId="0" fontId="10" fillId="5" borderId="5" xfId="14" applyFont="1" applyFill="1" applyBorder="1" applyAlignment="1">
      <alignment horizontal="center"/>
    </xf>
    <xf numFmtId="0" fontId="10" fillId="5" borderId="4" xfId="20" applyFont="1" applyFill="1" applyBorder="1" applyAlignment="1">
      <alignment horizontal="center"/>
    </xf>
    <xf numFmtId="0" fontId="10" fillId="5" borderId="0" xfId="20" applyFont="1" applyFill="1" applyBorder="1" applyAlignment="1">
      <alignment horizontal="center"/>
    </xf>
    <xf numFmtId="0" fontId="10" fillId="5" borderId="5" xfId="18" applyFont="1" applyFill="1" applyBorder="1"/>
    <xf numFmtId="0" fontId="10" fillId="5" borderId="17" xfId="14" applyNumberFormat="1" applyFont="1" applyFill="1" applyBorder="1" applyAlignment="1"/>
    <xf numFmtId="0" fontId="10" fillId="5" borderId="0" xfId="20" quotePrefix="1" applyFont="1" applyFill="1" applyBorder="1" applyAlignment="1">
      <alignment horizontal="center"/>
    </xf>
    <xf numFmtId="0" fontId="10" fillId="5" borderId="8" xfId="14" applyNumberFormat="1" applyFont="1" applyFill="1" applyBorder="1" applyAlignment="1"/>
    <xf numFmtId="0" fontId="11" fillId="5" borderId="4" xfId="14" applyFont="1" applyFill="1" applyBorder="1" applyAlignment="1">
      <alignment horizontal="center"/>
    </xf>
    <xf numFmtId="0" fontId="11" fillId="5" borderId="5" xfId="14" applyFont="1" applyFill="1" applyBorder="1" applyAlignment="1">
      <alignment horizontal="center"/>
    </xf>
    <xf numFmtId="0" fontId="10" fillId="5" borderId="4" xfId="0" applyFont="1" applyFill="1" applyBorder="1"/>
    <xf numFmtId="0" fontId="10" fillId="5" borderId="0" xfId="0" applyFont="1" applyFill="1" applyBorder="1" applyAlignment="1">
      <alignment horizontal="center"/>
    </xf>
    <xf numFmtId="0" fontId="10" fillId="5" borderId="4" xfId="0" applyFont="1" applyFill="1" applyBorder="1" applyAlignment="1">
      <alignment horizontal="center"/>
    </xf>
    <xf numFmtId="0" fontId="10" fillId="5" borderId="0" xfId="0" quotePrefix="1" applyFont="1" applyFill="1" applyBorder="1" applyAlignment="1">
      <alignment horizontal="center"/>
    </xf>
    <xf numFmtId="0" fontId="10" fillId="5" borderId="5" xfId="0" applyFont="1" applyFill="1" applyBorder="1"/>
    <xf numFmtId="0" fontId="10" fillId="5" borderId="10" xfId="0" applyFont="1" applyFill="1" applyBorder="1"/>
    <xf numFmtId="0" fontId="10" fillId="5" borderId="11" xfId="0" applyFont="1" applyFill="1" applyBorder="1"/>
    <xf numFmtId="0" fontId="10" fillId="5" borderId="12" xfId="0" applyFont="1" applyFill="1" applyBorder="1"/>
    <xf numFmtId="0" fontId="4" fillId="5" borderId="5" xfId="14" applyFont="1" applyFill="1" applyBorder="1"/>
    <xf numFmtId="0" fontId="11" fillId="5" borderId="10" xfId="14" applyFont="1" applyFill="1" applyBorder="1" applyAlignment="1">
      <alignment horizontal="center"/>
    </xf>
    <xf numFmtId="0" fontId="4" fillId="5" borderId="12" xfId="14" applyFont="1" applyFill="1" applyBorder="1"/>
    <xf numFmtId="0" fontId="17" fillId="10" borderId="21" xfId="8" applyFont="1" applyFill="1" applyBorder="1" applyAlignment="1">
      <alignment horizontal="center" vertical="center" wrapText="1"/>
    </xf>
    <xf numFmtId="0" fontId="17" fillId="10" borderId="7" xfId="8" applyFont="1" applyFill="1" applyBorder="1" applyAlignment="1">
      <alignment horizontal="center" vertical="center" wrapText="1"/>
    </xf>
    <xf numFmtId="0" fontId="10" fillId="0" borderId="0" xfId="8" applyFont="1"/>
    <xf numFmtId="0" fontId="17" fillId="5" borderId="14" xfId="8" applyFont="1" applyFill="1" applyBorder="1" applyAlignment="1">
      <alignment vertical="center" textRotation="90"/>
    </xf>
    <xf numFmtId="0" fontId="10" fillId="5" borderId="15" xfId="8" applyNumberFormat="1" applyFont="1" applyFill="1" applyBorder="1" applyAlignment="1"/>
    <xf numFmtId="0" fontId="10" fillId="5" borderId="15" xfId="8" applyFont="1" applyFill="1" applyBorder="1" applyAlignment="1"/>
    <xf numFmtId="172" fontId="10" fillId="5" borderId="15" xfId="11" applyNumberFormat="1" applyFont="1" applyFill="1" applyBorder="1" applyAlignment="1">
      <alignment horizontal="right"/>
    </xf>
    <xf numFmtId="0" fontId="10" fillId="5" borderId="15" xfId="8" applyFont="1" applyFill="1" applyBorder="1" applyAlignment="1">
      <alignment horizontal="center"/>
    </xf>
    <xf numFmtId="169" fontId="10" fillId="5" borderId="15" xfId="8" applyNumberFormat="1" applyFont="1" applyFill="1" applyBorder="1" applyAlignment="1">
      <alignment horizontal="right"/>
    </xf>
    <xf numFmtId="169" fontId="10" fillId="5" borderId="16" xfId="8" applyNumberFormat="1" applyFont="1" applyFill="1" applyBorder="1" applyAlignment="1">
      <alignment horizontal="right"/>
    </xf>
    <xf numFmtId="0" fontId="10" fillId="5" borderId="20" xfId="8" applyNumberFormat="1" applyFont="1" applyFill="1" applyBorder="1" applyAlignment="1"/>
    <xf numFmtId="0" fontId="10" fillId="5" borderId="21" xfId="8" applyNumberFormat="1" applyFont="1" applyFill="1" applyBorder="1" applyAlignment="1"/>
    <xf numFmtId="172" fontId="10" fillId="5" borderId="21" xfId="11" applyNumberFormat="1" applyFont="1" applyFill="1" applyBorder="1" applyAlignment="1">
      <alignment horizontal="right"/>
    </xf>
    <xf numFmtId="0" fontId="10" fillId="5" borderId="21" xfId="8" applyFont="1" applyFill="1" applyBorder="1" applyAlignment="1">
      <alignment horizontal="center"/>
    </xf>
    <xf numFmtId="169" fontId="10" fillId="5" borderId="21" xfId="8" applyNumberFormat="1" applyFont="1" applyFill="1" applyBorder="1" applyAlignment="1">
      <alignment horizontal="right"/>
    </xf>
    <xf numFmtId="169" fontId="10" fillId="5" borderId="7" xfId="8" applyNumberFormat="1" applyFont="1" applyFill="1" applyBorder="1" applyAlignment="1">
      <alignment horizontal="right"/>
    </xf>
    <xf numFmtId="172" fontId="10" fillId="0" borderId="0" xfId="8" applyNumberFormat="1" applyFont="1"/>
    <xf numFmtId="0" fontId="10" fillId="5" borderId="22" xfId="8" applyNumberFormat="1" applyFont="1" applyFill="1" applyBorder="1" applyAlignment="1"/>
    <xf numFmtId="0" fontId="10" fillId="5" borderId="23" xfId="8" applyNumberFormat="1" applyFont="1" applyFill="1" applyBorder="1" applyAlignment="1"/>
    <xf numFmtId="0" fontId="10" fillId="5" borderId="23" xfId="8" applyFont="1" applyFill="1" applyBorder="1" applyAlignment="1"/>
    <xf numFmtId="172" fontId="10" fillId="5" borderId="23" xfId="11" applyNumberFormat="1" applyFont="1" applyFill="1" applyBorder="1" applyAlignment="1">
      <alignment horizontal="right"/>
    </xf>
    <xf numFmtId="0" fontId="10" fillId="5" borderId="23" xfId="8" applyFont="1" applyFill="1" applyBorder="1" applyAlignment="1">
      <alignment horizontal="center"/>
    </xf>
    <xf numFmtId="169" fontId="10" fillId="5" borderId="23" xfId="8" applyNumberFormat="1" applyFont="1" applyFill="1" applyBorder="1" applyAlignment="1">
      <alignment horizontal="right"/>
    </xf>
    <xf numFmtId="169" fontId="10" fillId="5" borderId="18" xfId="8" applyNumberFormat="1" applyFont="1" applyFill="1" applyBorder="1" applyAlignment="1">
      <alignment horizontal="right"/>
    </xf>
    <xf numFmtId="0" fontId="10" fillId="5" borderId="13" xfId="8" applyNumberFormat="1" applyFont="1" applyFill="1" applyBorder="1" applyAlignment="1"/>
    <xf numFmtId="0" fontId="10" fillId="5" borderId="0" xfId="8" applyNumberFormat="1" applyFont="1" applyFill="1" applyBorder="1" applyAlignment="1"/>
    <xf numFmtId="0" fontId="10" fillId="5" borderId="0" xfId="8" applyFont="1" applyFill="1" applyBorder="1" applyAlignment="1"/>
    <xf numFmtId="172" fontId="10" fillId="5" borderId="0" xfId="11" applyNumberFormat="1" applyFont="1" applyFill="1" applyBorder="1" applyAlignment="1">
      <alignment horizontal="right"/>
    </xf>
    <xf numFmtId="0" fontId="10" fillId="5" borderId="0" xfId="8" applyFont="1" applyFill="1" applyBorder="1" applyAlignment="1">
      <alignment horizontal="center"/>
    </xf>
    <xf numFmtId="169" fontId="10" fillId="5" borderId="0" xfId="8" applyNumberFormat="1" applyFont="1" applyFill="1" applyBorder="1" applyAlignment="1">
      <alignment horizontal="right"/>
    </xf>
    <xf numFmtId="169" fontId="10" fillId="5" borderId="9" xfId="8" applyNumberFormat="1" applyFont="1" applyFill="1" applyBorder="1" applyAlignment="1">
      <alignment horizontal="right"/>
    </xf>
    <xf numFmtId="0" fontId="10" fillId="5" borderId="14" xfId="8" applyNumberFormat="1" applyFont="1" applyFill="1" applyBorder="1" applyAlignment="1"/>
    <xf numFmtId="0" fontId="10" fillId="0" borderId="0" xfId="8" applyFont="1" applyAlignment="1">
      <alignment horizontal="left"/>
    </xf>
    <xf numFmtId="0" fontId="17" fillId="10" borderId="20" xfId="8" applyFont="1" applyFill="1" applyBorder="1" applyAlignment="1">
      <alignment horizontal="center" vertical="center" wrapText="1"/>
    </xf>
    <xf numFmtId="0" fontId="10" fillId="0" borderId="0" xfId="8" applyFont="1" applyAlignment="1">
      <alignment horizontal="center" vertical="center" wrapText="1"/>
    </xf>
    <xf numFmtId="0" fontId="10" fillId="9" borderId="20" xfId="8" applyFont="1" applyFill="1" applyBorder="1"/>
    <xf numFmtId="0" fontId="10" fillId="9" borderId="21" xfId="8" applyFont="1" applyFill="1" applyBorder="1"/>
    <xf numFmtId="171" fontId="10" fillId="9" borderId="7" xfId="8" applyNumberFormat="1" applyFont="1" applyFill="1" applyBorder="1"/>
    <xf numFmtId="171" fontId="10" fillId="5" borderId="9" xfId="8" applyNumberFormat="1" applyFont="1" applyFill="1" applyBorder="1" applyAlignment="1"/>
    <xf numFmtId="172" fontId="10" fillId="0" borderId="0" xfId="11" applyNumberFormat="1" applyFont="1"/>
    <xf numFmtId="171" fontId="10" fillId="0" borderId="0" xfId="8" applyNumberFormat="1" applyFont="1"/>
    <xf numFmtId="0" fontId="10" fillId="5" borderId="13" xfId="8" applyFont="1" applyFill="1" applyBorder="1" applyAlignment="1"/>
    <xf numFmtId="172" fontId="10" fillId="5" borderId="0" xfId="8" applyNumberFormat="1" applyFont="1" applyFill="1" applyBorder="1" applyAlignment="1"/>
    <xf numFmtId="171" fontId="10" fillId="5" borderId="0" xfId="8" applyNumberFormat="1" applyFont="1" applyFill="1" applyBorder="1" applyAlignment="1"/>
    <xf numFmtId="0" fontId="10" fillId="5" borderId="14" xfId="8" applyFont="1" applyFill="1" applyBorder="1" applyAlignment="1"/>
    <xf numFmtId="172" fontId="10" fillId="5" borderId="15" xfId="8" applyNumberFormat="1" applyFont="1" applyFill="1" applyBorder="1" applyAlignment="1"/>
    <xf numFmtId="171" fontId="10" fillId="5" borderId="15" xfId="8" applyNumberFormat="1" applyFont="1" applyFill="1" applyBorder="1" applyAlignment="1"/>
    <xf numFmtId="171" fontId="10" fillId="5" borderId="16" xfId="8" applyNumberFormat="1" applyFont="1" applyFill="1" applyBorder="1" applyAlignment="1"/>
    <xf numFmtId="0" fontId="10" fillId="5" borderId="0" xfId="19" quotePrefix="1" applyFont="1" applyFill="1" applyBorder="1" applyAlignment="1">
      <alignment horizontal="center"/>
    </xf>
    <xf numFmtId="0" fontId="10" fillId="5" borderId="0" xfId="19" applyFont="1" applyFill="1" applyBorder="1" applyAlignment="1">
      <alignment horizontal="center"/>
    </xf>
    <xf numFmtId="0" fontId="10" fillId="11" borderId="4" xfId="15" applyFont="1" applyFill="1" applyBorder="1"/>
    <xf numFmtId="0" fontId="10" fillId="11" borderId="0" xfId="15" applyFont="1" applyFill="1" applyBorder="1" applyAlignment="1">
      <alignment horizontal="right"/>
    </xf>
    <xf numFmtId="171" fontId="10" fillId="11" borderId="0" xfId="17" applyNumberFormat="1" applyFont="1" applyFill="1" applyBorder="1" applyAlignment="1">
      <alignment horizontal="center"/>
    </xf>
    <xf numFmtId="0" fontId="10" fillId="11" borderId="0" xfId="15" applyFont="1" applyFill="1" applyBorder="1"/>
    <xf numFmtId="0" fontId="10" fillId="11" borderId="5" xfId="15" applyFont="1" applyFill="1" applyBorder="1"/>
    <xf numFmtId="168" fontId="11" fillId="5" borderId="6" xfId="15" applyNumberFormat="1" applyFont="1" applyFill="1" applyBorder="1" applyAlignment="1">
      <alignment horizontal="center"/>
    </xf>
    <xf numFmtId="1" fontId="10" fillId="5" borderId="6" xfId="15" applyNumberFormat="1" applyFont="1" applyFill="1" applyBorder="1" applyAlignment="1">
      <alignment horizontal="center"/>
    </xf>
    <xf numFmtId="169" fontId="11" fillId="5" borderId="7" xfId="17" applyNumberFormat="1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/>
    </xf>
    <xf numFmtId="0" fontId="10" fillId="6" borderId="6" xfId="15" applyFont="1" applyFill="1" applyBorder="1" applyAlignment="1">
      <alignment horizontal="right" vertical="center"/>
    </xf>
    <xf numFmtId="169" fontId="10" fillId="12" borderId="6" xfId="11" applyNumberFormat="1" applyFont="1" applyFill="1" applyBorder="1" applyAlignment="1">
      <alignment horizontal="center"/>
    </xf>
    <xf numFmtId="0" fontId="10" fillId="5" borderId="6" xfId="0" applyNumberFormat="1" applyFont="1" applyFill="1" applyBorder="1" applyAlignment="1">
      <alignment horizontal="center"/>
    </xf>
    <xf numFmtId="169" fontId="10" fillId="5" borderId="17" xfId="0" applyNumberFormat="1" applyFont="1" applyFill="1" applyBorder="1" applyAlignment="1">
      <alignment horizontal="right"/>
    </xf>
    <xf numFmtId="178" fontId="10" fillId="5" borderId="18" xfId="0" applyNumberFormat="1" applyFont="1" applyFill="1" applyBorder="1" applyAlignment="1">
      <alignment horizontal="center"/>
    </xf>
    <xf numFmtId="169" fontId="10" fillId="5" borderId="19" xfId="0" applyNumberFormat="1" applyFont="1" applyFill="1" applyBorder="1" applyAlignment="1">
      <alignment horizontal="right"/>
    </xf>
    <xf numFmtId="0" fontId="10" fillId="5" borderId="16" xfId="0" applyFont="1" applyFill="1" applyBorder="1" applyAlignment="1">
      <alignment horizontal="center"/>
    </xf>
    <xf numFmtId="0" fontId="17" fillId="6" borderId="17" xfId="0" applyFont="1" applyFill="1" applyBorder="1" applyAlignment="1">
      <alignment horizontal="right"/>
    </xf>
    <xf numFmtId="179" fontId="10" fillId="7" borderId="18" xfId="0" quotePrefix="1" applyNumberFormat="1" applyFont="1" applyFill="1" applyBorder="1" applyAlignment="1">
      <alignment horizontal="center"/>
    </xf>
    <xf numFmtId="0" fontId="17" fillId="6" borderId="19" xfId="0" applyFont="1" applyFill="1" applyBorder="1" applyAlignment="1">
      <alignment horizontal="right"/>
    </xf>
    <xf numFmtId="1" fontId="16" fillId="7" borderId="16" xfId="0" applyNumberFormat="1" applyFont="1" applyFill="1" applyBorder="1" applyAlignment="1">
      <alignment horizontal="left"/>
    </xf>
    <xf numFmtId="0" fontId="20" fillId="5" borderId="11" xfId="14" applyFont="1" applyFill="1" applyBorder="1" applyAlignment="1"/>
    <xf numFmtId="0" fontId="11" fillId="5" borderId="11" xfId="14" applyNumberFormat="1" applyFont="1" applyFill="1" applyBorder="1" applyAlignment="1"/>
    <xf numFmtId="0" fontId="10" fillId="11" borderId="15" xfId="8" applyFont="1" applyFill="1" applyBorder="1"/>
    <xf numFmtId="0" fontId="10" fillId="11" borderId="21" xfId="8" applyFont="1" applyFill="1" applyBorder="1"/>
    <xf numFmtId="0" fontId="10" fillId="11" borderId="23" xfId="8" applyFont="1" applyFill="1" applyBorder="1"/>
    <xf numFmtId="0" fontId="10" fillId="11" borderId="0" xfId="8" applyFont="1" applyFill="1" applyBorder="1"/>
    <xf numFmtId="0" fontId="15" fillId="5" borderId="0" xfId="15" applyFont="1" applyFill="1" applyBorder="1" applyAlignment="1">
      <alignment horizontal="right" vertical="center"/>
    </xf>
    <xf numFmtId="0" fontId="16" fillId="5" borderId="0" xfId="15" applyFont="1" applyFill="1" applyBorder="1" applyAlignment="1">
      <alignment horizontal="right" vertical="center"/>
    </xf>
    <xf numFmtId="174" fontId="16" fillId="5" borderId="0" xfId="15" applyNumberFormat="1" applyFont="1" applyFill="1" applyBorder="1" applyAlignment="1">
      <alignment horizontal="right" vertical="center"/>
    </xf>
    <xf numFmtId="1" fontId="10" fillId="0" borderId="17" xfId="0" applyNumberFormat="1" applyFont="1" applyBorder="1"/>
    <xf numFmtId="0" fontId="10" fillId="7" borderId="30" xfId="14" applyNumberFormat="1" applyFont="1" applyFill="1" applyBorder="1" applyAlignment="1" applyProtection="1"/>
    <xf numFmtId="0" fontId="10" fillId="5" borderId="32" xfId="14" applyNumberFormat="1" applyFont="1" applyFill="1" applyBorder="1" applyAlignment="1"/>
    <xf numFmtId="172" fontId="17" fillId="0" borderId="29" xfId="21" applyNumberFormat="1" applyFont="1" applyFill="1" applyBorder="1" applyAlignment="1">
      <alignment horizontal="center" vertical="center" wrapText="1"/>
    </xf>
    <xf numFmtId="173" fontId="17" fillId="0" borderId="30" xfId="21" applyNumberFormat="1" applyFont="1" applyFill="1" applyBorder="1" applyAlignment="1">
      <alignment horizontal="center" vertical="center" wrapText="1"/>
    </xf>
    <xf numFmtId="0" fontId="10" fillId="0" borderId="4" xfId="21" applyNumberFormat="1" applyFont="1" applyFill="1" applyBorder="1" applyAlignment="1">
      <alignment vertical="center"/>
    </xf>
    <xf numFmtId="172" fontId="10" fillId="0" borderId="5" xfId="21" quotePrefix="1" applyNumberFormat="1" applyFont="1" applyFill="1" applyBorder="1" applyAlignment="1"/>
    <xf numFmtId="0" fontId="10" fillId="0" borderId="34" xfId="21" applyNumberFormat="1" applyFont="1" applyFill="1" applyBorder="1" applyAlignment="1">
      <alignment vertical="center"/>
    </xf>
    <xf numFmtId="172" fontId="10" fillId="0" borderId="35" xfId="21" quotePrefix="1" applyNumberFormat="1" applyFont="1" applyFill="1" applyBorder="1" applyAlignment="1"/>
    <xf numFmtId="0" fontId="10" fillId="0" borderId="10" xfId="21" applyNumberFormat="1" applyFont="1" applyFill="1" applyBorder="1" applyAlignment="1">
      <alignment vertical="center"/>
    </xf>
    <xf numFmtId="172" fontId="10" fillId="0" borderId="12" xfId="21" quotePrefix="1" applyNumberFormat="1" applyFont="1" applyFill="1" applyBorder="1" applyAlignment="1"/>
    <xf numFmtId="172" fontId="17" fillId="0" borderId="27" xfId="21" applyNumberFormat="1" applyFont="1" applyFill="1" applyBorder="1" applyAlignment="1">
      <alignment horizontal="center" vertical="center" wrapText="1"/>
    </xf>
    <xf numFmtId="172" fontId="10" fillId="0" borderId="36" xfId="21" applyNumberFormat="1" applyFont="1" applyBorder="1" applyAlignment="1"/>
    <xf numFmtId="172" fontId="10" fillId="0" borderId="37" xfId="21" applyNumberFormat="1" applyFont="1" applyBorder="1" applyAlignment="1"/>
    <xf numFmtId="172" fontId="10" fillId="0" borderId="38" xfId="21" applyNumberFormat="1" applyFont="1" applyBorder="1" applyAlignment="1"/>
    <xf numFmtId="172" fontId="17" fillId="0" borderId="30" xfId="21" applyNumberFormat="1" applyFont="1" applyFill="1" applyBorder="1" applyAlignment="1">
      <alignment horizontal="center" vertical="center" wrapText="1"/>
    </xf>
    <xf numFmtId="172" fontId="10" fillId="0" borderId="4" xfId="21" applyNumberFormat="1" applyFont="1" applyFill="1" applyBorder="1" applyAlignment="1"/>
    <xf numFmtId="172" fontId="10" fillId="0" borderId="5" xfId="21" applyNumberFormat="1" applyFont="1" applyFill="1" applyBorder="1" applyAlignment="1"/>
    <xf numFmtId="172" fontId="10" fillId="0" borderId="34" xfId="21" applyNumberFormat="1" applyFont="1" applyFill="1" applyBorder="1" applyAlignment="1"/>
    <xf numFmtId="172" fontId="10" fillId="0" borderId="35" xfId="21" applyNumberFormat="1" applyFont="1" applyFill="1" applyBorder="1" applyAlignment="1"/>
    <xf numFmtId="172" fontId="10" fillId="0" borderId="10" xfId="21" applyNumberFormat="1" applyFont="1" applyFill="1" applyBorder="1" applyAlignment="1"/>
    <xf numFmtId="172" fontId="10" fillId="0" borderId="12" xfId="21" applyNumberFormat="1" applyFont="1" applyFill="1" applyBorder="1" applyAlignment="1"/>
    <xf numFmtId="0" fontId="10" fillId="0" borderId="4" xfId="21" applyNumberFormat="1" applyFont="1" applyFill="1" applyBorder="1" applyAlignment="1"/>
    <xf numFmtId="0" fontId="10" fillId="0" borderId="34" xfId="21" applyNumberFormat="1" applyFont="1" applyFill="1" applyBorder="1" applyAlignment="1"/>
    <xf numFmtId="0" fontId="10" fillId="0" borderId="10" xfId="21" applyNumberFormat="1" applyFont="1" applyFill="1" applyBorder="1" applyAlignment="1"/>
    <xf numFmtId="0" fontId="10" fillId="5" borderId="36" xfId="20" applyFont="1" applyFill="1" applyBorder="1" applyAlignment="1">
      <alignment horizontal="center"/>
    </xf>
    <xf numFmtId="0" fontId="10" fillId="5" borderId="36" xfId="20" quotePrefix="1" applyFont="1" applyFill="1" applyBorder="1" applyAlignment="1">
      <alignment horizontal="center"/>
    </xf>
    <xf numFmtId="0" fontId="10" fillId="0" borderId="24" xfId="21" applyNumberFormat="1" applyFont="1" applyFill="1" applyBorder="1" applyAlignment="1"/>
    <xf numFmtId="172" fontId="10" fillId="0" borderId="26" xfId="21" quotePrefix="1" applyNumberFormat="1" applyFont="1" applyFill="1" applyBorder="1" applyAlignment="1"/>
    <xf numFmtId="172" fontId="10" fillId="0" borderId="39" xfId="21" applyNumberFormat="1" applyFont="1" applyBorder="1" applyAlignment="1"/>
    <xf numFmtId="172" fontId="10" fillId="0" borderId="24" xfId="21" applyNumberFormat="1" applyFont="1" applyFill="1" applyBorder="1" applyAlignment="1"/>
    <xf numFmtId="172" fontId="10" fillId="0" borderId="26" xfId="21" applyNumberFormat="1" applyFont="1" applyFill="1" applyBorder="1" applyAlignment="1"/>
    <xf numFmtId="0" fontId="10" fillId="0" borderId="24" xfId="21" applyNumberFormat="1" applyFont="1" applyFill="1" applyBorder="1" applyAlignment="1">
      <alignment horizontal="left"/>
    </xf>
    <xf numFmtId="0" fontId="10" fillId="0" borderId="4" xfId="21" applyNumberFormat="1" applyFont="1" applyFill="1" applyBorder="1" applyAlignment="1">
      <alignment horizontal="left"/>
    </xf>
    <xf numFmtId="0" fontId="10" fillId="0" borderId="34" xfId="21" applyNumberFormat="1" applyFont="1" applyFill="1" applyBorder="1" applyAlignment="1">
      <alignment horizontal="left"/>
    </xf>
    <xf numFmtId="0" fontId="10" fillId="0" borderId="4" xfId="19" applyFont="1" applyBorder="1" applyAlignment="1">
      <alignment horizontal="left"/>
    </xf>
    <xf numFmtId="172" fontId="10" fillId="0" borderId="5" xfId="19" quotePrefix="1" applyNumberFormat="1" applyFont="1" applyFill="1" applyBorder="1"/>
    <xf numFmtId="0" fontId="10" fillId="0" borderId="10" xfId="19" applyFont="1" applyBorder="1" applyAlignment="1">
      <alignment horizontal="left"/>
    </xf>
    <xf numFmtId="172" fontId="10" fillId="0" borderId="12" xfId="19" quotePrefix="1" applyNumberFormat="1" applyFont="1" applyFill="1" applyBorder="1"/>
    <xf numFmtId="172" fontId="10" fillId="0" borderId="36" xfId="11" applyNumberFormat="1" applyFont="1" applyBorder="1" applyAlignment="1"/>
    <xf numFmtId="172" fontId="10" fillId="0" borderId="38" xfId="11" applyNumberFormat="1" applyFont="1" applyBorder="1" applyAlignment="1"/>
    <xf numFmtId="172" fontId="10" fillId="0" borderId="4" xfId="11" applyNumberFormat="1" applyFont="1" applyBorder="1"/>
    <xf numFmtId="172" fontId="10" fillId="0" borderId="5" xfId="11" applyNumberFormat="1" applyFont="1" applyFill="1" applyBorder="1" applyAlignment="1"/>
    <xf numFmtId="0" fontId="10" fillId="11" borderId="43" xfId="14" applyFont="1" applyFill="1" applyBorder="1"/>
    <xf numFmtId="0" fontId="10" fillId="11" borderId="44" xfId="14" applyFont="1" applyFill="1" applyBorder="1"/>
    <xf numFmtId="0" fontId="10" fillId="5" borderId="45" xfId="14" applyFont="1" applyFill="1" applyBorder="1" applyAlignment="1">
      <alignment horizontal="left"/>
    </xf>
    <xf numFmtId="0" fontId="10" fillId="5" borderId="20" xfId="14" applyFont="1" applyFill="1" applyBorder="1" applyAlignment="1">
      <alignment horizontal="left"/>
    </xf>
    <xf numFmtId="177" fontId="10" fillId="7" borderId="41" xfId="14" applyNumberFormat="1" applyFont="1" applyFill="1" applyBorder="1" applyAlignment="1" applyProtection="1">
      <alignment horizontal="left"/>
    </xf>
    <xf numFmtId="177" fontId="10" fillId="7" borderId="5" xfId="14" applyNumberFormat="1" applyFont="1" applyFill="1" applyBorder="1" applyAlignment="1" applyProtection="1">
      <alignment horizontal="left"/>
    </xf>
    <xf numFmtId="177" fontId="14" fillId="7" borderId="5" xfId="14" applyNumberFormat="1" applyFont="1" applyFill="1" applyBorder="1" applyAlignment="1" applyProtection="1">
      <alignment horizontal="left"/>
    </xf>
    <xf numFmtId="177" fontId="14" fillId="7" borderId="12" xfId="14" applyNumberFormat="1" applyFont="1" applyFill="1" applyBorder="1" applyAlignment="1" applyProtection="1">
      <alignment horizontal="left"/>
    </xf>
    <xf numFmtId="0" fontId="17" fillId="5" borderId="24" xfId="14" applyFont="1" applyFill="1" applyBorder="1" applyAlignment="1"/>
    <xf numFmtId="0" fontId="10" fillId="5" borderId="28" xfId="14" applyNumberFormat="1" applyFont="1" applyFill="1" applyBorder="1" applyAlignment="1"/>
    <xf numFmtId="0" fontId="10" fillId="5" borderId="26" xfId="14" applyNumberFormat="1" applyFont="1" applyFill="1" applyBorder="1" applyAlignment="1"/>
    <xf numFmtId="0" fontId="17" fillId="5" borderId="4" xfId="14" applyFont="1" applyFill="1" applyBorder="1" applyAlignment="1"/>
    <xf numFmtId="0" fontId="10" fillId="5" borderId="5" xfId="14" applyNumberFormat="1" applyFont="1" applyFill="1" applyBorder="1" applyAlignment="1"/>
    <xf numFmtId="0" fontId="10" fillId="5" borderId="31" xfId="14" applyNumberFormat="1" applyFont="1" applyFill="1" applyBorder="1" applyAlignment="1"/>
    <xf numFmtId="0" fontId="17" fillId="5" borderId="10" xfId="14" applyFont="1" applyFill="1" applyBorder="1" applyAlignment="1"/>
    <xf numFmtId="0" fontId="10" fillId="5" borderId="33" xfId="14" applyNumberFormat="1" applyFont="1" applyFill="1" applyBorder="1" applyAlignment="1"/>
    <xf numFmtId="177" fontId="10" fillId="7" borderId="12" xfId="14" applyNumberFormat="1" applyFont="1" applyFill="1" applyBorder="1" applyAlignment="1" applyProtection="1">
      <alignment horizontal="left"/>
    </xf>
    <xf numFmtId="0" fontId="19" fillId="5" borderId="28" xfId="14" applyFont="1" applyFill="1" applyBorder="1" applyAlignment="1">
      <alignment horizontal="left"/>
    </xf>
    <xf numFmtId="0" fontId="10" fillId="7" borderId="28" xfId="14" applyNumberFormat="1" applyFont="1" applyFill="1" applyBorder="1" applyAlignment="1" applyProtection="1">
      <alignment horizontal="center"/>
    </xf>
    <xf numFmtId="0" fontId="17" fillId="5" borderId="46" xfId="14" applyFont="1" applyFill="1" applyBorder="1" applyAlignment="1"/>
    <xf numFmtId="0" fontId="10" fillId="5" borderId="27" xfId="14" applyFont="1" applyFill="1" applyBorder="1" applyAlignment="1">
      <alignment horizontal="left"/>
    </xf>
    <xf numFmtId="0" fontId="10" fillId="5" borderId="47" xfId="14" applyFont="1" applyFill="1" applyBorder="1" applyAlignment="1">
      <alignment horizontal="left"/>
    </xf>
    <xf numFmtId="0" fontId="10" fillId="5" borderId="36" xfId="14" applyFont="1" applyFill="1" applyBorder="1" applyAlignment="1">
      <alignment horizontal="center"/>
    </xf>
    <xf numFmtId="0" fontId="10" fillId="5" borderId="38" xfId="14" applyFont="1" applyFill="1" applyBorder="1" applyAlignment="1">
      <alignment horizontal="center"/>
    </xf>
    <xf numFmtId="0" fontId="17" fillId="5" borderId="48" xfId="14" applyFont="1" applyFill="1" applyBorder="1" applyAlignment="1"/>
    <xf numFmtId="0" fontId="17" fillId="5" borderId="40" xfId="14" applyFont="1" applyFill="1" applyBorder="1" applyAlignment="1"/>
    <xf numFmtId="0" fontId="10" fillId="5" borderId="12" xfId="14" applyNumberFormat="1" applyFont="1" applyFill="1" applyBorder="1" applyAlignment="1"/>
    <xf numFmtId="0" fontId="11" fillId="0" borderId="36" xfId="14" applyFont="1" applyBorder="1"/>
    <xf numFmtId="0" fontId="11" fillId="5" borderId="36" xfId="14" applyFont="1" applyFill="1" applyBorder="1" applyAlignment="1">
      <alignment horizontal="center"/>
    </xf>
    <xf numFmtId="0" fontId="11" fillId="5" borderId="38" xfId="14" applyFont="1" applyFill="1" applyBorder="1" applyAlignment="1">
      <alignment horizontal="center"/>
    </xf>
    <xf numFmtId="0" fontId="10" fillId="5" borderId="41" xfId="14" applyNumberFormat="1" applyFont="1" applyFill="1" applyBorder="1" applyAlignment="1"/>
    <xf numFmtId="0" fontId="17" fillId="5" borderId="42" xfId="14" applyFont="1" applyFill="1" applyBorder="1" applyAlignment="1"/>
    <xf numFmtId="0" fontId="11" fillId="5" borderId="36" xfId="14" applyFont="1" applyFill="1" applyBorder="1"/>
    <xf numFmtId="0" fontId="4" fillId="5" borderId="36" xfId="14" applyFont="1" applyFill="1" applyBorder="1"/>
    <xf numFmtId="0" fontId="11" fillId="5" borderId="37" xfId="14" applyFont="1" applyFill="1" applyBorder="1" applyAlignment="1">
      <alignment horizontal="center"/>
    </xf>
    <xf numFmtId="0" fontId="10" fillId="0" borderId="10" xfId="21" applyNumberFormat="1" applyFont="1" applyFill="1" applyBorder="1" applyAlignment="1">
      <alignment horizontal="left"/>
    </xf>
    <xf numFmtId="172" fontId="10" fillId="0" borderId="10" xfId="11" applyNumberFormat="1" applyFont="1" applyBorder="1"/>
    <xf numFmtId="172" fontId="10" fillId="0" borderId="12" xfId="11" applyNumberFormat="1" applyFont="1" applyFill="1" applyBorder="1" applyAlignment="1"/>
    <xf numFmtId="0" fontId="10" fillId="0" borderId="36" xfId="20" applyFont="1" applyFill="1" applyBorder="1" applyAlignment="1">
      <alignment horizontal="center"/>
    </xf>
    <xf numFmtId="0" fontId="10" fillId="5" borderId="5" xfId="18" applyFont="1" applyFill="1" applyBorder="1" applyAlignment="1">
      <alignment horizontal="center"/>
    </xf>
    <xf numFmtId="0" fontId="10" fillId="5" borderId="5" xfId="0" applyFont="1" applyFill="1" applyBorder="1" applyAlignment="1">
      <alignment horizontal="center"/>
    </xf>
    <xf numFmtId="0" fontId="16" fillId="5" borderId="0" xfId="15" quotePrefix="1" applyFont="1" applyFill="1" applyBorder="1" applyAlignment="1">
      <alignment horizontal="center" vertical="center"/>
    </xf>
    <xf numFmtId="169" fontId="11" fillId="5" borderId="0" xfId="17" applyNumberFormat="1" applyFont="1" applyFill="1" applyBorder="1" applyAlignment="1">
      <alignment horizontal="center" vertical="center"/>
    </xf>
    <xf numFmtId="0" fontId="12" fillId="4" borderId="1" xfId="16" applyFont="1" applyFill="1" applyBorder="1" applyAlignment="1">
      <alignment horizontal="centerContinuous" vertical="center"/>
    </xf>
    <xf numFmtId="0" fontId="12" fillId="4" borderId="49" xfId="16" applyFont="1" applyFill="1" applyBorder="1" applyAlignment="1">
      <alignment horizontal="centerContinuous" vertical="center"/>
    </xf>
    <xf numFmtId="171" fontId="10" fillId="5" borderId="6" xfId="15" applyNumberFormat="1" applyFont="1" applyFill="1" applyBorder="1" applyAlignment="1">
      <alignment horizontal="center"/>
    </xf>
    <xf numFmtId="1" fontId="10" fillId="5" borderId="6" xfId="17" applyNumberFormat="1" applyFont="1" applyFill="1" applyBorder="1" applyAlignment="1">
      <alignment horizontal="center"/>
    </xf>
    <xf numFmtId="1" fontId="10" fillId="5" borderId="7" xfId="17" applyNumberFormat="1" applyFont="1" applyFill="1" applyBorder="1" applyAlignment="1">
      <alignment horizontal="center"/>
    </xf>
    <xf numFmtId="0" fontId="10" fillId="5" borderId="11" xfId="15" applyFont="1" applyFill="1" applyBorder="1" applyAlignment="1">
      <alignment horizontal="center"/>
    </xf>
    <xf numFmtId="0" fontId="15" fillId="5" borderId="11" xfId="15" applyFont="1" applyFill="1" applyBorder="1" applyAlignment="1">
      <alignment horizontal="right" vertical="center"/>
    </xf>
    <xf numFmtId="0" fontId="16" fillId="5" borderId="11" xfId="15" applyFont="1" applyFill="1" applyBorder="1" applyAlignment="1">
      <alignment horizontal="right" vertical="center"/>
    </xf>
    <xf numFmtId="0" fontId="13" fillId="4" borderId="1" xfId="14" applyFont="1" applyFill="1" applyBorder="1" applyAlignment="1">
      <alignment horizontal="centerContinuous"/>
    </xf>
    <xf numFmtId="0" fontId="13" fillId="4" borderId="2" xfId="14" applyFont="1" applyFill="1" applyBorder="1" applyAlignment="1">
      <alignment horizontal="centerContinuous"/>
    </xf>
    <xf numFmtId="0" fontId="13" fillId="4" borderId="3" xfId="14" applyFont="1" applyFill="1" applyBorder="1" applyAlignment="1">
      <alignment horizontal="centerContinuous"/>
    </xf>
    <xf numFmtId="180" fontId="10" fillId="0" borderId="0" xfId="8" applyNumberFormat="1" applyFont="1"/>
    <xf numFmtId="0" fontId="10" fillId="13" borderId="0" xfId="8" applyFont="1" applyFill="1"/>
    <xf numFmtId="171" fontId="10" fillId="13" borderId="0" xfId="8" applyNumberFormat="1" applyFont="1" applyFill="1"/>
    <xf numFmtId="172" fontId="10" fillId="13" borderId="0" xfId="11" applyNumberFormat="1" applyFont="1" applyFill="1"/>
    <xf numFmtId="172" fontId="10" fillId="13" borderId="0" xfId="8" applyNumberFormat="1" applyFont="1" applyFill="1"/>
    <xf numFmtId="0" fontId="10" fillId="14" borderId="0" xfId="8" applyFont="1" applyFill="1"/>
    <xf numFmtId="171" fontId="10" fillId="14" borderId="0" xfId="8" applyNumberFormat="1" applyFont="1" applyFill="1"/>
    <xf numFmtId="172" fontId="10" fillId="14" borderId="0" xfId="11" applyNumberFormat="1" applyFont="1" applyFill="1"/>
    <xf numFmtId="172" fontId="10" fillId="14" borderId="0" xfId="8" applyNumberFormat="1" applyFont="1" applyFill="1"/>
    <xf numFmtId="171" fontId="10" fillId="0" borderId="0" xfId="0" applyNumberFormat="1" applyFont="1"/>
    <xf numFmtId="0" fontId="23" fillId="15" borderId="51" xfId="0" applyFont="1" applyFill="1" applyBorder="1" applyAlignment="1">
      <alignment horizontal="center" vertical="center" wrapText="1"/>
    </xf>
    <xf numFmtId="0" fontId="23" fillId="15" borderId="52" xfId="0" applyFont="1" applyFill="1" applyBorder="1" applyAlignment="1">
      <alignment horizontal="center" vertical="center" wrapText="1"/>
    </xf>
    <xf numFmtId="0" fontId="10" fillId="11" borderId="0" xfId="0" applyFont="1" applyFill="1"/>
    <xf numFmtId="0" fontId="22" fillId="11" borderId="48" xfId="0" applyFont="1" applyFill="1" applyBorder="1"/>
    <xf numFmtId="171" fontId="22" fillId="11" borderId="28" xfId="0" applyNumberFormat="1" applyFont="1" applyFill="1" applyBorder="1"/>
    <xf numFmtId="172" fontId="22" fillId="11" borderId="28" xfId="0" applyNumberFormat="1" applyFont="1" applyFill="1" applyBorder="1"/>
    <xf numFmtId="172" fontId="22" fillId="11" borderId="50" xfId="0" applyNumberFormat="1" applyFont="1" applyFill="1" applyBorder="1"/>
    <xf numFmtId="0" fontId="22" fillId="11" borderId="40" xfId="0" applyFont="1" applyFill="1" applyBorder="1"/>
    <xf numFmtId="171" fontId="22" fillId="11" borderId="8" xfId="0" applyNumberFormat="1" applyFont="1" applyFill="1" applyBorder="1"/>
    <xf numFmtId="172" fontId="22" fillId="11" borderId="8" xfId="0" applyNumberFormat="1" applyFont="1" applyFill="1" applyBorder="1"/>
    <xf numFmtId="172" fontId="22" fillId="11" borderId="31" xfId="0" applyNumberFormat="1" applyFont="1" applyFill="1" applyBorder="1"/>
    <xf numFmtId="0" fontId="22" fillId="11" borderId="46" xfId="0" applyFont="1" applyFill="1" applyBorder="1"/>
    <xf numFmtId="171" fontId="22" fillId="11" borderId="32" xfId="0" applyNumberFormat="1" applyFont="1" applyFill="1" applyBorder="1"/>
    <xf numFmtId="172" fontId="22" fillId="11" borderId="32" xfId="0" applyNumberFormat="1" applyFont="1" applyFill="1" applyBorder="1"/>
    <xf numFmtId="172" fontId="22" fillId="11" borderId="33" xfId="0" applyNumberFormat="1" applyFont="1" applyFill="1" applyBorder="1"/>
    <xf numFmtId="0" fontId="24" fillId="15" borderId="51" xfId="23" applyFont="1" applyFill="1" applyBorder="1" applyAlignment="1">
      <alignment horizontal="center" vertical="center" wrapText="1"/>
    </xf>
    <xf numFmtId="0" fontId="24" fillId="15" borderId="52" xfId="23" applyFont="1" applyFill="1" applyBorder="1" applyAlignment="1">
      <alignment horizontal="center" vertical="center" wrapText="1"/>
    </xf>
    <xf numFmtId="0" fontId="24" fillId="15" borderId="53" xfId="23" applyFont="1" applyFill="1" applyBorder="1" applyAlignment="1">
      <alignment horizontal="center" vertical="center" wrapText="1"/>
    </xf>
    <xf numFmtId="171" fontId="10" fillId="11" borderId="40" xfId="23" applyNumberFormat="1" applyFont="1" applyFill="1" applyBorder="1"/>
    <xf numFmtId="171" fontId="10" fillId="11" borderId="8" xfId="23" applyNumberFormat="1" applyFont="1" applyFill="1" applyBorder="1"/>
    <xf numFmtId="172" fontId="10" fillId="11" borderId="8" xfId="23" applyNumberFormat="1" applyFont="1" applyFill="1" applyBorder="1" applyAlignment="1">
      <alignment horizontal="center" vertical="center"/>
    </xf>
    <xf numFmtId="172" fontId="10" fillId="11" borderId="31" xfId="23" applyNumberFormat="1" applyFont="1" applyFill="1" applyBorder="1" applyAlignment="1">
      <alignment horizontal="center" vertical="center"/>
    </xf>
    <xf numFmtId="0" fontId="10" fillId="11" borderId="4" xfId="8" applyFont="1" applyFill="1" applyBorder="1"/>
    <xf numFmtId="0" fontId="10" fillId="11" borderId="5" xfId="8" applyFont="1" applyFill="1" applyBorder="1"/>
    <xf numFmtId="0" fontId="10" fillId="11" borderId="10" xfId="8" applyFont="1" applyFill="1" applyBorder="1"/>
    <xf numFmtId="0" fontId="25" fillId="11" borderId="38" xfId="8" applyFont="1" applyFill="1" applyBorder="1"/>
    <xf numFmtId="0" fontId="25" fillId="11" borderId="4" xfId="8" applyFont="1" applyFill="1" applyBorder="1"/>
    <xf numFmtId="171" fontId="25" fillId="11" borderId="42" xfId="23" applyNumberFormat="1" applyFont="1" applyFill="1" applyBorder="1"/>
    <xf numFmtId="171" fontId="25" fillId="11" borderId="19" xfId="23" applyNumberFormat="1" applyFont="1" applyFill="1" applyBorder="1"/>
    <xf numFmtId="172" fontId="25" fillId="11" borderId="19" xfId="23" applyNumberFormat="1" applyFont="1" applyFill="1" applyBorder="1" applyAlignment="1">
      <alignment horizontal="center" vertical="center"/>
    </xf>
    <xf numFmtId="172" fontId="25" fillId="11" borderId="54" xfId="23" applyNumberFormat="1" applyFont="1" applyFill="1" applyBorder="1" applyAlignment="1">
      <alignment horizontal="center" vertical="center"/>
    </xf>
    <xf numFmtId="171" fontId="25" fillId="11" borderId="40" xfId="23" applyNumberFormat="1" applyFont="1" applyFill="1" applyBorder="1"/>
    <xf numFmtId="171" fontId="25" fillId="11" borderId="8" xfId="23" applyNumberFormat="1" applyFont="1" applyFill="1" applyBorder="1"/>
    <xf numFmtId="172" fontId="25" fillId="11" borderId="8" xfId="23" applyNumberFormat="1" applyFont="1" applyFill="1" applyBorder="1" applyAlignment="1">
      <alignment horizontal="center" vertical="center"/>
    </xf>
    <xf numFmtId="172" fontId="25" fillId="11" borderId="31" xfId="23" applyNumberFormat="1" applyFont="1" applyFill="1" applyBorder="1" applyAlignment="1">
      <alignment horizontal="center" vertical="center"/>
    </xf>
    <xf numFmtId="171" fontId="25" fillId="11" borderId="48" xfId="23" applyNumberFormat="1" applyFont="1" applyFill="1" applyBorder="1"/>
    <xf numFmtId="171" fontId="25" fillId="11" borderId="28" xfId="23" applyNumberFormat="1" applyFont="1" applyFill="1" applyBorder="1"/>
    <xf numFmtId="172" fontId="25" fillId="11" borderId="28" xfId="23" applyNumberFormat="1" applyFont="1" applyFill="1" applyBorder="1" applyAlignment="1">
      <alignment horizontal="center" vertical="center"/>
    </xf>
    <xf numFmtId="172" fontId="25" fillId="11" borderId="50" xfId="23" applyNumberFormat="1" applyFont="1" applyFill="1" applyBorder="1" applyAlignment="1">
      <alignment horizontal="center" vertical="center"/>
    </xf>
    <xf numFmtId="0" fontId="24" fillId="15" borderId="55" xfId="23" applyFont="1" applyFill="1" applyBorder="1" applyAlignment="1">
      <alignment horizontal="center" vertical="center" wrapText="1"/>
    </xf>
    <xf numFmtId="172" fontId="25" fillId="11" borderId="28" xfId="23" applyNumberFormat="1" applyFont="1" applyFill="1" applyBorder="1"/>
    <xf numFmtId="172" fontId="10" fillId="11" borderId="8" xfId="23" applyNumberFormat="1" applyFont="1" applyFill="1" applyBorder="1"/>
    <xf numFmtId="172" fontId="25" fillId="11" borderId="8" xfId="23" applyNumberFormat="1" applyFont="1" applyFill="1" applyBorder="1"/>
    <xf numFmtId="172" fontId="25" fillId="11" borderId="19" xfId="23" applyNumberFormat="1" applyFont="1" applyFill="1" applyBorder="1"/>
    <xf numFmtId="0" fontId="10" fillId="11" borderId="13" xfId="8" applyFont="1" applyFill="1" applyBorder="1"/>
    <xf numFmtId="180" fontId="10" fillId="11" borderId="0" xfId="8" applyNumberFormat="1" applyFont="1" applyFill="1" applyBorder="1"/>
    <xf numFmtId="172" fontId="10" fillId="11" borderId="0" xfId="0" applyNumberFormat="1" applyFont="1" applyFill="1"/>
    <xf numFmtId="171" fontId="10" fillId="11" borderId="32" xfId="23" applyNumberFormat="1" applyFont="1" applyFill="1" applyBorder="1"/>
    <xf numFmtId="172" fontId="10" fillId="11" borderId="32" xfId="23" applyNumberFormat="1" applyFont="1" applyFill="1" applyBorder="1"/>
    <xf numFmtId="172" fontId="10" fillId="11" borderId="33" xfId="23" applyNumberFormat="1" applyFont="1" applyFill="1" applyBorder="1" applyAlignment="1">
      <alignment horizontal="center" vertical="center"/>
    </xf>
    <xf numFmtId="0" fontId="24" fillId="15" borderId="49" xfId="23" applyFont="1" applyFill="1" applyBorder="1" applyAlignment="1">
      <alignment horizontal="center" vertical="center" wrapText="1"/>
    </xf>
    <xf numFmtId="172" fontId="10" fillId="11" borderId="36" xfId="23" applyNumberFormat="1" applyFont="1" applyFill="1" applyBorder="1" applyAlignment="1">
      <alignment horizontal="center" vertical="center"/>
    </xf>
    <xf numFmtId="172" fontId="10" fillId="11" borderId="38" xfId="23" applyNumberFormat="1" applyFont="1" applyFill="1" applyBorder="1" applyAlignment="1">
      <alignment horizontal="center" vertical="center"/>
    </xf>
    <xf numFmtId="0" fontId="0" fillId="11" borderId="0" xfId="0" applyFill="1"/>
    <xf numFmtId="0" fontId="10" fillId="11" borderId="40" xfId="0" applyFont="1" applyFill="1" applyBorder="1" applyAlignment="1"/>
    <xf numFmtId="171" fontId="10" fillId="11" borderId="8" xfId="0" applyNumberFormat="1" applyFont="1" applyFill="1" applyBorder="1" applyAlignment="1"/>
    <xf numFmtId="172" fontId="10" fillId="11" borderId="8" xfId="0" applyNumberFormat="1" applyFont="1" applyFill="1" applyBorder="1" applyAlignment="1"/>
    <xf numFmtId="172" fontId="10" fillId="11" borderId="8" xfId="17" applyNumberFormat="1" applyFont="1" applyFill="1" applyBorder="1"/>
    <xf numFmtId="172" fontId="10" fillId="11" borderId="31" xfId="0" applyNumberFormat="1" applyFont="1" applyFill="1" applyBorder="1"/>
    <xf numFmtId="0" fontId="10" fillId="11" borderId="46" xfId="0" applyFont="1" applyFill="1" applyBorder="1" applyAlignment="1"/>
    <xf numFmtId="171" fontId="10" fillId="11" borderId="32" xfId="0" applyNumberFormat="1" applyFont="1" applyFill="1" applyBorder="1" applyAlignment="1"/>
    <xf numFmtId="172" fontId="10" fillId="11" borderId="32" xfId="0" applyNumberFormat="1" applyFont="1" applyFill="1" applyBorder="1" applyAlignment="1"/>
    <xf numFmtId="172" fontId="10" fillId="11" borderId="32" xfId="17" applyNumberFormat="1" applyFont="1" applyFill="1" applyBorder="1"/>
    <xf numFmtId="172" fontId="10" fillId="11" borderId="33" xfId="0" applyNumberFormat="1" applyFont="1" applyFill="1" applyBorder="1"/>
    <xf numFmtId="0" fontId="24" fillId="15" borderId="56" xfId="0" applyFont="1" applyFill="1" applyBorder="1" applyAlignment="1">
      <alignment horizontal="center" vertical="center" wrapText="1"/>
    </xf>
    <xf numFmtId="0" fontId="24" fillId="15" borderId="57" xfId="0" applyFont="1" applyFill="1" applyBorder="1" applyAlignment="1">
      <alignment horizontal="center" vertical="center" wrapText="1"/>
    </xf>
    <xf numFmtId="0" fontId="24" fillId="15" borderId="58" xfId="0" applyFont="1" applyFill="1" applyBorder="1" applyAlignment="1">
      <alignment horizontal="center" vertical="center" wrapText="1"/>
    </xf>
    <xf numFmtId="2" fontId="10" fillId="11" borderId="0" xfId="0" applyNumberFormat="1" applyFont="1" applyFill="1" applyBorder="1"/>
    <xf numFmtId="0" fontId="10" fillId="11" borderId="0" xfId="0" applyFont="1" applyFill="1" applyBorder="1" applyAlignment="1">
      <alignment horizontal="center"/>
    </xf>
    <xf numFmtId="172" fontId="10" fillId="11" borderId="0" xfId="0" applyNumberFormat="1" applyFont="1" applyFill="1" applyBorder="1"/>
    <xf numFmtId="0" fontId="10" fillId="11" borderId="0" xfId="0" applyFont="1" applyFill="1" applyBorder="1"/>
    <xf numFmtId="2" fontId="0" fillId="11" borderId="0" xfId="0" applyNumberFormat="1" applyFill="1"/>
    <xf numFmtId="0" fontId="0" fillId="11" borderId="0" xfId="0" applyFill="1" applyAlignment="1">
      <alignment horizontal="center"/>
    </xf>
    <xf numFmtId="171" fontId="10" fillId="11" borderId="0" xfId="0" applyNumberFormat="1" applyFont="1" applyFill="1"/>
    <xf numFmtId="181" fontId="0" fillId="11" borderId="0" xfId="0" applyNumberFormat="1" applyFill="1"/>
    <xf numFmtId="0" fontId="10" fillId="11" borderId="0" xfId="0" applyFont="1" applyFill="1" applyAlignment="1">
      <alignment horizontal="center" vertical="center"/>
    </xf>
    <xf numFmtId="2" fontId="10" fillId="11" borderId="13" xfId="0" applyNumberFormat="1" applyFont="1" applyFill="1" applyBorder="1" applyAlignment="1">
      <alignment horizontal="center" vertical="center"/>
    </xf>
    <xf numFmtId="2" fontId="10" fillId="11" borderId="0" xfId="0" applyNumberFormat="1" applyFont="1" applyFill="1" applyBorder="1" applyAlignment="1">
      <alignment horizontal="center" vertical="center"/>
    </xf>
    <xf numFmtId="2" fontId="10" fillId="11" borderId="9" xfId="0" applyNumberFormat="1" applyFont="1" applyFill="1" applyBorder="1" applyAlignment="1">
      <alignment horizontal="center" vertical="center"/>
    </xf>
    <xf numFmtId="2" fontId="10" fillId="11" borderId="8" xfId="0" applyNumberFormat="1" applyFont="1" applyFill="1" applyBorder="1" applyAlignment="1">
      <alignment horizontal="center" vertical="center"/>
    </xf>
    <xf numFmtId="172" fontId="10" fillId="11" borderId="8" xfId="0" applyNumberFormat="1" applyFont="1" applyFill="1" applyBorder="1" applyAlignment="1">
      <alignment vertical="center"/>
    </xf>
    <xf numFmtId="2" fontId="10" fillId="11" borderId="0" xfId="0" applyNumberFormat="1" applyFont="1" applyFill="1" applyBorder="1" applyAlignment="1"/>
    <xf numFmtId="0" fontId="10" fillId="11" borderId="0" xfId="0" applyFont="1" applyFill="1" applyAlignment="1">
      <alignment vertical="center"/>
    </xf>
    <xf numFmtId="0" fontId="10" fillId="11" borderId="0" xfId="0" applyFont="1" applyFill="1" applyAlignment="1"/>
    <xf numFmtId="0" fontId="24" fillId="15" borderId="45" xfId="0" applyFont="1" applyFill="1" applyBorder="1" applyAlignment="1">
      <alignment horizontal="center" vertical="center" wrapText="1"/>
    </xf>
    <xf numFmtId="172" fontId="10" fillId="11" borderId="13" xfId="17" applyNumberFormat="1" applyFont="1" applyFill="1" applyBorder="1"/>
    <xf numFmtId="172" fontId="10" fillId="11" borderId="59" xfId="17" applyNumberFormat="1" applyFont="1" applyFill="1" applyBorder="1"/>
    <xf numFmtId="171" fontId="10" fillId="11" borderId="58" xfId="0" applyNumberFormat="1" applyFont="1" applyFill="1" applyBorder="1" applyAlignment="1"/>
    <xf numFmtId="0" fontId="24" fillId="15" borderId="60" xfId="0" applyFont="1" applyFill="1" applyBorder="1" applyAlignment="1">
      <alignment horizontal="center" vertical="center" wrapText="1"/>
    </xf>
    <xf numFmtId="171" fontId="10" fillId="11" borderId="61" xfId="0" applyNumberFormat="1" applyFont="1" applyFill="1" applyBorder="1" applyAlignment="1"/>
    <xf numFmtId="0" fontId="24" fillId="15" borderId="62" xfId="0" applyFont="1" applyFill="1" applyBorder="1" applyAlignment="1">
      <alignment horizontal="center" vertical="center" wrapText="1"/>
    </xf>
    <xf numFmtId="171" fontId="10" fillId="11" borderId="63" xfId="0" applyNumberFormat="1" applyFont="1" applyFill="1" applyBorder="1" applyAlignment="1"/>
    <xf numFmtId="0" fontId="26" fillId="15" borderId="57" xfId="0" applyFont="1" applyFill="1" applyBorder="1" applyAlignment="1">
      <alignment horizontal="center" vertical="center" wrapText="1"/>
    </xf>
    <xf numFmtId="0" fontId="26" fillId="15" borderId="45" xfId="0" applyFont="1" applyFill="1" applyBorder="1" applyAlignment="1">
      <alignment horizontal="center" vertical="center" wrapText="1"/>
    </xf>
    <xf numFmtId="0" fontId="26" fillId="15" borderId="58" xfId="0" applyFont="1" applyFill="1" applyBorder="1" applyAlignment="1">
      <alignment horizontal="center" vertical="center" wrapText="1"/>
    </xf>
    <xf numFmtId="0" fontId="0" fillId="11" borderId="17" xfId="0" applyFill="1" applyBorder="1"/>
    <xf numFmtId="0" fontId="0" fillId="11" borderId="65" xfId="0" applyFill="1" applyBorder="1"/>
    <xf numFmtId="0" fontId="0" fillId="11" borderId="8" xfId="0" applyFill="1" applyBorder="1"/>
    <xf numFmtId="0" fontId="0" fillId="11" borderId="31" xfId="0" applyFill="1" applyBorder="1"/>
    <xf numFmtId="0" fontId="0" fillId="11" borderId="32" xfId="0" applyFill="1" applyBorder="1"/>
    <xf numFmtId="0" fontId="0" fillId="11" borderId="33" xfId="0" applyFill="1" applyBorder="1"/>
    <xf numFmtId="171" fontId="10" fillId="11" borderId="64" xfId="0" applyNumberFormat="1" applyFont="1" applyFill="1" applyBorder="1"/>
    <xf numFmtId="172" fontId="10" fillId="11" borderId="17" xfId="0" applyNumberFormat="1" applyFont="1" applyFill="1" applyBorder="1"/>
    <xf numFmtId="172" fontId="10" fillId="11" borderId="65" xfId="0" applyNumberFormat="1" applyFont="1" applyFill="1" applyBorder="1"/>
    <xf numFmtId="171" fontId="10" fillId="11" borderId="40" xfId="0" applyNumberFormat="1" applyFont="1" applyFill="1" applyBorder="1"/>
    <xf numFmtId="172" fontId="10" fillId="11" borderId="8" xfId="0" applyNumberFormat="1" applyFont="1" applyFill="1" applyBorder="1"/>
    <xf numFmtId="171" fontId="10" fillId="11" borderId="46" xfId="0" applyNumberFormat="1" applyFont="1" applyFill="1" applyBorder="1"/>
    <xf numFmtId="172" fontId="10" fillId="11" borderId="32" xfId="0" applyNumberFormat="1" applyFont="1" applyFill="1" applyBorder="1"/>
    <xf numFmtId="0" fontId="27" fillId="11" borderId="0" xfId="0" applyFont="1" applyFill="1" applyAlignment="1">
      <alignment horizontal="center" vertical="center"/>
    </xf>
    <xf numFmtId="0" fontId="28" fillId="11" borderId="0" xfId="0" applyFont="1" applyFill="1" applyAlignment="1">
      <alignment horizontal="center" vertical="center"/>
    </xf>
    <xf numFmtId="172" fontId="10" fillId="11" borderId="31" xfId="17" applyNumberFormat="1" applyFont="1" applyFill="1" applyBorder="1"/>
    <xf numFmtId="172" fontId="10" fillId="11" borderId="33" xfId="17" applyNumberFormat="1" applyFont="1" applyFill="1" applyBorder="1"/>
    <xf numFmtId="173" fontId="0" fillId="11" borderId="64" xfId="0" applyNumberFormat="1" applyFill="1" applyBorder="1"/>
    <xf numFmtId="173" fontId="0" fillId="11" borderId="17" xfId="0" applyNumberFormat="1" applyFill="1" applyBorder="1"/>
    <xf numFmtId="173" fontId="0" fillId="11" borderId="40" xfId="0" applyNumberFormat="1" applyFill="1" applyBorder="1"/>
    <xf numFmtId="173" fontId="0" fillId="11" borderId="8" xfId="0" applyNumberFormat="1" applyFill="1" applyBorder="1"/>
    <xf numFmtId="173" fontId="0" fillId="11" borderId="46" xfId="0" applyNumberFormat="1" applyFill="1" applyBorder="1"/>
    <xf numFmtId="173" fontId="0" fillId="11" borderId="32" xfId="0" applyNumberFormat="1" applyFill="1" applyBorder="1"/>
    <xf numFmtId="172" fontId="10" fillId="11" borderId="17" xfId="17" applyNumberFormat="1" applyFont="1" applyFill="1" applyBorder="1"/>
    <xf numFmtId="171" fontId="10" fillId="11" borderId="17" xfId="0" applyNumberFormat="1" applyFont="1" applyFill="1" applyBorder="1" applyAlignment="1"/>
    <xf numFmtId="171" fontId="10" fillId="11" borderId="17" xfId="0" applyNumberFormat="1" applyFont="1" applyFill="1" applyBorder="1"/>
    <xf numFmtId="0" fontId="10" fillId="11" borderId="17" xfId="0" applyFont="1" applyFill="1" applyBorder="1"/>
    <xf numFmtId="171" fontId="10" fillId="11" borderId="8" xfId="0" applyNumberFormat="1" applyFont="1" applyFill="1" applyBorder="1"/>
    <xf numFmtId="0" fontId="10" fillId="11" borderId="8" xfId="0" applyFont="1" applyFill="1" applyBorder="1"/>
    <xf numFmtId="171" fontId="10" fillId="11" borderId="32" xfId="0" applyNumberFormat="1" applyFont="1" applyFill="1" applyBorder="1"/>
    <xf numFmtId="0" fontId="10" fillId="11" borderId="32" xfId="0" applyFont="1" applyFill="1" applyBorder="1"/>
    <xf numFmtId="0" fontId="24" fillId="15" borderId="48" xfId="0" applyFont="1" applyFill="1" applyBorder="1" applyAlignment="1">
      <alignment horizontal="center" vertical="center" wrapText="1"/>
    </xf>
    <xf numFmtId="0" fontId="24" fillId="15" borderId="28" xfId="0" applyFont="1" applyFill="1" applyBorder="1" applyAlignment="1">
      <alignment horizontal="center" vertical="center" wrapText="1"/>
    </xf>
    <xf numFmtId="0" fontId="26" fillId="15" borderId="28" xfId="0" applyFont="1" applyFill="1" applyBorder="1" applyAlignment="1">
      <alignment horizontal="center" vertical="center" wrapText="1"/>
    </xf>
    <xf numFmtId="0" fontId="26" fillId="15" borderId="50" xfId="0" applyFont="1" applyFill="1" applyBorder="1" applyAlignment="1">
      <alignment horizontal="center" vertical="center" wrapText="1"/>
    </xf>
    <xf numFmtId="0" fontId="0" fillId="11" borderId="28" xfId="0" applyFill="1" applyBorder="1"/>
    <xf numFmtId="172" fontId="0" fillId="11" borderId="28" xfId="0" applyNumberFormat="1" applyFill="1" applyBorder="1"/>
    <xf numFmtId="172" fontId="0" fillId="11" borderId="50" xfId="0" applyNumberFormat="1" applyFill="1" applyBorder="1"/>
    <xf numFmtId="172" fontId="0" fillId="11" borderId="8" xfId="0" applyNumberFormat="1" applyFill="1" applyBorder="1"/>
    <xf numFmtId="172" fontId="0" fillId="11" borderId="31" xfId="0" applyNumberFormat="1" applyFill="1" applyBorder="1"/>
    <xf numFmtId="172" fontId="0" fillId="11" borderId="32" xfId="0" applyNumberFormat="1" applyFill="1" applyBorder="1"/>
    <xf numFmtId="172" fontId="0" fillId="11" borderId="33" xfId="0" applyNumberFormat="1" applyFill="1" applyBorder="1"/>
    <xf numFmtId="171" fontId="10" fillId="11" borderId="28" xfId="0" applyNumberFormat="1" applyFont="1" applyFill="1" applyBorder="1" applyAlignment="1"/>
    <xf numFmtId="171" fontId="10" fillId="11" borderId="28" xfId="0" applyNumberFormat="1" applyFont="1" applyFill="1" applyBorder="1"/>
    <xf numFmtId="0" fontId="10" fillId="11" borderId="0" xfId="0" applyFont="1" applyFill="1" applyBorder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17" fillId="10" borderId="20" xfId="8" applyFont="1" applyFill="1" applyBorder="1" applyAlignment="1">
      <alignment horizontal="center" vertical="center" wrapText="1"/>
    </xf>
    <xf numFmtId="0" fontId="17" fillId="10" borderId="21" xfId="8" applyFont="1" applyFill="1" applyBorder="1" applyAlignment="1">
      <alignment horizontal="center" vertical="center" wrapText="1"/>
    </xf>
    <xf numFmtId="0" fontId="10" fillId="11" borderId="9" xfId="0" applyFont="1" applyFill="1" applyBorder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26" fillId="15" borderId="1" xfId="0" applyFont="1" applyFill="1" applyBorder="1" applyAlignment="1">
      <alignment horizontal="centerContinuous" vertical="center" wrapText="1"/>
    </xf>
    <xf numFmtId="0" fontId="26" fillId="15" borderId="2" xfId="0" applyFont="1" applyFill="1" applyBorder="1" applyAlignment="1">
      <alignment horizontal="centerContinuous" vertical="center" wrapText="1"/>
    </xf>
    <xf numFmtId="0" fontId="26" fillId="15" borderId="3" xfId="0" applyFont="1" applyFill="1" applyBorder="1" applyAlignment="1">
      <alignment horizontal="centerContinuous" vertical="center" wrapText="1"/>
    </xf>
    <xf numFmtId="0" fontId="10" fillId="11" borderId="48" xfId="0" applyFont="1" applyFill="1" applyBorder="1" applyAlignment="1">
      <alignment horizontal="center" vertical="center"/>
    </xf>
    <xf numFmtId="0" fontId="10" fillId="11" borderId="40" xfId="0" applyFont="1" applyFill="1" applyBorder="1" applyAlignment="1">
      <alignment horizontal="center" vertical="center"/>
    </xf>
    <xf numFmtId="0" fontId="10" fillId="11" borderId="46" xfId="0" applyFont="1" applyFill="1" applyBorder="1" applyAlignment="1">
      <alignment horizontal="center" vertical="center"/>
    </xf>
    <xf numFmtId="0" fontId="10" fillId="11" borderId="64" xfId="0" applyFont="1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173" fontId="0" fillId="11" borderId="65" xfId="0" applyNumberFormat="1" applyFill="1" applyBorder="1"/>
    <xf numFmtId="173" fontId="0" fillId="11" borderId="31" xfId="0" applyNumberFormat="1" applyFill="1" applyBorder="1"/>
    <xf numFmtId="173" fontId="0" fillId="11" borderId="33" xfId="0" applyNumberFormat="1" applyFill="1" applyBorder="1"/>
  </cellXfs>
  <cellStyles count="42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result" xfId="5"/>
    <cellStyle name="Valuta (0)_AZIONI" xfId="6"/>
    <cellStyle name="Valuta_AZIONI" xfId="7"/>
  </cellStyles>
  <dxfs count="2"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821303587051618"/>
          <c:y val="5.1400554097404488E-2"/>
          <c:w val="0.83818328958880128"/>
          <c:h val="0.76329323417906092"/>
        </c:manualLayout>
      </c:layout>
      <c:lineChart>
        <c:grouping val="standard"/>
        <c:varyColors val="0"/>
        <c:ser>
          <c:idx val="0"/>
          <c:order val="0"/>
          <c:tx>
            <c:strRef>
              <c:f>SynthDepo!$AC$29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SynthDepo!$AB$30:$AB$128</c:f>
              <c:numCache>
                <c:formatCode>ddd\,\ dd\-mmm\-yyyy</c:formatCode>
                <c:ptCount val="99"/>
                <c:pt idx="0">
                  <c:v>41856</c:v>
                </c:pt>
                <c:pt idx="1">
                  <c:v>41857</c:v>
                </c:pt>
                <c:pt idx="2">
                  <c:v>41858</c:v>
                </c:pt>
                <c:pt idx="3">
                  <c:v>41859</c:v>
                </c:pt>
                <c:pt idx="4">
                  <c:v>41862</c:v>
                </c:pt>
                <c:pt idx="5">
                  <c:v>41863</c:v>
                </c:pt>
                <c:pt idx="6">
                  <c:v>41864</c:v>
                </c:pt>
                <c:pt idx="7">
                  <c:v>41865</c:v>
                </c:pt>
                <c:pt idx="8">
                  <c:v>41866</c:v>
                </c:pt>
                <c:pt idx="9">
                  <c:v>41869</c:v>
                </c:pt>
                <c:pt idx="10">
                  <c:v>41870</c:v>
                </c:pt>
                <c:pt idx="11">
                  <c:v>41871</c:v>
                </c:pt>
                <c:pt idx="12">
                  <c:v>41872</c:v>
                </c:pt>
                <c:pt idx="13">
                  <c:v>41873</c:v>
                </c:pt>
                <c:pt idx="14">
                  <c:v>41876</c:v>
                </c:pt>
                <c:pt idx="15">
                  <c:v>41877</c:v>
                </c:pt>
                <c:pt idx="16">
                  <c:v>41878</c:v>
                </c:pt>
                <c:pt idx="17">
                  <c:v>41879</c:v>
                </c:pt>
                <c:pt idx="18">
                  <c:v>41880</c:v>
                </c:pt>
                <c:pt idx="19">
                  <c:v>41883</c:v>
                </c:pt>
                <c:pt idx="20">
                  <c:v>41884</c:v>
                </c:pt>
                <c:pt idx="21">
                  <c:v>41885</c:v>
                </c:pt>
                <c:pt idx="22">
                  <c:v>41886</c:v>
                </c:pt>
                <c:pt idx="23">
                  <c:v>41887</c:v>
                </c:pt>
                <c:pt idx="24">
                  <c:v>41890</c:v>
                </c:pt>
                <c:pt idx="25">
                  <c:v>41891</c:v>
                </c:pt>
                <c:pt idx="26">
                  <c:v>41892</c:v>
                </c:pt>
                <c:pt idx="27">
                  <c:v>41893</c:v>
                </c:pt>
                <c:pt idx="28">
                  <c:v>41894</c:v>
                </c:pt>
                <c:pt idx="29">
                  <c:v>41897</c:v>
                </c:pt>
                <c:pt idx="30">
                  <c:v>41898</c:v>
                </c:pt>
                <c:pt idx="31">
                  <c:v>41899</c:v>
                </c:pt>
                <c:pt idx="32">
                  <c:v>41900</c:v>
                </c:pt>
                <c:pt idx="33">
                  <c:v>41901</c:v>
                </c:pt>
                <c:pt idx="34">
                  <c:v>41904</c:v>
                </c:pt>
                <c:pt idx="35">
                  <c:v>41905</c:v>
                </c:pt>
                <c:pt idx="36">
                  <c:v>41906</c:v>
                </c:pt>
                <c:pt idx="37">
                  <c:v>41907</c:v>
                </c:pt>
                <c:pt idx="38">
                  <c:v>41908</c:v>
                </c:pt>
                <c:pt idx="39">
                  <c:v>41911</c:v>
                </c:pt>
                <c:pt idx="40">
                  <c:v>41912</c:v>
                </c:pt>
                <c:pt idx="41">
                  <c:v>41913</c:v>
                </c:pt>
                <c:pt idx="42">
                  <c:v>41914</c:v>
                </c:pt>
                <c:pt idx="43">
                  <c:v>41915</c:v>
                </c:pt>
                <c:pt idx="44">
                  <c:v>41918</c:v>
                </c:pt>
                <c:pt idx="45">
                  <c:v>41919</c:v>
                </c:pt>
                <c:pt idx="46">
                  <c:v>41920</c:v>
                </c:pt>
                <c:pt idx="47">
                  <c:v>41921</c:v>
                </c:pt>
                <c:pt idx="48">
                  <c:v>41922</c:v>
                </c:pt>
                <c:pt idx="49">
                  <c:v>41925</c:v>
                </c:pt>
                <c:pt idx="50">
                  <c:v>41926</c:v>
                </c:pt>
                <c:pt idx="51">
                  <c:v>41927</c:v>
                </c:pt>
                <c:pt idx="52">
                  <c:v>41928</c:v>
                </c:pt>
                <c:pt idx="53">
                  <c:v>41929</c:v>
                </c:pt>
                <c:pt idx="54">
                  <c:v>41932</c:v>
                </c:pt>
                <c:pt idx="55">
                  <c:v>41933</c:v>
                </c:pt>
                <c:pt idx="56">
                  <c:v>41934</c:v>
                </c:pt>
                <c:pt idx="57">
                  <c:v>41935</c:v>
                </c:pt>
                <c:pt idx="58">
                  <c:v>41936</c:v>
                </c:pt>
                <c:pt idx="59">
                  <c:v>41939</c:v>
                </c:pt>
                <c:pt idx="60">
                  <c:v>41940</c:v>
                </c:pt>
                <c:pt idx="61">
                  <c:v>41941</c:v>
                </c:pt>
                <c:pt idx="62">
                  <c:v>41942</c:v>
                </c:pt>
                <c:pt idx="63">
                  <c:v>41943</c:v>
                </c:pt>
                <c:pt idx="64">
                  <c:v>41946</c:v>
                </c:pt>
                <c:pt idx="65">
                  <c:v>41947</c:v>
                </c:pt>
                <c:pt idx="66">
                  <c:v>41948</c:v>
                </c:pt>
              </c:numCache>
            </c:numRef>
          </c:cat>
          <c:val>
            <c:numRef>
              <c:f>SynthDepo!$AC$30:$AC$128</c:f>
              <c:numCache>
                <c:formatCode>0.0000%</c:formatCode>
                <c:ptCount val="99"/>
                <c:pt idx="0">
                  <c:v>1.4499999999996959E-3</c:v>
                </c:pt>
                <c:pt idx="1">
                  <c:v>1.4499999999996959E-3</c:v>
                </c:pt>
                <c:pt idx="2">
                  <c:v>1.4499999999996959E-3</c:v>
                </c:pt>
                <c:pt idx="3">
                  <c:v>1.4499999999996959E-3</c:v>
                </c:pt>
                <c:pt idx="4">
                  <c:v>1.4499999999996959E-3</c:v>
                </c:pt>
                <c:pt idx="5">
                  <c:v>1.4499999999996959E-3</c:v>
                </c:pt>
                <c:pt idx="6">
                  <c:v>1.4499999999996959E-3</c:v>
                </c:pt>
                <c:pt idx="7">
                  <c:v>1.4499999999996959E-3</c:v>
                </c:pt>
                <c:pt idx="8">
                  <c:v>1.4499999999996959E-3</c:v>
                </c:pt>
                <c:pt idx="9">
                  <c:v>1.4499999999996959E-3</c:v>
                </c:pt>
                <c:pt idx="10">
                  <c:v>1.4499999999996959E-3</c:v>
                </c:pt>
                <c:pt idx="11">
                  <c:v>1.4499999999996959E-3</c:v>
                </c:pt>
                <c:pt idx="12">
                  <c:v>1.4499999999996959E-3</c:v>
                </c:pt>
                <c:pt idx="13">
                  <c:v>1.4499999999996959E-3</c:v>
                </c:pt>
                <c:pt idx="14">
                  <c:v>1.4499999999996959E-3</c:v>
                </c:pt>
                <c:pt idx="15">
                  <c:v>1.4499999999996959E-3</c:v>
                </c:pt>
                <c:pt idx="16">
                  <c:v>1.4499999999996959E-3</c:v>
                </c:pt>
                <c:pt idx="17">
                  <c:v>1.4499999999996959E-3</c:v>
                </c:pt>
                <c:pt idx="18">
                  <c:v>1.4499999999996959E-3</c:v>
                </c:pt>
                <c:pt idx="19">
                  <c:v>1.4499999999996959E-3</c:v>
                </c:pt>
                <c:pt idx="20">
                  <c:v>1.4499999999996959E-3</c:v>
                </c:pt>
                <c:pt idx="21">
                  <c:v>1.4499999999996959E-3</c:v>
                </c:pt>
                <c:pt idx="22">
                  <c:v>1.4499999999996959E-3</c:v>
                </c:pt>
                <c:pt idx="23">
                  <c:v>1.4499999999996959E-3</c:v>
                </c:pt>
                <c:pt idx="24">
                  <c:v>1.4499999999996959E-3</c:v>
                </c:pt>
                <c:pt idx="25">
                  <c:v>1.4499999999996959E-3</c:v>
                </c:pt>
                <c:pt idx="26">
                  <c:v>1.4499999999996959E-3</c:v>
                </c:pt>
                <c:pt idx="27">
                  <c:v>1.4499999999996959E-3</c:v>
                </c:pt>
                <c:pt idx="28">
                  <c:v>1.4499999999996959E-3</c:v>
                </c:pt>
                <c:pt idx="29">
                  <c:v>1.4499999999996959E-3</c:v>
                </c:pt>
                <c:pt idx="30">
                  <c:v>1.4499999999996959E-3</c:v>
                </c:pt>
                <c:pt idx="31">
                  <c:v>1.4499999999996959E-3</c:v>
                </c:pt>
                <c:pt idx="32">
                  <c:v>1.4499999999996959E-3</c:v>
                </c:pt>
                <c:pt idx="33">
                  <c:v>1.4499999999996959E-3</c:v>
                </c:pt>
                <c:pt idx="34">
                  <c:v>1.4499999999996959E-3</c:v>
                </c:pt>
                <c:pt idx="35">
                  <c:v>1.4499999999996959E-3</c:v>
                </c:pt>
                <c:pt idx="36">
                  <c:v>1.4499999999996959E-3</c:v>
                </c:pt>
                <c:pt idx="37">
                  <c:v>1.4499999999996959E-3</c:v>
                </c:pt>
                <c:pt idx="38">
                  <c:v>1.4499999999996959E-3</c:v>
                </c:pt>
                <c:pt idx="39">
                  <c:v>1.4499999999996959E-3</c:v>
                </c:pt>
                <c:pt idx="40">
                  <c:v>1.4499999999996959E-3</c:v>
                </c:pt>
                <c:pt idx="41">
                  <c:v>1.4499999999996959E-3</c:v>
                </c:pt>
                <c:pt idx="42">
                  <c:v>1.4499999999996959E-3</c:v>
                </c:pt>
                <c:pt idx="43">
                  <c:v>1.4499999999996959E-3</c:v>
                </c:pt>
                <c:pt idx="44">
                  <c:v>1.4499999999996959E-3</c:v>
                </c:pt>
                <c:pt idx="45">
                  <c:v>1.4499999999996959E-3</c:v>
                </c:pt>
                <c:pt idx="46">
                  <c:v>1.4499999999996959E-3</c:v>
                </c:pt>
                <c:pt idx="47">
                  <c:v>1.4499999999996959E-3</c:v>
                </c:pt>
                <c:pt idx="48">
                  <c:v>1.4499999999996959E-3</c:v>
                </c:pt>
                <c:pt idx="49">
                  <c:v>1.4499999999996959E-3</c:v>
                </c:pt>
                <c:pt idx="50">
                  <c:v>1.4499999999996959E-3</c:v>
                </c:pt>
                <c:pt idx="51">
                  <c:v>1.4499999999996959E-3</c:v>
                </c:pt>
                <c:pt idx="52">
                  <c:v>1.4499999999996959E-3</c:v>
                </c:pt>
                <c:pt idx="53">
                  <c:v>1.4499999999996959E-3</c:v>
                </c:pt>
                <c:pt idx="54">
                  <c:v>1.4499999999996959E-3</c:v>
                </c:pt>
                <c:pt idx="55">
                  <c:v>1.4499999999996959E-3</c:v>
                </c:pt>
                <c:pt idx="56">
                  <c:v>1.4499999999996959E-3</c:v>
                </c:pt>
                <c:pt idx="57">
                  <c:v>1.4499999999996959E-3</c:v>
                </c:pt>
                <c:pt idx="58">
                  <c:v>1.4499999999996959E-3</c:v>
                </c:pt>
                <c:pt idx="59">
                  <c:v>1.4499999999996959E-3</c:v>
                </c:pt>
                <c:pt idx="60">
                  <c:v>1.4499999999996959E-3</c:v>
                </c:pt>
                <c:pt idx="61">
                  <c:v>1.4499999999996959E-3</c:v>
                </c:pt>
                <c:pt idx="62">
                  <c:v>1.4499999999996959E-3</c:v>
                </c:pt>
                <c:pt idx="63">
                  <c:v>1.4499999999996959E-3</c:v>
                </c:pt>
                <c:pt idx="64">
                  <c:v>1.4499999999996959E-3</c:v>
                </c:pt>
                <c:pt idx="65">
                  <c:v>1.4499999999996959E-3</c:v>
                </c:pt>
                <c:pt idx="66">
                  <c:v>1.4499999999996959E-3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SynthDepo!$AD$29</c:f>
              <c:strCache>
                <c:ptCount val="1"/>
                <c:pt idx="0">
                  <c:v>Linear</c:v>
                </c:pt>
              </c:strCache>
            </c:strRef>
          </c:tx>
          <c:marker>
            <c:symbol val="none"/>
          </c:marker>
          <c:cat>
            <c:numRef>
              <c:f>SynthDepo!$AB$30:$AB$128</c:f>
              <c:numCache>
                <c:formatCode>ddd\,\ dd\-mmm\-yyyy</c:formatCode>
                <c:ptCount val="99"/>
                <c:pt idx="0">
                  <c:v>41856</c:v>
                </c:pt>
                <c:pt idx="1">
                  <c:v>41857</c:v>
                </c:pt>
                <c:pt idx="2">
                  <c:v>41858</c:v>
                </c:pt>
                <c:pt idx="3">
                  <c:v>41859</c:v>
                </c:pt>
                <c:pt idx="4">
                  <c:v>41862</c:v>
                </c:pt>
                <c:pt idx="5">
                  <c:v>41863</c:v>
                </c:pt>
                <c:pt idx="6">
                  <c:v>41864</c:v>
                </c:pt>
                <c:pt idx="7">
                  <c:v>41865</c:v>
                </c:pt>
                <c:pt idx="8">
                  <c:v>41866</c:v>
                </c:pt>
                <c:pt idx="9">
                  <c:v>41869</c:v>
                </c:pt>
                <c:pt idx="10">
                  <c:v>41870</c:v>
                </c:pt>
                <c:pt idx="11">
                  <c:v>41871</c:v>
                </c:pt>
                <c:pt idx="12">
                  <c:v>41872</c:v>
                </c:pt>
                <c:pt idx="13">
                  <c:v>41873</c:v>
                </c:pt>
                <c:pt idx="14">
                  <c:v>41876</c:v>
                </c:pt>
                <c:pt idx="15">
                  <c:v>41877</c:v>
                </c:pt>
                <c:pt idx="16">
                  <c:v>41878</c:v>
                </c:pt>
                <c:pt idx="17">
                  <c:v>41879</c:v>
                </c:pt>
                <c:pt idx="18">
                  <c:v>41880</c:v>
                </c:pt>
                <c:pt idx="19">
                  <c:v>41883</c:v>
                </c:pt>
                <c:pt idx="20">
                  <c:v>41884</c:v>
                </c:pt>
                <c:pt idx="21">
                  <c:v>41885</c:v>
                </c:pt>
                <c:pt idx="22">
                  <c:v>41886</c:v>
                </c:pt>
                <c:pt idx="23">
                  <c:v>41887</c:v>
                </c:pt>
                <c:pt idx="24">
                  <c:v>41890</c:v>
                </c:pt>
                <c:pt idx="25">
                  <c:v>41891</c:v>
                </c:pt>
                <c:pt idx="26">
                  <c:v>41892</c:v>
                </c:pt>
                <c:pt idx="27">
                  <c:v>41893</c:v>
                </c:pt>
                <c:pt idx="28">
                  <c:v>41894</c:v>
                </c:pt>
                <c:pt idx="29">
                  <c:v>41897</c:v>
                </c:pt>
                <c:pt idx="30">
                  <c:v>41898</c:v>
                </c:pt>
                <c:pt idx="31">
                  <c:v>41899</c:v>
                </c:pt>
                <c:pt idx="32">
                  <c:v>41900</c:v>
                </c:pt>
                <c:pt idx="33">
                  <c:v>41901</c:v>
                </c:pt>
                <c:pt idx="34">
                  <c:v>41904</c:v>
                </c:pt>
                <c:pt idx="35">
                  <c:v>41905</c:v>
                </c:pt>
                <c:pt idx="36">
                  <c:v>41906</c:v>
                </c:pt>
                <c:pt idx="37">
                  <c:v>41907</c:v>
                </c:pt>
                <c:pt idx="38">
                  <c:v>41908</c:v>
                </c:pt>
                <c:pt idx="39">
                  <c:v>41911</c:v>
                </c:pt>
                <c:pt idx="40">
                  <c:v>41912</c:v>
                </c:pt>
                <c:pt idx="41">
                  <c:v>41913</c:v>
                </c:pt>
                <c:pt idx="42">
                  <c:v>41914</c:v>
                </c:pt>
                <c:pt idx="43">
                  <c:v>41915</c:v>
                </c:pt>
                <c:pt idx="44">
                  <c:v>41918</c:v>
                </c:pt>
                <c:pt idx="45">
                  <c:v>41919</c:v>
                </c:pt>
                <c:pt idx="46">
                  <c:v>41920</c:v>
                </c:pt>
                <c:pt idx="47">
                  <c:v>41921</c:v>
                </c:pt>
                <c:pt idx="48">
                  <c:v>41922</c:v>
                </c:pt>
                <c:pt idx="49">
                  <c:v>41925</c:v>
                </c:pt>
                <c:pt idx="50">
                  <c:v>41926</c:v>
                </c:pt>
                <c:pt idx="51">
                  <c:v>41927</c:v>
                </c:pt>
                <c:pt idx="52">
                  <c:v>41928</c:v>
                </c:pt>
                <c:pt idx="53">
                  <c:v>41929</c:v>
                </c:pt>
                <c:pt idx="54">
                  <c:v>41932</c:v>
                </c:pt>
                <c:pt idx="55">
                  <c:v>41933</c:v>
                </c:pt>
                <c:pt idx="56">
                  <c:v>41934</c:v>
                </c:pt>
                <c:pt idx="57">
                  <c:v>41935</c:v>
                </c:pt>
                <c:pt idx="58">
                  <c:v>41936</c:v>
                </c:pt>
                <c:pt idx="59">
                  <c:v>41939</c:v>
                </c:pt>
                <c:pt idx="60">
                  <c:v>41940</c:v>
                </c:pt>
                <c:pt idx="61">
                  <c:v>41941</c:v>
                </c:pt>
                <c:pt idx="62">
                  <c:v>41942</c:v>
                </c:pt>
                <c:pt idx="63">
                  <c:v>41943</c:v>
                </c:pt>
                <c:pt idx="64">
                  <c:v>41946</c:v>
                </c:pt>
                <c:pt idx="65">
                  <c:v>41947</c:v>
                </c:pt>
                <c:pt idx="66">
                  <c:v>41948</c:v>
                </c:pt>
              </c:numCache>
            </c:numRef>
          </c:cat>
          <c:val>
            <c:numRef>
              <c:f>SynthDepo!$AD$30:$AD$128</c:f>
              <c:numCache>
                <c:formatCode>0.0000%</c:formatCode>
                <c:ptCount val="99"/>
                <c:pt idx="0">
                  <c:v>1.4921301350985683E-3</c:v>
                </c:pt>
                <c:pt idx="1">
                  <c:v>1.4916721988474937E-3</c:v>
                </c:pt>
                <c:pt idx="2">
                  <c:v>1.4912142625964188E-3</c:v>
                </c:pt>
                <c:pt idx="3">
                  <c:v>1.4907563263453442E-3</c:v>
                </c:pt>
                <c:pt idx="4">
                  <c:v>1.48938251759212E-3</c:v>
                </c:pt>
                <c:pt idx="5">
                  <c:v>1.4889245813410454E-3</c:v>
                </c:pt>
                <c:pt idx="6">
                  <c:v>1.4884666450899707E-3</c:v>
                </c:pt>
                <c:pt idx="7">
                  <c:v>1.4880087088388961E-3</c:v>
                </c:pt>
                <c:pt idx="8">
                  <c:v>1.4875507725878212E-3</c:v>
                </c:pt>
                <c:pt idx="9">
                  <c:v>1.4861769638345973E-3</c:v>
                </c:pt>
                <c:pt idx="10">
                  <c:v>1.4857190275835224E-3</c:v>
                </c:pt>
                <c:pt idx="11">
                  <c:v>1.4852610913324478E-3</c:v>
                </c:pt>
                <c:pt idx="12">
                  <c:v>1.4848031550813731E-3</c:v>
                </c:pt>
                <c:pt idx="13">
                  <c:v>1.4843452188302985E-3</c:v>
                </c:pt>
                <c:pt idx="14">
                  <c:v>1.4829714100770743E-3</c:v>
                </c:pt>
                <c:pt idx="15">
                  <c:v>1.4825134738259997E-3</c:v>
                </c:pt>
                <c:pt idx="16">
                  <c:v>1.4820555375749248E-3</c:v>
                </c:pt>
                <c:pt idx="17">
                  <c:v>1.4815976013238502E-3</c:v>
                </c:pt>
                <c:pt idx="18">
                  <c:v>1.4811396650727755E-3</c:v>
                </c:pt>
                <c:pt idx="19">
                  <c:v>1.4797658563195514E-3</c:v>
                </c:pt>
                <c:pt idx="20">
                  <c:v>1.4793079200684767E-3</c:v>
                </c:pt>
                <c:pt idx="21">
                  <c:v>1.4788499838174021E-3</c:v>
                </c:pt>
                <c:pt idx="22">
                  <c:v>1.4783920475663272E-3</c:v>
                </c:pt>
                <c:pt idx="23">
                  <c:v>1.4779341113152526E-3</c:v>
                </c:pt>
                <c:pt idx="24">
                  <c:v>1.4765603025620284E-3</c:v>
                </c:pt>
                <c:pt idx="25">
                  <c:v>1.4761023663109538E-3</c:v>
                </c:pt>
                <c:pt idx="26">
                  <c:v>1.4756444300598791E-3</c:v>
                </c:pt>
                <c:pt idx="27">
                  <c:v>1.4751864938088045E-3</c:v>
                </c:pt>
                <c:pt idx="28">
                  <c:v>1.4747285575577296E-3</c:v>
                </c:pt>
                <c:pt idx="29">
                  <c:v>1.4733547488045057E-3</c:v>
                </c:pt>
                <c:pt idx="30">
                  <c:v>1.4728968125534308E-3</c:v>
                </c:pt>
                <c:pt idx="31">
                  <c:v>1.4724388763023562E-3</c:v>
                </c:pt>
                <c:pt idx="32">
                  <c:v>1.4719809400512815E-3</c:v>
                </c:pt>
                <c:pt idx="33">
                  <c:v>1.4715230038002069E-3</c:v>
                </c:pt>
                <c:pt idx="34">
                  <c:v>1.4701491950469827E-3</c:v>
                </c:pt>
                <c:pt idx="35">
                  <c:v>1.4696912587959081E-3</c:v>
                </c:pt>
                <c:pt idx="36">
                  <c:v>1.4692333225448332E-3</c:v>
                </c:pt>
                <c:pt idx="37">
                  <c:v>1.4687753862937586E-3</c:v>
                </c:pt>
                <c:pt idx="38">
                  <c:v>1.4683174500426839E-3</c:v>
                </c:pt>
                <c:pt idx="39">
                  <c:v>1.4669436412894598E-3</c:v>
                </c:pt>
                <c:pt idx="40">
                  <c:v>1.4664857050383851E-3</c:v>
                </c:pt>
                <c:pt idx="41">
                  <c:v>1.4660277687873105E-3</c:v>
                </c:pt>
                <c:pt idx="42">
                  <c:v>1.4655698325362356E-3</c:v>
                </c:pt>
                <c:pt idx="43">
                  <c:v>1.465111896285161E-3</c:v>
                </c:pt>
                <c:pt idx="44">
                  <c:v>1.4637380875319368E-3</c:v>
                </c:pt>
                <c:pt idx="45">
                  <c:v>1.4632801512808621E-3</c:v>
                </c:pt>
                <c:pt idx="46">
                  <c:v>1.4628222150297875E-3</c:v>
                </c:pt>
                <c:pt idx="47">
                  <c:v>1.4623642787787129E-3</c:v>
                </c:pt>
                <c:pt idx="48">
                  <c:v>1.461906342527638E-3</c:v>
                </c:pt>
                <c:pt idx="49">
                  <c:v>1.4605325337744141E-3</c:v>
                </c:pt>
                <c:pt idx="50">
                  <c:v>1.4600745975233392E-3</c:v>
                </c:pt>
                <c:pt idx="51">
                  <c:v>1.4596166612722645E-3</c:v>
                </c:pt>
                <c:pt idx="52">
                  <c:v>1.4591587250211899E-3</c:v>
                </c:pt>
                <c:pt idx="53">
                  <c:v>1.4587007887701153E-3</c:v>
                </c:pt>
                <c:pt idx="54">
                  <c:v>1.4573269800168911E-3</c:v>
                </c:pt>
                <c:pt idx="55">
                  <c:v>1.4568690437658165E-3</c:v>
                </c:pt>
                <c:pt idx="56">
                  <c:v>1.4564111075147416E-3</c:v>
                </c:pt>
                <c:pt idx="57">
                  <c:v>1.4559531712636669E-3</c:v>
                </c:pt>
                <c:pt idx="58">
                  <c:v>1.4554952350125923E-3</c:v>
                </c:pt>
                <c:pt idx="59">
                  <c:v>1.4541214262593681E-3</c:v>
                </c:pt>
                <c:pt idx="60">
                  <c:v>1.4536634900082935E-3</c:v>
                </c:pt>
                <c:pt idx="61">
                  <c:v>1.4532055537572188E-3</c:v>
                </c:pt>
                <c:pt idx="62">
                  <c:v>1.452747617506144E-3</c:v>
                </c:pt>
                <c:pt idx="63">
                  <c:v>1.4522896812550693E-3</c:v>
                </c:pt>
                <c:pt idx="64">
                  <c:v>1.4509158725018452E-3</c:v>
                </c:pt>
                <c:pt idx="65">
                  <c:v>1.4504579362507705E-3</c:v>
                </c:pt>
                <c:pt idx="66">
                  <c:v>1.4499999999996959E-3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SynthDepo!$AE$29</c:f>
              <c:strCache>
                <c:ptCount val="1"/>
                <c:pt idx="0">
                  <c:v>Quadratic</c:v>
                </c:pt>
              </c:strCache>
            </c:strRef>
          </c:tx>
          <c:marker>
            <c:symbol val="none"/>
          </c:marker>
          <c:cat>
            <c:numRef>
              <c:f>SynthDepo!$AB$30:$AB$128</c:f>
              <c:numCache>
                <c:formatCode>ddd\,\ dd\-mmm\-yyyy</c:formatCode>
                <c:ptCount val="99"/>
                <c:pt idx="0">
                  <c:v>41856</c:v>
                </c:pt>
                <c:pt idx="1">
                  <c:v>41857</c:v>
                </c:pt>
                <c:pt idx="2">
                  <c:v>41858</c:v>
                </c:pt>
                <c:pt idx="3">
                  <c:v>41859</c:v>
                </c:pt>
                <c:pt idx="4">
                  <c:v>41862</c:v>
                </c:pt>
                <c:pt idx="5">
                  <c:v>41863</c:v>
                </c:pt>
                <c:pt idx="6">
                  <c:v>41864</c:v>
                </c:pt>
                <c:pt idx="7">
                  <c:v>41865</c:v>
                </c:pt>
                <c:pt idx="8">
                  <c:v>41866</c:v>
                </c:pt>
                <c:pt idx="9">
                  <c:v>41869</c:v>
                </c:pt>
                <c:pt idx="10">
                  <c:v>41870</c:v>
                </c:pt>
                <c:pt idx="11">
                  <c:v>41871</c:v>
                </c:pt>
                <c:pt idx="12">
                  <c:v>41872</c:v>
                </c:pt>
                <c:pt idx="13">
                  <c:v>41873</c:v>
                </c:pt>
                <c:pt idx="14">
                  <c:v>41876</c:v>
                </c:pt>
                <c:pt idx="15">
                  <c:v>41877</c:v>
                </c:pt>
                <c:pt idx="16">
                  <c:v>41878</c:v>
                </c:pt>
                <c:pt idx="17">
                  <c:v>41879</c:v>
                </c:pt>
                <c:pt idx="18">
                  <c:v>41880</c:v>
                </c:pt>
                <c:pt idx="19">
                  <c:v>41883</c:v>
                </c:pt>
                <c:pt idx="20">
                  <c:v>41884</c:v>
                </c:pt>
                <c:pt idx="21">
                  <c:v>41885</c:v>
                </c:pt>
                <c:pt idx="22">
                  <c:v>41886</c:v>
                </c:pt>
                <c:pt idx="23">
                  <c:v>41887</c:v>
                </c:pt>
                <c:pt idx="24">
                  <c:v>41890</c:v>
                </c:pt>
                <c:pt idx="25">
                  <c:v>41891</c:v>
                </c:pt>
                <c:pt idx="26">
                  <c:v>41892</c:v>
                </c:pt>
                <c:pt idx="27">
                  <c:v>41893</c:v>
                </c:pt>
                <c:pt idx="28">
                  <c:v>41894</c:v>
                </c:pt>
                <c:pt idx="29">
                  <c:v>41897</c:v>
                </c:pt>
                <c:pt idx="30">
                  <c:v>41898</c:v>
                </c:pt>
                <c:pt idx="31">
                  <c:v>41899</c:v>
                </c:pt>
                <c:pt idx="32">
                  <c:v>41900</c:v>
                </c:pt>
                <c:pt idx="33">
                  <c:v>41901</c:v>
                </c:pt>
                <c:pt idx="34">
                  <c:v>41904</c:v>
                </c:pt>
                <c:pt idx="35">
                  <c:v>41905</c:v>
                </c:pt>
                <c:pt idx="36">
                  <c:v>41906</c:v>
                </c:pt>
                <c:pt idx="37">
                  <c:v>41907</c:v>
                </c:pt>
                <c:pt idx="38">
                  <c:v>41908</c:v>
                </c:pt>
                <c:pt idx="39">
                  <c:v>41911</c:v>
                </c:pt>
                <c:pt idx="40">
                  <c:v>41912</c:v>
                </c:pt>
                <c:pt idx="41">
                  <c:v>41913</c:v>
                </c:pt>
                <c:pt idx="42">
                  <c:v>41914</c:v>
                </c:pt>
                <c:pt idx="43">
                  <c:v>41915</c:v>
                </c:pt>
                <c:pt idx="44">
                  <c:v>41918</c:v>
                </c:pt>
                <c:pt idx="45">
                  <c:v>41919</c:v>
                </c:pt>
                <c:pt idx="46">
                  <c:v>41920</c:v>
                </c:pt>
                <c:pt idx="47">
                  <c:v>41921</c:v>
                </c:pt>
                <c:pt idx="48">
                  <c:v>41922</c:v>
                </c:pt>
                <c:pt idx="49">
                  <c:v>41925</c:v>
                </c:pt>
                <c:pt idx="50">
                  <c:v>41926</c:v>
                </c:pt>
                <c:pt idx="51">
                  <c:v>41927</c:v>
                </c:pt>
                <c:pt idx="52">
                  <c:v>41928</c:v>
                </c:pt>
                <c:pt idx="53">
                  <c:v>41929</c:v>
                </c:pt>
                <c:pt idx="54">
                  <c:v>41932</c:v>
                </c:pt>
                <c:pt idx="55">
                  <c:v>41933</c:v>
                </c:pt>
                <c:pt idx="56">
                  <c:v>41934</c:v>
                </c:pt>
                <c:pt idx="57">
                  <c:v>41935</c:v>
                </c:pt>
                <c:pt idx="58">
                  <c:v>41936</c:v>
                </c:pt>
                <c:pt idx="59">
                  <c:v>41939</c:v>
                </c:pt>
                <c:pt idx="60">
                  <c:v>41940</c:v>
                </c:pt>
                <c:pt idx="61">
                  <c:v>41941</c:v>
                </c:pt>
                <c:pt idx="62">
                  <c:v>41942</c:v>
                </c:pt>
                <c:pt idx="63">
                  <c:v>41943</c:v>
                </c:pt>
                <c:pt idx="64">
                  <c:v>41946</c:v>
                </c:pt>
                <c:pt idx="65">
                  <c:v>41947</c:v>
                </c:pt>
                <c:pt idx="66">
                  <c:v>41948</c:v>
                </c:pt>
              </c:numCache>
            </c:numRef>
          </c:cat>
          <c:val>
            <c:numRef>
              <c:f>SynthDepo!$AE$30:$AE$128</c:f>
              <c:numCache>
                <c:formatCode>0.0000%</c:formatCode>
                <c:ptCount val="99"/>
                <c:pt idx="0">
                  <c:v>1.8249802605107752E-3</c:v>
                </c:pt>
                <c:pt idx="1">
                  <c:v>1.809978952261094E-3</c:v>
                </c:pt>
                <c:pt idx="2">
                  <c:v>1.795204701363544E-3</c:v>
                </c:pt>
                <c:pt idx="3">
                  <c:v>1.7806575078181256E-3</c:v>
                </c:pt>
                <c:pt idx="4">
                  <c:v>1.7383782712946578E-3</c:v>
                </c:pt>
                <c:pt idx="5">
                  <c:v>1.7247393071577648E-3</c:v>
                </c:pt>
                <c:pt idx="6">
                  <c:v>1.7113274003730029E-3</c:v>
                </c:pt>
                <c:pt idx="7">
                  <c:v>1.6981425509403725E-3</c:v>
                </c:pt>
                <c:pt idx="8">
                  <c:v>1.6851847588598731E-3</c:v>
                </c:pt>
                <c:pt idx="9">
                  <c:v>1.6476737267311636E-3</c:v>
                </c:pt>
                <c:pt idx="10">
                  <c:v>1.6356241640591899E-3</c:v>
                </c:pt>
                <c:pt idx="11">
                  <c:v>1.6238016587393474E-3</c:v>
                </c:pt>
                <c:pt idx="12">
                  <c:v>1.6122062107716364E-3</c:v>
                </c:pt>
                <c:pt idx="13">
                  <c:v>1.6008378201560565E-3</c:v>
                </c:pt>
                <c:pt idx="14">
                  <c:v>1.5680949924221053E-3</c:v>
                </c:pt>
                <c:pt idx="15">
                  <c:v>1.5576348312150508E-3</c:v>
                </c:pt>
                <c:pt idx="16">
                  <c:v>1.5474017273601278E-3</c:v>
                </c:pt>
                <c:pt idx="17">
                  <c:v>1.537395680857336E-3</c:v>
                </c:pt>
                <c:pt idx="18">
                  <c:v>1.5276166917066755E-3</c:v>
                </c:pt>
                <c:pt idx="19">
                  <c:v>1.4996420683674825E-3</c:v>
                </c:pt>
                <c:pt idx="20">
                  <c:v>1.4907713086253474E-3</c:v>
                </c:pt>
                <c:pt idx="21">
                  <c:v>1.4821276062353438E-3</c:v>
                </c:pt>
                <c:pt idx="22">
                  <c:v>1.4737109611974715E-3</c:v>
                </c:pt>
                <c:pt idx="23">
                  <c:v>1.4655213735117305E-3</c:v>
                </c:pt>
                <c:pt idx="24">
                  <c:v>1.4423149545672953E-3</c:v>
                </c:pt>
                <c:pt idx="25">
                  <c:v>1.4350335962900797E-3</c:v>
                </c:pt>
                <c:pt idx="26">
                  <c:v>1.4279792953649955E-3</c:v>
                </c:pt>
                <c:pt idx="27">
                  <c:v>1.4211520517920424E-3</c:v>
                </c:pt>
                <c:pt idx="28">
                  <c:v>1.4145518655712208E-3</c:v>
                </c:pt>
                <c:pt idx="29">
                  <c:v>1.396113651021544E-3</c:v>
                </c:pt>
                <c:pt idx="30">
                  <c:v>1.3904216942092478E-3</c:v>
                </c:pt>
                <c:pt idx="31">
                  <c:v>1.3849567947490829E-3</c:v>
                </c:pt>
                <c:pt idx="32">
                  <c:v>1.3797189526410492E-3</c:v>
                </c:pt>
                <c:pt idx="33">
                  <c:v>1.3747081678851471E-3</c:v>
                </c:pt>
                <c:pt idx="34">
                  <c:v>1.3610381577302284E-3</c:v>
                </c:pt>
                <c:pt idx="35">
                  <c:v>1.3569356023828514E-3</c:v>
                </c:pt>
                <c:pt idx="36">
                  <c:v>1.3530601043876059E-3</c:v>
                </c:pt>
                <c:pt idx="37">
                  <c:v>1.3494116637444917E-3</c:v>
                </c:pt>
                <c:pt idx="38">
                  <c:v>1.3459902804535088E-3</c:v>
                </c:pt>
                <c:pt idx="39">
                  <c:v>1.3370884746933484E-3</c:v>
                </c:pt>
                <c:pt idx="40">
                  <c:v>1.3345753208108908E-3</c:v>
                </c:pt>
                <c:pt idx="41">
                  <c:v>1.3322892242805646E-3</c:v>
                </c:pt>
                <c:pt idx="42">
                  <c:v>1.3302301851023698E-3</c:v>
                </c:pt>
                <c:pt idx="43">
                  <c:v>1.3283982032763063E-3</c:v>
                </c:pt>
                <c:pt idx="44">
                  <c:v>1.3242646019109041E-3</c:v>
                </c:pt>
                <c:pt idx="45">
                  <c:v>1.3233408494933659E-3</c:v>
                </c:pt>
                <c:pt idx="46">
                  <c:v>1.3226441544279591E-3</c:v>
                </c:pt>
                <c:pt idx="47">
                  <c:v>1.3221745167146838E-3</c:v>
                </c:pt>
                <c:pt idx="48">
                  <c:v>1.3219319363535396E-3</c:v>
                </c:pt>
                <c:pt idx="49">
                  <c:v>1.3225665393828954E-3</c:v>
                </c:pt>
                <c:pt idx="50">
                  <c:v>1.3232321884302767E-3</c:v>
                </c:pt>
                <c:pt idx="51">
                  <c:v>1.3241248948297891E-3</c:v>
                </c:pt>
                <c:pt idx="52">
                  <c:v>1.3252446585814333E-3</c:v>
                </c:pt>
                <c:pt idx="53">
                  <c:v>1.3265914796852084E-3</c:v>
                </c:pt>
                <c:pt idx="54">
                  <c:v>1.3319942871093224E-3</c:v>
                </c:pt>
                <c:pt idx="55">
                  <c:v>1.3342493376216232E-3</c:v>
                </c:pt>
                <c:pt idx="56">
                  <c:v>1.336731445486055E-3</c:v>
                </c:pt>
                <c:pt idx="57">
                  <c:v>1.3394406107026186E-3</c:v>
                </c:pt>
                <c:pt idx="58">
                  <c:v>1.3423768332713132E-3</c:v>
                </c:pt>
                <c:pt idx="59">
                  <c:v>1.3525478450901853E-3</c:v>
                </c:pt>
                <c:pt idx="60">
                  <c:v>1.3563922970674053E-3</c:v>
                </c:pt>
                <c:pt idx="61">
                  <c:v>1.3604638063967568E-3</c:v>
                </c:pt>
                <c:pt idx="62">
                  <c:v>1.3647623730782396E-3</c:v>
                </c:pt>
                <c:pt idx="63">
                  <c:v>1.3692879971118534E-3</c:v>
                </c:pt>
                <c:pt idx="64">
                  <c:v>1.3842272133254836E-3</c:v>
                </c:pt>
                <c:pt idx="65">
                  <c:v>1.389661066767623E-3</c:v>
                </c:pt>
                <c:pt idx="66">
                  <c:v>1.395321977561894E-3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6497664"/>
        <c:axId val="546499200"/>
      </c:lineChart>
      <c:dateAx>
        <c:axId val="54649766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546499200"/>
        <c:crosses val="autoZero"/>
        <c:auto val="1"/>
        <c:lblOffset val="100"/>
        <c:baseTimeUnit val="days"/>
        <c:majorUnit val="1"/>
        <c:majorTimeUnit val="months"/>
      </c:dateAx>
      <c:valAx>
        <c:axId val="546499200"/>
        <c:scaling>
          <c:orientation val="minMax"/>
          <c:min val="1.0000000000000002E-3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464976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8561067366579174"/>
          <c:y val="0.56886847477398661"/>
          <c:w val="0.19494488188976378"/>
          <c:h val="0.2511515748031495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9112532808398948E-2"/>
          <c:y val="4.4835137795275593E-2"/>
          <c:w val="0.87582112131816858"/>
          <c:h val="0.78842960797471506"/>
        </c:manualLayout>
      </c:layout>
      <c:lineChart>
        <c:grouping val="standard"/>
        <c:varyColors val="0"/>
        <c:ser>
          <c:idx val="0"/>
          <c:order val="0"/>
          <c:tx>
            <c:strRef>
              <c:f>FRACharts!$I$10</c:f>
              <c:strCache>
                <c:ptCount val="1"/>
                <c:pt idx="0">
                  <c:v>Synt FRA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5"/>
          </c:marker>
          <c:cat>
            <c:numRef>
              <c:f>(FRACharts!$D$12:$D$22,FRACharts!$D$24:$D$34,FRACharts!$D$36:$D$46,FRACharts!$D$48:$D$58)</c:f>
              <c:numCache>
                <c:formatCode>ddd\,\ dd\-mmm\-yyyy</c:formatCode>
                <c:ptCount val="44"/>
                <c:pt idx="0">
                  <c:v>41887</c:v>
                </c:pt>
                <c:pt idx="1">
                  <c:v>41918</c:v>
                </c:pt>
                <c:pt idx="2">
                  <c:v>41948</c:v>
                </c:pt>
                <c:pt idx="3">
                  <c:v>41978</c:v>
                </c:pt>
                <c:pt idx="4">
                  <c:v>42009</c:v>
                </c:pt>
                <c:pt idx="5">
                  <c:v>42040</c:v>
                </c:pt>
                <c:pt idx="6">
                  <c:v>42068</c:v>
                </c:pt>
                <c:pt idx="7">
                  <c:v>42101</c:v>
                </c:pt>
                <c:pt idx="8">
                  <c:v>42129</c:v>
                </c:pt>
                <c:pt idx="9">
                  <c:v>42160</c:v>
                </c:pt>
                <c:pt idx="10">
                  <c:v>42191</c:v>
                </c:pt>
                <c:pt idx="11">
                  <c:v>42254</c:v>
                </c:pt>
                <c:pt idx="12">
                  <c:v>42282</c:v>
                </c:pt>
                <c:pt idx="13">
                  <c:v>42313</c:v>
                </c:pt>
                <c:pt idx="14">
                  <c:v>42345</c:v>
                </c:pt>
                <c:pt idx="15">
                  <c:v>42374</c:v>
                </c:pt>
                <c:pt idx="16">
                  <c:v>42405</c:v>
                </c:pt>
                <c:pt idx="17">
                  <c:v>42436</c:v>
                </c:pt>
                <c:pt idx="18">
                  <c:v>42465</c:v>
                </c:pt>
                <c:pt idx="19">
                  <c:v>42495</c:v>
                </c:pt>
                <c:pt idx="20">
                  <c:v>42527</c:v>
                </c:pt>
                <c:pt idx="21">
                  <c:v>42556</c:v>
                </c:pt>
                <c:pt idx="22">
                  <c:v>42618</c:v>
                </c:pt>
                <c:pt idx="23">
                  <c:v>42648</c:v>
                </c:pt>
                <c:pt idx="24">
                  <c:v>42681</c:v>
                </c:pt>
                <c:pt idx="25">
                  <c:v>42709</c:v>
                </c:pt>
                <c:pt idx="26">
                  <c:v>42740</c:v>
                </c:pt>
                <c:pt idx="27">
                  <c:v>42772</c:v>
                </c:pt>
                <c:pt idx="28">
                  <c:v>42800</c:v>
                </c:pt>
                <c:pt idx="29">
                  <c:v>42830</c:v>
                </c:pt>
                <c:pt idx="30">
                  <c:v>42860</c:v>
                </c:pt>
                <c:pt idx="31">
                  <c:v>42891</c:v>
                </c:pt>
                <c:pt idx="32">
                  <c:v>42921</c:v>
                </c:pt>
                <c:pt idx="33">
                  <c:v>42983</c:v>
                </c:pt>
                <c:pt idx="34">
                  <c:v>43013</c:v>
                </c:pt>
                <c:pt idx="35">
                  <c:v>43045</c:v>
                </c:pt>
                <c:pt idx="36">
                  <c:v>43074</c:v>
                </c:pt>
                <c:pt idx="37">
                  <c:v>43105</c:v>
                </c:pt>
                <c:pt idx="38">
                  <c:v>43136</c:v>
                </c:pt>
                <c:pt idx="39">
                  <c:v>43164</c:v>
                </c:pt>
                <c:pt idx="40">
                  <c:v>43195</c:v>
                </c:pt>
                <c:pt idx="41">
                  <c:v>43227</c:v>
                </c:pt>
                <c:pt idx="42">
                  <c:v>43256</c:v>
                </c:pt>
                <c:pt idx="43">
                  <c:v>43286</c:v>
                </c:pt>
              </c:numCache>
            </c:numRef>
          </c:cat>
          <c:val>
            <c:numRef>
              <c:f>(FRACharts!$I$12:$I$22,FRACharts!$I$24:$I$34,FRACharts!$I$36:$I$46,FRACharts!$I$48:$I$58)</c:f>
              <c:numCache>
                <c:formatCode>0.0000%</c:formatCode>
                <c:ptCount val="44"/>
                <c:pt idx="0">
                  <c:v>4.8951566192749416E-3</c:v>
                </c:pt>
                <c:pt idx="1">
                  <c:v>4.9007137944365314E-3</c:v>
                </c:pt>
                <c:pt idx="2">
                  <c:v>4.9211080958799936E-3</c:v>
                </c:pt>
                <c:pt idx="3">
                  <c:v>4.9376078994791597E-3</c:v>
                </c:pt>
                <c:pt idx="4">
                  <c:v>4.9604125885286355E-3</c:v>
                </c:pt>
                <c:pt idx="5">
                  <c:v>4.9938294319717491E-3</c:v>
                </c:pt>
                <c:pt idx="6">
                  <c:v>5.0160299050793769E-3</c:v>
                </c:pt>
                <c:pt idx="7">
                  <c:v>5.0622430689105146E-3</c:v>
                </c:pt>
                <c:pt idx="8">
                  <c:v>5.1187909439878426E-3</c:v>
                </c:pt>
                <c:pt idx="9">
                  <c:v>5.1912059130718221E-3</c:v>
                </c:pt>
                <c:pt idx="10">
                  <c:v>5.2709701334629653E-3</c:v>
                </c:pt>
                <c:pt idx="11">
                  <c:v>5.4612328910300049E-3</c:v>
                </c:pt>
                <c:pt idx="12">
                  <c:v>5.5510215494493347E-3</c:v>
                </c:pt>
                <c:pt idx="13">
                  <c:v>5.6600369614107126E-3</c:v>
                </c:pt>
                <c:pt idx="14">
                  <c:v>5.7723600135251895E-3</c:v>
                </c:pt>
                <c:pt idx="15">
                  <c:v>5.8850704500893677E-3</c:v>
                </c:pt>
                <c:pt idx="16">
                  <c:v>6.0159082971717355E-3</c:v>
                </c:pt>
                <c:pt idx="17">
                  <c:v>6.147950963612387E-3</c:v>
                </c:pt>
                <c:pt idx="18">
                  <c:v>6.2838310876648287E-3</c:v>
                </c:pt>
                <c:pt idx="19">
                  <c:v>6.4326524986542954E-3</c:v>
                </c:pt>
                <c:pt idx="20">
                  <c:v>6.6010278361081989E-3</c:v>
                </c:pt>
                <c:pt idx="21">
                  <c:v>6.7629790917004187E-3</c:v>
                </c:pt>
                <c:pt idx="22">
                  <c:v>7.1495246337127377E-3</c:v>
                </c:pt>
                <c:pt idx="23">
                  <c:v>7.3681892266063195E-3</c:v>
                </c:pt>
                <c:pt idx="24">
                  <c:v>7.6309159644196833E-3</c:v>
                </c:pt>
                <c:pt idx="25">
                  <c:v>7.8693457827158659E-3</c:v>
                </c:pt>
                <c:pt idx="26">
                  <c:v>8.1469806682743715E-3</c:v>
                </c:pt>
                <c:pt idx="27">
                  <c:v>8.4454106183297073E-3</c:v>
                </c:pt>
                <c:pt idx="28">
                  <c:v>8.713722152343709E-3</c:v>
                </c:pt>
                <c:pt idx="29">
                  <c:v>9.0058946555748743E-3</c:v>
                </c:pt>
                <c:pt idx="30">
                  <c:v>9.3090535372067802E-3</c:v>
                </c:pt>
                <c:pt idx="31">
                  <c:v>9.603374453758905E-3</c:v>
                </c:pt>
                <c:pt idx="32">
                  <c:v>9.8930927136813285E-3</c:v>
                </c:pt>
                <c:pt idx="33">
                  <c:v>1.0474422909305593E-2</c:v>
                </c:pt>
                <c:pt idx="34">
                  <c:v>1.0757163866656788E-2</c:v>
                </c:pt>
                <c:pt idx="35">
                  <c:v>1.1061947584982613E-2</c:v>
                </c:pt>
                <c:pt idx="36">
                  <c:v>1.134073737210109E-2</c:v>
                </c:pt>
                <c:pt idx="37">
                  <c:v>1.1651146473609004E-2</c:v>
                </c:pt>
                <c:pt idx="38">
                  <c:v>1.1943841417075584E-2</c:v>
                </c:pt>
                <c:pt idx="39">
                  <c:v>1.2218868474803309E-2</c:v>
                </c:pt>
                <c:pt idx="40">
                  <c:v>1.2524921334422172E-2</c:v>
                </c:pt>
                <c:pt idx="41">
                  <c:v>1.2842257375147031E-2</c:v>
                </c:pt>
                <c:pt idx="42">
                  <c:v>1.3130807664961195E-2</c:v>
                </c:pt>
                <c:pt idx="43">
                  <c:v>1.3430002200166474E-2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6836864"/>
        <c:axId val="546838784"/>
      </c:lineChart>
      <c:scatterChart>
        <c:scatterStyle val="lineMarker"/>
        <c:varyColors val="0"/>
        <c:ser>
          <c:idx val="1"/>
          <c:order val="1"/>
          <c:tx>
            <c:v>Swap Implied FRA</c:v>
          </c:tx>
          <c:spPr>
            <a:ln w="28575">
              <a:noFill/>
            </a:ln>
          </c:spPr>
          <c:marker>
            <c:symbol val="square"/>
            <c:size val="5"/>
          </c:marker>
          <c:xVal>
            <c:numRef>
              <c:f>(FRACharts!$D$35,FRACharts!$D$47,FRACharts!$D$59)</c:f>
              <c:numCache>
                <c:formatCode>ddd\,\ dd\-mmm\-yyyy</c:formatCode>
                <c:ptCount val="3"/>
                <c:pt idx="0">
                  <c:v>42587</c:v>
                </c:pt>
                <c:pt idx="1">
                  <c:v>42954</c:v>
                </c:pt>
                <c:pt idx="2">
                  <c:v>43318</c:v>
                </c:pt>
              </c:numCache>
            </c:numRef>
          </c:xVal>
          <c:yVal>
            <c:numRef>
              <c:f>(FRACharts!$I$35,FRACharts!$I$47,FRACharts!$I$59)</c:f>
              <c:numCache>
                <c:formatCode>0.0000%</c:formatCode>
                <c:ptCount val="3"/>
                <c:pt idx="0">
                  <c:v>6.9535903811910049E-3</c:v>
                </c:pt>
                <c:pt idx="1">
                  <c:v>1.0204119238372219E-2</c:v>
                </c:pt>
                <c:pt idx="2">
                  <c:v>1.3749617153593578E-2</c:v>
                </c:pt>
              </c:numCache>
            </c:numRef>
          </c:yVal>
          <c:smooth val="0"/>
        </c:ser>
        <c:ser>
          <c:idx val="2"/>
          <c:order val="2"/>
          <c:tx>
            <c:v>Market 12x24 FRA</c:v>
          </c:tx>
          <c:spPr>
            <a:ln w="28575">
              <a:noFill/>
            </a:ln>
          </c:spPr>
          <c:marker>
            <c:symbol val="diamond"/>
            <c:size val="7"/>
            <c:spPr>
              <a:blipFill>
                <a:blip xmlns:r="http://schemas.openxmlformats.org/officeDocument/2006/relationships" r:embed="rId1"/>
                <a:tile tx="0" ty="0" sx="100000" sy="100000" flip="none" algn="tl"/>
              </a:blipFill>
            </c:spPr>
          </c:marker>
          <c:dPt>
            <c:idx val="0"/>
            <c:marker>
              <c:spPr>
                <a:blipFill>
                  <a:blip xmlns:r="http://schemas.openxmlformats.org/officeDocument/2006/relationships" r:embed="rId1"/>
                  <a:tile tx="0" ty="0" sx="100000" sy="100000" flip="none" algn="tl"/>
                </a:blipFill>
                <a:ln>
                  <a:solidFill>
                    <a:schemeClr val="tx1"/>
                  </a:solidFill>
                </a:ln>
              </c:spPr>
            </c:marker>
            <c:bubble3D val="0"/>
          </c:dPt>
          <c:xVal>
            <c:numRef>
              <c:f>FRACharts!$D$23</c:f>
              <c:numCache>
                <c:formatCode>ddd\,\ dd\-mmm\-yyyy</c:formatCode>
                <c:ptCount val="1"/>
                <c:pt idx="0">
                  <c:v>42221</c:v>
                </c:pt>
              </c:numCache>
            </c:numRef>
          </c:xVal>
          <c:yVal>
            <c:numRef>
              <c:f>FRACharts!$I$23</c:f>
              <c:numCache>
                <c:formatCode>0.0000%</c:formatCode>
                <c:ptCount val="1"/>
                <c:pt idx="0">
                  <c:v>5.3597528567306081E-3</c:v>
                </c:pt>
              </c:numCache>
            </c:numRef>
          </c:yVal>
          <c:smooth val="0"/>
        </c:ser>
        <c:ser>
          <c:idx val="3"/>
          <c:order val="3"/>
          <c:tx>
            <c:v>12M Libor Fixing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3"/>
              </a:solidFill>
            </c:spPr>
          </c:marker>
          <c:xVal>
            <c:numRef>
              <c:f>FRACharts!$D$11</c:f>
              <c:numCache>
                <c:formatCode>ddd\,\ dd\-mmm\-yyyy</c:formatCode>
                <c:ptCount val="1"/>
                <c:pt idx="0">
                  <c:v>41856</c:v>
                </c:pt>
              </c:numCache>
            </c:numRef>
          </c:xVal>
          <c:yVal>
            <c:numRef>
              <c:f>FRACharts!$I$11</c:f>
              <c:numCache>
                <c:formatCode>0.0000%</c:formatCode>
                <c:ptCount val="1"/>
                <c:pt idx="0">
                  <c:v>4.8900000000012597E-3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846208"/>
        <c:axId val="546844672"/>
      </c:scatterChart>
      <c:dateAx>
        <c:axId val="546836864"/>
        <c:scaling>
          <c:orientation val="minMax"/>
          <c:min val="41852"/>
        </c:scaling>
        <c:delete val="0"/>
        <c:axPos val="b"/>
        <c:numFmt formatCode="[$-409]mmm\-yy;@" sourceLinked="0"/>
        <c:majorTickMark val="none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546838784"/>
        <c:crosses val="autoZero"/>
        <c:auto val="1"/>
        <c:lblOffset val="100"/>
        <c:baseTimeUnit val="months"/>
      </c:dateAx>
      <c:valAx>
        <c:axId val="546838784"/>
        <c:scaling>
          <c:orientation val="minMax"/>
        </c:scaling>
        <c:delete val="0"/>
        <c:axPos val="l"/>
        <c:majorGridlines/>
        <c:numFmt formatCode="0.00%" sourceLinked="0"/>
        <c:majorTickMark val="none"/>
        <c:minorTickMark val="none"/>
        <c:tickLblPos val="nextTo"/>
        <c:crossAx val="546836864"/>
        <c:crosses val="autoZero"/>
        <c:crossBetween val="between"/>
      </c:valAx>
      <c:valAx>
        <c:axId val="546844672"/>
        <c:scaling>
          <c:orientation val="minMax"/>
        </c:scaling>
        <c:delete val="1"/>
        <c:axPos val="r"/>
        <c:numFmt formatCode="0.0000%" sourceLinked="1"/>
        <c:majorTickMark val="out"/>
        <c:minorTickMark val="none"/>
        <c:tickLblPos val="nextTo"/>
        <c:crossAx val="546846208"/>
        <c:crosses val="max"/>
        <c:crossBetween val="midCat"/>
      </c:valAx>
      <c:valAx>
        <c:axId val="546846208"/>
        <c:scaling>
          <c:orientation val="minMax"/>
        </c:scaling>
        <c:delete val="1"/>
        <c:axPos val="t"/>
        <c:numFmt formatCode="ddd\,\ dd\-mmm\-yyyy" sourceLinked="1"/>
        <c:majorTickMark val="out"/>
        <c:minorTickMark val="none"/>
        <c:tickLblPos val="nextTo"/>
        <c:crossAx val="546844672"/>
        <c:crosses val="max"/>
        <c:crossBetween val="midCat"/>
      </c:valAx>
    </c:plotArea>
    <c:legend>
      <c:legendPos val="r"/>
      <c:layout>
        <c:manualLayout>
          <c:xMode val="edge"/>
          <c:yMode val="edge"/>
          <c:x val="0.76359026305245292"/>
          <c:y val="0.55533154509532467"/>
          <c:w val="0.21208260425780112"/>
          <c:h val="0.2544649201171753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8392900524458038E-2"/>
          <c:y val="4.7069497962520523E-2"/>
          <c:w val="0.87339211455192423"/>
          <c:h val="0.76875183810458825"/>
        </c:manualLayout>
      </c:layout>
      <c:lineChart>
        <c:grouping val="standard"/>
        <c:varyColors val="0"/>
        <c:ser>
          <c:idx val="2"/>
          <c:order val="0"/>
          <c:tx>
            <c:v>Interpolated Basis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FRACharts!$D$11:$D$59</c:f>
              <c:numCache>
                <c:formatCode>ddd\,\ dd\-mmm\-yyyy</c:formatCode>
                <c:ptCount val="49"/>
                <c:pt idx="0">
                  <c:v>41856</c:v>
                </c:pt>
                <c:pt idx="1">
                  <c:v>41887</c:v>
                </c:pt>
                <c:pt idx="2">
                  <c:v>41918</c:v>
                </c:pt>
                <c:pt idx="3">
                  <c:v>41948</c:v>
                </c:pt>
                <c:pt idx="4">
                  <c:v>41978</c:v>
                </c:pt>
                <c:pt idx="5">
                  <c:v>42009</c:v>
                </c:pt>
                <c:pt idx="6">
                  <c:v>42040</c:v>
                </c:pt>
                <c:pt idx="7">
                  <c:v>42068</c:v>
                </c:pt>
                <c:pt idx="8">
                  <c:v>42101</c:v>
                </c:pt>
                <c:pt idx="9">
                  <c:v>42129</c:v>
                </c:pt>
                <c:pt idx="10">
                  <c:v>42160</c:v>
                </c:pt>
                <c:pt idx="11">
                  <c:v>42191</c:v>
                </c:pt>
                <c:pt idx="12">
                  <c:v>42221</c:v>
                </c:pt>
                <c:pt idx="13">
                  <c:v>42254</c:v>
                </c:pt>
                <c:pt idx="14">
                  <c:v>42282</c:v>
                </c:pt>
                <c:pt idx="15">
                  <c:v>42313</c:v>
                </c:pt>
                <c:pt idx="16">
                  <c:v>42345</c:v>
                </c:pt>
                <c:pt idx="17">
                  <c:v>42374</c:v>
                </c:pt>
                <c:pt idx="18">
                  <c:v>42405</c:v>
                </c:pt>
                <c:pt idx="19">
                  <c:v>42436</c:v>
                </c:pt>
                <c:pt idx="20">
                  <c:v>42465</c:v>
                </c:pt>
                <c:pt idx="21">
                  <c:v>42495</c:v>
                </c:pt>
                <c:pt idx="22">
                  <c:v>42527</c:v>
                </c:pt>
                <c:pt idx="23">
                  <c:v>42556</c:v>
                </c:pt>
                <c:pt idx="24">
                  <c:v>42587</c:v>
                </c:pt>
                <c:pt idx="25">
                  <c:v>42618</c:v>
                </c:pt>
                <c:pt idx="26">
                  <c:v>42648</c:v>
                </c:pt>
                <c:pt idx="27">
                  <c:v>42681</c:v>
                </c:pt>
                <c:pt idx="28">
                  <c:v>42709</c:v>
                </c:pt>
                <c:pt idx="29">
                  <c:v>42740</c:v>
                </c:pt>
                <c:pt idx="30">
                  <c:v>42772</c:v>
                </c:pt>
                <c:pt idx="31">
                  <c:v>42800</c:v>
                </c:pt>
                <c:pt idx="32">
                  <c:v>42830</c:v>
                </c:pt>
                <c:pt idx="33">
                  <c:v>42860</c:v>
                </c:pt>
                <c:pt idx="34">
                  <c:v>42891</c:v>
                </c:pt>
                <c:pt idx="35">
                  <c:v>42921</c:v>
                </c:pt>
                <c:pt idx="36">
                  <c:v>42954</c:v>
                </c:pt>
                <c:pt idx="37">
                  <c:v>42983</c:v>
                </c:pt>
                <c:pt idx="38">
                  <c:v>43013</c:v>
                </c:pt>
                <c:pt idx="39">
                  <c:v>43045</c:v>
                </c:pt>
                <c:pt idx="40">
                  <c:v>43074</c:v>
                </c:pt>
                <c:pt idx="41">
                  <c:v>43105</c:v>
                </c:pt>
                <c:pt idx="42">
                  <c:v>43136</c:v>
                </c:pt>
                <c:pt idx="43">
                  <c:v>43164</c:v>
                </c:pt>
                <c:pt idx="44">
                  <c:v>43195</c:v>
                </c:pt>
                <c:pt idx="45">
                  <c:v>43227</c:v>
                </c:pt>
                <c:pt idx="46">
                  <c:v>43256</c:v>
                </c:pt>
                <c:pt idx="47">
                  <c:v>43286</c:v>
                </c:pt>
                <c:pt idx="48">
                  <c:v>43318</c:v>
                </c:pt>
              </c:numCache>
            </c:numRef>
          </c:cat>
          <c:val>
            <c:numRef>
              <c:f>FRACharts!$H$11:$H$59</c:f>
              <c:numCache>
                <c:formatCode>0.0000%</c:formatCode>
                <c:ptCount val="49"/>
                <c:pt idx="0">
                  <c:v>4.3299999999999996E-3</c:v>
                </c:pt>
                <c:pt idx="1">
                  <c:v>4.3552948272580832E-3</c:v>
                </c:pt>
                <c:pt idx="2">
                  <c:v>4.3802644729884158E-3</c:v>
                </c:pt>
                <c:pt idx="3">
                  <c:v>4.4038127432278196E-3</c:v>
                </c:pt>
                <c:pt idx="4">
                  <c:v>4.4264572159949051E-3</c:v>
                </c:pt>
                <c:pt idx="5">
                  <c:v>4.4485939587592255E-3</c:v>
                </c:pt>
                <c:pt idx="6">
                  <c:v>4.4691257733381912E-3</c:v>
                </c:pt>
                <c:pt idx="7">
                  <c:v>4.4860206837916469E-3</c:v>
                </c:pt>
                <c:pt idx="8">
                  <c:v>4.5035851196260131E-3</c:v>
                </c:pt>
                <c:pt idx="9">
                  <c:v>4.5162199785106103E-3</c:v>
                </c:pt>
                <c:pt idx="10">
                  <c:v>4.5274734606328103E-3</c:v>
                </c:pt>
                <c:pt idx="11">
                  <c:v>4.5355380658377038E-3</c:v>
                </c:pt>
                <c:pt idx="12">
                  <c:v>4.5399999999999998E-3</c:v>
                </c:pt>
                <c:pt idx="13">
                  <c:v>4.542486133369026E-3</c:v>
                </c:pt>
                <c:pt idx="14">
                  <c:v>4.5439076357153968E-3</c:v>
                </c:pt>
                <c:pt idx="15">
                  <c:v>4.5449100577214536E-3</c:v>
                </c:pt>
                <c:pt idx="16">
                  <c:v>4.5454952283189394E-3</c:v>
                </c:pt>
                <c:pt idx="17">
                  <c:v>4.5457909085412605E-3</c:v>
                </c:pt>
                <c:pt idx="18">
                  <c:v>4.5460283778255232E-3</c:v>
                </c:pt>
                <c:pt idx="19">
                  <c:v>4.5463564372498532E-3</c:v>
                </c:pt>
                <c:pt idx="20">
                  <c:v>4.5469008868578541E-3</c:v>
                </c:pt>
                <c:pt idx="21">
                  <c:v>4.547862248146314E-3</c:v>
                </c:pt>
                <c:pt idx="22">
                  <c:v>4.5495113294071457E-3</c:v>
                </c:pt>
                <c:pt idx="23">
                  <c:v>4.5517199935449582E-3</c:v>
                </c:pt>
                <c:pt idx="24">
                  <c:v>4.555E-3</c:v>
                </c:pt>
                <c:pt idx="25">
                  <c:v>4.5662667251215759E-3</c:v>
                </c:pt>
                <c:pt idx="26">
                  <c:v>4.5897313584118806E-3</c:v>
                </c:pt>
                <c:pt idx="27">
                  <c:v>4.6269498931215125E-3</c:v>
                </c:pt>
                <c:pt idx="28">
                  <c:v>4.6656239319676739E-3</c:v>
                </c:pt>
                <c:pt idx="29">
                  <c:v>4.7135736995517008E-3</c:v>
                </c:pt>
                <c:pt idx="30">
                  <c:v>4.7660393138441856E-3</c:v>
                </c:pt>
                <c:pt idx="31">
                  <c:v>4.8121811978007467E-3</c:v>
                </c:pt>
                <c:pt idx="32">
                  <c:v>4.8595675144488121E-3</c:v>
                </c:pt>
                <c:pt idx="33">
                  <c:v>4.9025110440295136E-3</c:v>
                </c:pt>
                <c:pt idx="34">
                  <c:v>4.9396975646393958E-3</c:v>
                </c:pt>
                <c:pt idx="35">
                  <c:v>4.9662882052832341E-3</c:v>
                </c:pt>
                <c:pt idx="36">
                  <c:v>4.9820000000000003E-3</c:v>
                </c:pt>
                <c:pt idx="37">
                  <c:v>4.9881732888307807E-3</c:v>
                </c:pt>
                <c:pt idx="38">
                  <c:v>4.9935277320418379E-3</c:v>
                </c:pt>
                <c:pt idx="39">
                  <c:v>4.9981875E-3</c:v>
                </c:pt>
                <c:pt idx="40">
                  <c:v>5.0015661988054207E-3</c:v>
                </c:pt>
                <c:pt idx="41">
                  <c:v>5.0043896146647095E-3</c:v>
                </c:pt>
                <c:pt idx="42">
                  <c:v>5.0064999999999997E-3</c:v>
                </c:pt>
                <c:pt idx="43">
                  <c:v>5.0078796085571229E-3</c:v>
                </c:pt>
                <c:pt idx="44">
                  <c:v>5.0089196382125901E-3</c:v>
                </c:pt>
                <c:pt idx="45">
                  <c:v>5.0095625000000001E-3</c:v>
                </c:pt>
                <c:pt idx="46">
                  <c:v>5.0098616341393174E-3</c:v>
                </c:pt>
                <c:pt idx="47">
                  <c:v>5.0099809759133508E-3</c:v>
                </c:pt>
                <c:pt idx="48">
                  <c:v>5.0099999999999997E-3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6891648"/>
        <c:axId val="546893824"/>
      </c:lineChart>
      <c:scatterChart>
        <c:scatterStyle val="lineMarker"/>
        <c:varyColors val="0"/>
        <c:ser>
          <c:idx val="0"/>
          <c:order val="1"/>
          <c:tx>
            <c:v>Basis Value</c:v>
          </c:tx>
          <c:spPr>
            <a:ln w="28575">
              <a:noFill/>
            </a:ln>
          </c:spPr>
          <c:marker>
            <c:spPr>
              <a:solidFill>
                <a:schemeClr val="accent2"/>
              </a:solidFill>
            </c:spPr>
          </c:marker>
          <c:xVal>
            <c:numRef>
              <c:f>(SynthFra!$I$2,SynthFra!$I$3,SynthFra!$I$4,SynthFra!$I$5,SynthFra!$I$6)</c:f>
              <c:numCache>
                <c:formatCode>ddd\,\ dd\-mmm\-yyyy</c:formatCode>
                <c:ptCount val="5"/>
                <c:pt idx="0">
                  <c:v>41856</c:v>
                </c:pt>
                <c:pt idx="1">
                  <c:v>42221</c:v>
                </c:pt>
                <c:pt idx="2">
                  <c:v>42587</c:v>
                </c:pt>
                <c:pt idx="3">
                  <c:v>42954</c:v>
                </c:pt>
                <c:pt idx="4">
                  <c:v>43318</c:v>
                </c:pt>
              </c:numCache>
            </c:numRef>
          </c:xVal>
          <c:yVal>
            <c:numRef>
              <c:f>(SynthFra!$M$2,SynthFra!$M$3,SynthFra!$M$4,SynthFra!$M$5,SynthFra!$M$6)</c:f>
              <c:numCache>
                <c:formatCode>0.0000%</c:formatCode>
                <c:ptCount val="5"/>
                <c:pt idx="0">
                  <c:v>4.3299999999999996E-3</c:v>
                </c:pt>
                <c:pt idx="1">
                  <c:v>4.5399999999999998E-3</c:v>
                </c:pt>
                <c:pt idx="2">
                  <c:v>4.555E-3</c:v>
                </c:pt>
                <c:pt idx="3">
                  <c:v>4.9820000000000003E-3</c:v>
                </c:pt>
                <c:pt idx="4">
                  <c:v>5.0099999999999997E-3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891648"/>
        <c:axId val="546893824"/>
      </c:scatterChart>
      <c:dateAx>
        <c:axId val="54689164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546893824"/>
        <c:crosses val="autoZero"/>
        <c:auto val="1"/>
        <c:lblOffset val="100"/>
        <c:baseTimeUnit val="months"/>
      </c:dateAx>
      <c:valAx>
        <c:axId val="54689382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468916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9960538786818316"/>
          <c:y val="0.64554543963254596"/>
          <c:w val="0.23931794983960339"/>
          <c:h val="0.125575787401574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 Depo Charts'!$D$16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 Depo Charts'!$B$17:$B$130</c:f>
              <c:numCache>
                <c:formatCode>ddd\,\ dd\-mmm\-yyyy</c:formatCode>
                <c:ptCount val="114"/>
                <c:pt idx="0">
                  <c:v>41856</c:v>
                </c:pt>
                <c:pt idx="1">
                  <c:v>41857</c:v>
                </c:pt>
                <c:pt idx="2">
                  <c:v>41858</c:v>
                </c:pt>
                <c:pt idx="3">
                  <c:v>41859</c:v>
                </c:pt>
                <c:pt idx="4">
                  <c:v>41862</c:v>
                </c:pt>
                <c:pt idx="5">
                  <c:v>41863</c:v>
                </c:pt>
                <c:pt idx="6">
                  <c:v>41864</c:v>
                </c:pt>
                <c:pt idx="7">
                  <c:v>41865</c:v>
                </c:pt>
                <c:pt idx="8">
                  <c:v>41866</c:v>
                </c:pt>
                <c:pt idx="9">
                  <c:v>41869</c:v>
                </c:pt>
                <c:pt idx="10">
                  <c:v>41870</c:v>
                </c:pt>
                <c:pt idx="11">
                  <c:v>41871</c:v>
                </c:pt>
                <c:pt idx="12">
                  <c:v>41872</c:v>
                </c:pt>
                <c:pt idx="13">
                  <c:v>41873</c:v>
                </c:pt>
                <c:pt idx="14">
                  <c:v>41876</c:v>
                </c:pt>
                <c:pt idx="15">
                  <c:v>41877</c:v>
                </c:pt>
                <c:pt idx="16">
                  <c:v>41878</c:v>
                </c:pt>
                <c:pt idx="17">
                  <c:v>41879</c:v>
                </c:pt>
                <c:pt idx="18">
                  <c:v>41880</c:v>
                </c:pt>
                <c:pt idx="19">
                  <c:v>41883</c:v>
                </c:pt>
                <c:pt idx="20">
                  <c:v>41884</c:v>
                </c:pt>
                <c:pt idx="21">
                  <c:v>41885</c:v>
                </c:pt>
                <c:pt idx="22">
                  <c:v>41886</c:v>
                </c:pt>
                <c:pt idx="23">
                  <c:v>41887</c:v>
                </c:pt>
                <c:pt idx="24">
                  <c:v>41890</c:v>
                </c:pt>
                <c:pt idx="25">
                  <c:v>41891</c:v>
                </c:pt>
                <c:pt idx="26">
                  <c:v>41892</c:v>
                </c:pt>
                <c:pt idx="27">
                  <c:v>41893</c:v>
                </c:pt>
                <c:pt idx="28">
                  <c:v>41894</c:v>
                </c:pt>
                <c:pt idx="29">
                  <c:v>41897</c:v>
                </c:pt>
                <c:pt idx="30">
                  <c:v>41898</c:v>
                </c:pt>
                <c:pt idx="31">
                  <c:v>41899</c:v>
                </c:pt>
                <c:pt idx="32">
                  <c:v>41900</c:v>
                </c:pt>
                <c:pt idx="33">
                  <c:v>41901</c:v>
                </c:pt>
                <c:pt idx="34">
                  <c:v>41904</c:v>
                </c:pt>
                <c:pt idx="35">
                  <c:v>41905</c:v>
                </c:pt>
                <c:pt idx="36">
                  <c:v>41906</c:v>
                </c:pt>
                <c:pt idx="37">
                  <c:v>41907</c:v>
                </c:pt>
                <c:pt idx="38">
                  <c:v>41908</c:v>
                </c:pt>
                <c:pt idx="39">
                  <c:v>41911</c:v>
                </c:pt>
                <c:pt idx="40">
                  <c:v>41912</c:v>
                </c:pt>
                <c:pt idx="41">
                  <c:v>41913</c:v>
                </c:pt>
                <c:pt idx="42">
                  <c:v>41914</c:v>
                </c:pt>
                <c:pt idx="43">
                  <c:v>41915</c:v>
                </c:pt>
                <c:pt idx="44">
                  <c:v>41918</c:v>
                </c:pt>
                <c:pt idx="45">
                  <c:v>41919</c:v>
                </c:pt>
                <c:pt idx="46">
                  <c:v>41920</c:v>
                </c:pt>
                <c:pt idx="47">
                  <c:v>41921</c:v>
                </c:pt>
                <c:pt idx="48">
                  <c:v>41922</c:v>
                </c:pt>
                <c:pt idx="49">
                  <c:v>41925</c:v>
                </c:pt>
                <c:pt idx="50">
                  <c:v>41926</c:v>
                </c:pt>
                <c:pt idx="51">
                  <c:v>41927</c:v>
                </c:pt>
                <c:pt idx="52">
                  <c:v>41928</c:v>
                </c:pt>
                <c:pt idx="53">
                  <c:v>41929</c:v>
                </c:pt>
                <c:pt idx="54">
                  <c:v>41932</c:v>
                </c:pt>
                <c:pt idx="55">
                  <c:v>41933</c:v>
                </c:pt>
                <c:pt idx="56">
                  <c:v>41934</c:v>
                </c:pt>
                <c:pt idx="57">
                  <c:v>41935</c:v>
                </c:pt>
                <c:pt idx="58">
                  <c:v>41936</c:v>
                </c:pt>
                <c:pt idx="59">
                  <c:v>41939</c:v>
                </c:pt>
                <c:pt idx="60">
                  <c:v>41940</c:v>
                </c:pt>
                <c:pt idx="61">
                  <c:v>41941</c:v>
                </c:pt>
                <c:pt idx="62">
                  <c:v>41942</c:v>
                </c:pt>
                <c:pt idx="63">
                  <c:v>41943</c:v>
                </c:pt>
                <c:pt idx="64">
                  <c:v>41946</c:v>
                </c:pt>
                <c:pt idx="65">
                  <c:v>41947</c:v>
                </c:pt>
                <c:pt idx="66">
                  <c:v>41948</c:v>
                </c:pt>
              </c:numCache>
            </c:numRef>
          </c:cat>
          <c:val>
            <c:numRef>
              <c:f>'3M Depo Charts'!$D$17:$D$114</c:f>
              <c:numCache>
                <c:formatCode>0.0000%</c:formatCode>
                <c:ptCount val="98"/>
                <c:pt idx="0">
                  <c:v>1.4701388888885805E-3</c:v>
                </c:pt>
                <c:pt idx="1">
                  <c:v>1.4701388888885805E-3</c:v>
                </c:pt>
                <c:pt idx="2">
                  <c:v>1.4701388888885805E-3</c:v>
                </c:pt>
                <c:pt idx="3">
                  <c:v>1.4701388888885805E-3</c:v>
                </c:pt>
                <c:pt idx="4">
                  <c:v>1.4701388888885805E-3</c:v>
                </c:pt>
                <c:pt idx="5">
                  <c:v>1.4701388888885805E-3</c:v>
                </c:pt>
                <c:pt idx="6">
                  <c:v>1.4701388888885805E-3</c:v>
                </c:pt>
                <c:pt idx="7">
                  <c:v>1.4701388888885805E-3</c:v>
                </c:pt>
                <c:pt idx="8">
                  <c:v>1.4701388888885805E-3</c:v>
                </c:pt>
                <c:pt idx="9">
                  <c:v>1.4701388888885805E-3</c:v>
                </c:pt>
                <c:pt idx="10">
                  <c:v>1.4701388888885805E-3</c:v>
                </c:pt>
                <c:pt idx="11">
                  <c:v>1.4701388888885805E-3</c:v>
                </c:pt>
                <c:pt idx="12">
                  <c:v>1.4701388888885805E-3</c:v>
                </c:pt>
                <c:pt idx="13">
                  <c:v>1.4701388888885805E-3</c:v>
                </c:pt>
                <c:pt idx="14">
                  <c:v>1.4701388888885805E-3</c:v>
                </c:pt>
                <c:pt idx="15">
                  <c:v>1.4701388888885805E-3</c:v>
                </c:pt>
                <c:pt idx="16">
                  <c:v>1.4701388888885805E-3</c:v>
                </c:pt>
                <c:pt idx="17">
                  <c:v>1.4701388888885805E-3</c:v>
                </c:pt>
                <c:pt idx="18">
                  <c:v>1.4701388888885805E-3</c:v>
                </c:pt>
                <c:pt idx="19">
                  <c:v>1.4701388888885805E-3</c:v>
                </c:pt>
                <c:pt idx="20">
                  <c:v>1.4701388888885805E-3</c:v>
                </c:pt>
                <c:pt idx="21">
                  <c:v>1.4701388888885805E-3</c:v>
                </c:pt>
                <c:pt idx="22">
                  <c:v>1.4701388888885805E-3</c:v>
                </c:pt>
                <c:pt idx="23">
                  <c:v>1.4701388888885805E-3</c:v>
                </c:pt>
                <c:pt idx="24">
                  <c:v>1.4701388888885805E-3</c:v>
                </c:pt>
                <c:pt idx="25">
                  <c:v>1.4701388888885805E-3</c:v>
                </c:pt>
                <c:pt idx="26">
                  <c:v>1.4701388888885805E-3</c:v>
                </c:pt>
                <c:pt idx="27">
                  <c:v>1.4701388888885805E-3</c:v>
                </c:pt>
                <c:pt idx="28">
                  <c:v>1.4701388888885805E-3</c:v>
                </c:pt>
                <c:pt idx="29">
                  <c:v>1.4701388888885805E-3</c:v>
                </c:pt>
                <c:pt idx="30">
                  <c:v>1.4701388888885805E-3</c:v>
                </c:pt>
                <c:pt idx="31">
                  <c:v>1.4701388888885805E-3</c:v>
                </c:pt>
                <c:pt idx="32">
                  <c:v>1.4701388888885805E-3</c:v>
                </c:pt>
                <c:pt idx="33">
                  <c:v>1.4701388888885805E-3</c:v>
                </c:pt>
                <c:pt idx="34">
                  <c:v>1.4701388888885805E-3</c:v>
                </c:pt>
                <c:pt idx="35">
                  <c:v>1.4701388888885805E-3</c:v>
                </c:pt>
                <c:pt idx="36">
                  <c:v>1.4701388888885805E-3</c:v>
                </c:pt>
                <c:pt idx="37">
                  <c:v>1.4701388888885805E-3</c:v>
                </c:pt>
                <c:pt idx="38">
                  <c:v>1.4701388888885805E-3</c:v>
                </c:pt>
                <c:pt idx="39">
                  <c:v>1.4701388888885805E-3</c:v>
                </c:pt>
                <c:pt idx="40">
                  <c:v>1.4701388888885805E-3</c:v>
                </c:pt>
                <c:pt idx="41">
                  <c:v>1.4701388888885805E-3</c:v>
                </c:pt>
                <c:pt idx="42">
                  <c:v>1.4701388888885805E-3</c:v>
                </c:pt>
                <c:pt idx="43">
                  <c:v>1.4701388888885805E-3</c:v>
                </c:pt>
                <c:pt idx="44">
                  <c:v>1.4701388888885805E-3</c:v>
                </c:pt>
                <c:pt idx="45">
                  <c:v>1.4701388888885805E-3</c:v>
                </c:pt>
                <c:pt idx="46">
                  <c:v>1.4701388888885805E-3</c:v>
                </c:pt>
                <c:pt idx="47">
                  <c:v>1.4701388888885805E-3</c:v>
                </c:pt>
                <c:pt idx="48">
                  <c:v>1.4701388888885805E-3</c:v>
                </c:pt>
                <c:pt idx="49">
                  <c:v>1.4701388888885805E-3</c:v>
                </c:pt>
                <c:pt idx="50">
                  <c:v>1.4701388888885805E-3</c:v>
                </c:pt>
                <c:pt idx="51">
                  <c:v>1.4701388888885805E-3</c:v>
                </c:pt>
                <c:pt idx="52">
                  <c:v>1.4701388888885805E-3</c:v>
                </c:pt>
                <c:pt idx="53">
                  <c:v>1.4701388888885805E-3</c:v>
                </c:pt>
                <c:pt idx="54">
                  <c:v>1.4701388888885805E-3</c:v>
                </c:pt>
                <c:pt idx="55">
                  <c:v>1.4701388888885805E-3</c:v>
                </c:pt>
                <c:pt idx="56">
                  <c:v>1.4701388888885805E-3</c:v>
                </c:pt>
                <c:pt idx="57">
                  <c:v>1.4701388888885805E-3</c:v>
                </c:pt>
                <c:pt idx="58">
                  <c:v>1.4701388888885805E-3</c:v>
                </c:pt>
                <c:pt idx="59">
                  <c:v>1.4701388888885805E-3</c:v>
                </c:pt>
                <c:pt idx="60">
                  <c:v>1.4701388888885805E-3</c:v>
                </c:pt>
                <c:pt idx="61">
                  <c:v>1.4701388888885805E-3</c:v>
                </c:pt>
                <c:pt idx="62">
                  <c:v>1.4701388888885805E-3</c:v>
                </c:pt>
                <c:pt idx="63">
                  <c:v>1.4701388888885805E-3</c:v>
                </c:pt>
                <c:pt idx="64">
                  <c:v>1.4701388888885805E-3</c:v>
                </c:pt>
                <c:pt idx="65">
                  <c:v>1.4701388888885805E-3</c:v>
                </c:pt>
                <c:pt idx="66">
                  <c:v>1.4701388888885805E-3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 Depo Charts'!$E$16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 Depo Charts'!$B$17:$B$130</c:f>
              <c:numCache>
                <c:formatCode>ddd\,\ dd\-mmm\-yyyy</c:formatCode>
                <c:ptCount val="114"/>
                <c:pt idx="0">
                  <c:v>41856</c:v>
                </c:pt>
                <c:pt idx="1">
                  <c:v>41857</c:v>
                </c:pt>
                <c:pt idx="2">
                  <c:v>41858</c:v>
                </c:pt>
                <c:pt idx="3">
                  <c:v>41859</c:v>
                </c:pt>
                <c:pt idx="4">
                  <c:v>41862</c:v>
                </c:pt>
                <c:pt idx="5">
                  <c:v>41863</c:v>
                </c:pt>
                <c:pt idx="6">
                  <c:v>41864</c:v>
                </c:pt>
                <c:pt idx="7">
                  <c:v>41865</c:v>
                </c:pt>
                <c:pt idx="8">
                  <c:v>41866</c:v>
                </c:pt>
                <c:pt idx="9">
                  <c:v>41869</c:v>
                </c:pt>
                <c:pt idx="10">
                  <c:v>41870</c:v>
                </c:pt>
                <c:pt idx="11">
                  <c:v>41871</c:v>
                </c:pt>
                <c:pt idx="12">
                  <c:v>41872</c:v>
                </c:pt>
                <c:pt idx="13">
                  <c:v>41873</c:v>
                </c:pt>
                <c:pt idx="14">
                  <c:v>41876</c:v>
                </c:pt>
                <c:pt idx="15">
                  <c:v>41877</c:v>
                </c:pt>
                <c:pt idx="16">
                  <c:v>41878</c:v>
                </c:pt>
                <c:pt idx="17">
                  <c:v>41879</c:v>
                </c:pt>
                <c:pt idx="18">
                  <c:v>41880</c:v>
                </c:pt>
                <c:pt idx="19">
                  <c:v>41883</c:v>
                </c:pt>
                <c:pt idx="20">
                  <c:v>41884</c:v>
                </c:pt>
                <c:pt idx="21">
                  <c:v>41885</c:v>
                </c:pt>
                <c:pt idx="22">
                  <c:v>41886</c:v>
                </c:pt>
                <c:pt idx="23">
                  <c:v>41887</c:v>
                </c:pt>
                <c:pt idx="24">
                  <c:v>41890</c:v>
                </c:pt>
                <c:pt idx="25">
                  <c:v>41891</c:v>
                </c:pt>
                <c:pt idx="26">
                  <c:v>41892</c:v>
                </c:pt>
                <c:pt idx="27">
                  <c:v>41893</c:v>
                </c:pt>
                <c:pt idx="28">
                  <c:v>41894</c:v>
                </c:pt>
                <c:pt idx="29">
                  <c:v>41897</c:v>
                </c:pt>
                <c:pt idx="30">
                  <c:v>41898</c:v>
                </c:pt>
                <c:pt idx="31">
                  <c:v>41899</c:v>
                </c:pt>
                <c:pt idx="32">
                  <c:v>41900</c:v>
                </c:pt>
                <c:pt idx="33">
                  <c:v>41901</c:v>
                </c:pt>
                <c:pt idx="34">
                  <c:v>41904</c:v>
                </c:pt>
                <c:pt idx="35">
                  <c:v>41905</c:v>
                </c:pt>
                <c:pt idx="36">
                  <c:v>41906</c:v>
                </c:pt>
                <c:pt idx="37">
                  <c:v>41907</c:v>
                </c:pt>
                <c:pt idx="38">
                  <c:v>41908</c:v>
                </c:pt>
                <c:pt idx="39">
                  <c:v>41911</c:v>
                </c:pt>
                <c:pt idx="40">
                  <c:v>41912</c:v>
                </c:pt>
                <c:pt idx="41">
                  <c:v>41913</c:v>
                </c:pt>
                <c:pt idx="42">
                  <c:v>41914</c:v>
                </c:pt>
                <c:pt idx="43">
                  <c:v>41915</c:v>
                </c:pt>
                <c:pt idx="44">
                  <c:v>41918</c:v>
                </c:pt>
                <c:pt idx="45">
                  <c:v>41919</c:v>
                </c:pt>
                <c:pt idx="46">
                  <c:v>41920</c:v>
                </c:pt>
                <c:pt idx="47">
                  <c:v>41921</c:v>
                </c:pt>
                <c:pt idx="48">
                  <c:v>41922</c:v>
                </c:pt>
                <c:pt idx="49">
                  <c:v>41925</c:v>
                </c:pt>
                <c:pt idx="50">
                  <c:v>41926</c:v>
                </c:pt>
                <c:pt idx="51">
                  <c:v>41927</c:v>
                </c:pt>
                <c:pt idx="52">
                  <c:v>41928</c:v>
                </c:pt>
                <c:pt idx="53">
                  <c:v>41929</c:v>
                </c:pt>
                <c:pt idx="54">
                  <c:v>41932</c:v>
                </c:pt>
                <c:pt idx="55">
                  <c:v>41933</c:v>
                </c:pt>
                <c:pt idx="56">
                  <c:v>41934</c:v>
                </c:pt>
                <c:pt idx="57">
                  <c:v>41935</c:v>
                </c:pt>
                <c:pt idx="58">
                  <c:v>41936</c:v>
                </c:pt>
                <c:pt idx="59">
                  <c:v>41939</c:v>
                </c:pt>
                <c:pt idx="60">
                  <c:v>41940</c:v>
                </c:pt>
                <c:pt idx="61">
                  <c:v>41941</c:v>
                </c:pt>
                <c:pt idx="62">
                  <c:v>41942</c:v>
                </c:pt>
                <c:pt idx="63">
                  <c:v>41943</c:v>
                </c:pt>
                <c:pt idx="64">
                  <c:v>41946</c:v>
                </c:pt>
                <c:pt idx="65">
                  <c:v>41947</c:v>
                </c:pt>
                <c:pt idx="66">
                  <c:v>41948</c:v>
                </c:pt>
              </c:numCache>
            </c:numRef>
          </c:cat>
          <c:val>
            <c:numRef>
              <c:f>'3M Depo Charts'!$E$17:$E$114</c:f>
              <c:numCache>
                <c:formatCode>0.0000%</c:formatCode>
                <c:ptCount val="98"/>
                <c:pt idx="0">
                  <c:v>1.6085289988081123E-3</c:v>
                </c:pt>
                <c:pt idx="1">
                  <c:v>1.6055205181576878E-3</c:v>
                </c:pt>
                <c:pt idx="2">
                  <c:v>1.6025120375072631E-3</c:v>
                </c:pt>
                <c:pt idx="3">
                  <c:v>1.5995035568568386E-3</c:v>
                </c:pt>
                <c:pt idx="4">
                  <c:v>1.5904781149055649E-3</c:v>
                </c:pt>
                <c:pt idx="5">
                  <c:v>1.5874696342551402E-3</c:v>
                </c:pt>
                <c:pt idx="6">
                  <c:v>1.5844611536047157E-3</c:v>
                </c:pt>
                <c:pt idx="7">
                  <c:v>1.5814526729542909E-3</c:v>
                </c:pt>
                <c:pt idx="8">
                  <c:v>1.5784441923038664E-3</c:v>
                </c:pt>
                <c:pt idx="9">
                  <c:v>1.5694187503525927E-3</c:v>
                </c:pt>
                <c:pt idx="10">
                  <c:v>1.566410269702168E-3</c:v>
                </c:pt>
                <c:pt idx="11">
                  <c:v>1.5634017890517435E-3</c:v>
                </c:pt>
                <c:pt idx="12">
                  <c:v>1.560393308401319E-3</c:v>
                </c:pt>
                <c:pt idx="13">
                  <c:v>1.5573848277508943E-3</c:v>
                </c:pt>
                <c:pt idx="14">
                  <c:v>1.5483593857996206E-3</c:v>
                </c:pt>
                <c:pt idx="15">
                  <c:v>1.5453509051491961E-3</c:v>
                </c:pt>
                <c:pt idx="16">
                  <c:v>1.5423424244987714E-3</c:v>
                </c:pt>
                <c:pt idx="17">
                  <c:v>1.5393339438483469E-3</c:v>
                </c:pt>
                <c:pt idx="18">
                  <c:v>1.5363254631979224E-3</c:v>
                </c:pt>
                <c:pt idx="19">
                  <c:v>1.5273000212466484E-3</c:v>
                </c:pt>
                <c:pt idx="20">
                  <c:v>1.5242915405962239E-3</c:v>
                </c:pt>
                <c:pt idx="21">
                  <c:v>1.5212830599457992E-3</c:v>
                </c:pt>
                <c:pt idx="22">
                  <c:v>1.5182745792953747E-3</c:v>
                </c:pt>
                <c:pt idx="23">
                  <c:v>1.5152660986449502E-3</c:v>
                </c:pt>
                <c:pt idx="24">
                  <c:v>1.5062406566936765E-3</c:v>
                </c:pt>
                <c:pt idx="25">
                  <c:v>1.5032321760432518E-3</c:v>
                </c:pt>
                <c:pt idx="26">
                  <c:v>1.5002236953928273E-3</c:v>
                </c:pt>
                <c:pt idx="27">
                  <c:v>1.4972152147424026E-3</c:v>
                </c:pt>
                <c:pt idx="28">
                  <c:v>1.4942067340919781E-3</c:v>
                </c:pt>
                <c:pt idx="29">
                  <c:v>1.4851812921407043E-3</c:v>
                </c:pt>
                <c:pt idx="30">
                  <c:v>1.4821728114902796E-3</c:v>
                </c:pt>
                <c:pt idx="31">
                  <c:v>1.4791643308398551E-3</c:v>
                </c:pt>
                <c:pt idx="32">
                  <c:v>1.4761558501894306E-3</c:v>
                </c:pt>
                <c:pt idx="33">
                  <c:v>1.4731473695390059E-3</c:v>
                </c:pt>
                <c:pt idx="34">
                  <c:v>1.4641219275877322E-3</c:v>
                </c:pt>
                <c:pt idx="35">
                  <c:v>1.4611134469373077E-3</c:v>
                </c:pt>
                <c:pt idx="36">
                  <c:v>1.458104966286883E-3</c:v>
                </c:pt>
                <c:pt idx="37">
                  <c:v>1.4550964856364585E-3</c:v>
                </c:pt>
                <c:pt idx="38">
                  <c:v>1.452088004986034E-3</c:v>
                </c:pt>
                <c:pt idx="39">
                  <c:v>1.44306256303476E-3</c:v>
                </c:pt>
                <c:pt idx="40">
                  <c:v>1.4400540823843355E-3</c:v>
                </c:pt>
                <c:pt idx="41">
                  <c:v>1.437045601733911E-3</c:v>
                </c:pt>
                <c:pt idx="42">
                  <c:v>1.4340371210834863E-3</c:v>
                </c:pt>
                <c:pt idx="43">
                  <c:v>1.4310286404330618E-3</c:v>
                </c:pt>
                <c:pt idx="44">
                  <c:v>1.4220031984817881E-3</c:v>
                </c:pt>
                <c:pt idx="45">
                  <c:v>1.4189947178313634E-3</c:v>
                </c:pt>
                <c:pt idx="46">
                  <c:v>1.4159862371809389E-3</c:v>
                </c:pt>
                <c:pt idx="47">
                  <c:v>1.4129777565305142E-3</c:v>
                </c:pt>
                <c:pt idx="48">
                  <c:v>1.4099692758800897E-3</c:v>
                </c:pt>
                <c:pt idx="49">
                  <c:v>1.400943833928816E-3</c:v>
                </c:pt>
                <c:pt idx="50">
                  <c:v>1.3979353532783912E-3</c:v>
                </c:pt>
                <c:pt idx="51">
                  <c:v>1.3949268726279667E-3</c:v>
                </c:pt>
                <c:pt idx="52">
                  <c:v>1.3919183919775422E-3</c:v>
                </c:pt>
                <c:pt idx="53">
                  <c:v>1.3889099113271175E-3</c:v>
                </c:pt>
                <c:pt idx="54">
                  <c:v>1.3798844693758438E-3</c:v>
                </c:pt>
                <c:pt idx="55">
                  <c:v>1.3768759887254193E-3</c:v>
                </c:pt>
                <c:pt idx="56">
                  <c:v>1.3738675080749946E-3</c:v>
                </c:pt>
                <c:pt idx="57">
                  <c:v>1.3708590274245701E-3</c:v>
                </c:pt>
                <c:pt idx="58">
                  <c:v>1.3678505467741454E-3</c:v>
                </c:pt>
                <c:pt idx="59">
                  <c:v>1.3588251048228717E-3</c:v>
                </c:pt>
                <c:pt idx="60">
                  <c:v>1.3558166241724472E-3</c:v>
                </c:pt>
                <c:pt idx="61">
                  <c:v>1.3528081435220224E-3</c:v>
                </c:pt>
                <c:pt idx="62">
                  <c:v>1.3497996628715979E-3</c:v>
                </c:pt>
                <c:pt idx="63">
                  <c:v>1.3467911822211734E-3</c:v>
                </c:pt>
                <c:pt idx="64">
                  <c:v>1.3377657402698995E-3</c:v>
                </c:pt>
                <c:pt idx="65">
                  <c:v>1.334757259619475E-3</c:v>
                </c:pt>
                <c:pt idx="66">
                  <c:v>1.3317487789690505E-3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 Depo Charts'!$F$16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 Depo Charts'!$B$17:$B$130</c:f>
              <c:numCache>
                <c:formatCode>ddd\,\ dd\-mmm\-yyyy</c:formatCode>
                <c:ptCount val="114"/>
                <c:pt idx="0">
                  <c:v>41856</c:v>
                </c:pt>
                <c:pt idx="1">
                  <c:v>41857</c:v>
                </c:pt>
                <c:pt idx="2">
                  <c:v>41858</c:v>
                </c:pt>
                <c:pt idx="3">
                  <c:v>41859</c:v>
                </c:pt>
                <c:pt idx="4">
                  <c:v>41862</c:v>
                </c:pt>
                <c:pt idx="5">
                  <c:v>41863</c:v>
                </c:pt>
                <c:pt idx="6">
                  <c:v>41864</c:v>
                </c:pt>
                <c:pt idx="7">
                  <c:v>41865</c:v>
                </c:pt>
                <c:pt idx="8">
                  <c:v>41866</c:v>
                </c:pt>
                <c:pt idx="9">
                  <c:v>41869</c:v>
                </c:pt>
                <c:pt idx="10">
                  <c:v>41870</c:v>
                </c:pt>
                <c:pt idx="11">
                  <c:v>41871</c:v>
                </c:pt>
                <c:pt idx="12">
                  <c:v>41872</c:v>
                </c:pt>
                <c:pt idx="13">
                  <c:v>41873</c:v>
                </c:pt>
                <c:pt idx="14">
                  <c:v>41876</c:v>
                </c:pt>
                <c:pt idx="15">
                  <c:v>41877</c:v>
                </c:pt>
                <c:pt idx="16">
                  <c:v>41878</c:v>
                </c:pt>
                <c:pt idx="17">
                  <c:v>41879</c:v>
                </c:pt>
                <c:pt idx="18">
                  <c:v>41880</c:v>
                </c:pt>
                <c:pt idx="19">
                  <c:v>41883</c:v>
                </c:pt>
                <c:pt idx="20">
                  <c:v>41884</c:v>
                </c:pt>
                <c:pt idx="21">
                  <c:v>41885</c:v>
                </c:pt>
                <c:pt idx="22">
                  <c:v>41886</c:v>
                </c:pt>
                <c:pt idx="23">
                  <c:v>41887</c:v>
                </c:pt>
                <c:pt idx="24">
                  <c:v>41890</c:v>
                </c:pt>
                <c:pt idx="25">
                  <c:v>41891</c:v>
                </c:pt>
                <c:pt idx="26">
                  <c:v>41892</c:v>
                </c:pt>
                <c:pt idx="27">
                  <c:v>41893</c:v>
                </c:pt>
                <c:pt idx="28">
                  <c:v>41894</c:v>
                </c:pt>
                <c:pt idx="29">
                  <c:v>41897</c:v>
                </c:pt>
                <c:pt idx="30">
                  <c:v>41898</c:v>
                </c:pt>
                <c:pt idx="31">
                  <c:v>41899</c:v>
                </c:pt>
                <c:pt idx="32">
                  <c:v>41900</c:v>
                </c:pt>
                <c:pt idx="33">
                  <c:v>41901</c:v>
                </c:pt>
                <c:pt idx="34">
                  <c:v>41904</c:v>
                </c:pt>
                <c:pt idx="35">
                  <c:v>41905</c:v>
                </c:pt>
                <c:pt idx="36">
                  <c:v>41906</c:v>
                </c:pt>
                <c:pt idx="37">
                  <c:v>41907</c:v>
                </c:pt>
                <c:pt idx="38">
                  <c:v>41908</c:v>
                </c:pt>
                <c:pt idx="39">
                  <c:v>41911</c:v>
                </c:pt>
                <c:pt idx="40">
                  <c:v>41912</c:v>
                </c:pt>
                <c:pt idx="41">
                  <c:v>41913</c:v>
                </c:pt>
                <c:pt idx="42">
                  <c:v>41914</c:v>
                </c:pt>
                <c:pt idx="43">
                  <c:v>41915</c:v>
                </c:pt>
                <c:pt idx="44">
                  <c:v>41918</c:v>
                </c:pt>
                <c:pt idx="45">
                  <c:v>41919</c:v>
                </c:pt>
                <c:pt idx="46">
                  <c:v>41920</c:v>
                </c:pt>
                <c:pt idx="47">
                  <c:v>41921</c:v>
                </c:pt>
                <c:pt idx="48">
                  <c:v>41922</c:v>
                </c:pt>
                <c:pt idx="49">
                  <c:v>41925</c:v>
                </c:pt>
                <c:pt idx="50">
                  <c:v>41926</c:v>
                </c:pt>
                <c:pt idx="51">
                  <c:v>41927</c:v>
                </c:pt>
                <c:pt idx="52">
                  <c:v>41928</c:v>
                </c:pt>
                <c:pt idx="53">
                  <c:v>41929</c:v>
                </c:pt>
                <c:pt idx="54">
                  <c:v>41932</c:v>
                </c:pt>
                <c:pt idx="55">
                  <c:v>41933</c:v>
                </c:pt>
                <c:pt idx="56">
                  <c:v>41934</c:v>
                </c:pt>
                <c:pt idx="57">
                  <c:v>41935</c:v>
                </c:pt>
                <c:pt idx="58">
                  <c:v>41936</c:v>
                </c:pt>
                <c:pt idx="59">
                  <c:v>41939</c:v>
                </c:pt>
                <c:pt idx="60">
                  <c:v>41940</c:v>
                </c:pt>
                <c:pt idx="61">
                  <c:v>41941</c:v>
                </c:pt>
                <c:pt idx="62">
                  <c:v>41942</c:v>
                </c:pt>
                <c:pt idx="63">
                  <c:v>41943</c:v>
                </c:pt>
                <c:pt idx="64">
                  <c:v>41946</c:v>
                </c:pt>
                <c:pt idx="65">
                  <c:v>41947</c:v>
                </c:pt>
                <c:pt idx="66">
                  <c:v>41948</c:v>
                </c:pt>
              </c:numCache>
            </c:numRef>
          </c:cat>
          <c:val>
            <c:numRef>
              <c:f>'3M Depo Charts'!$F$17:$F$114</c:f>
              <c:numCache>
                <c:formatCode>0.0000%</c:formatCode>
                <c:ptCount val="98"/>
                <c:pt idx="0">
                  <c:v>1.8503272085734273E-3</c:v>
                </c:pt>
                <c:pt idx="1">
                  <c:v>1.8351175488202781E-3</c:v>
                </c:pt>
                <c:pt idx="2">
                  <c:v>1.8201380999935957E-3</c:v>
                </c:pt>
                <c:pt idx="3">
                  <c:v>1.8053888620933793E-3</c:v>
                </c:pt>
                <c:pt idx="4">
                  <c:v>1.7625224139515298E-3</c:v>
                </c:pt>
                <c:pt idx="5">
                  <c:v>1.7486940197571797E-3</c:v>
                </c:pt>
                <c:pt idx="6">
                  <c:v>1.7350958364892961E-3</c:v>
                </c:pt>
                <c:pt idx="7">
                  <c:v>1.7217278641478788E-3</c:v>
                </c:pt>
                <c:pt idx="8">
                  <c:v>1.7085901027329283E-3</c:v>
                </c:pt>
                <c:pt idx="9">
                  <c:v>1.6705580840468753E-3</c:v>
                </c:pt>
                <c:pt idx="10">
                  <c:v>1.6583411663377906E-3</c:v>
                </c:pt>
                <c:pt idx="11">
                  <c:v>1.6463544595551724E-3</c:v>
                </c:pt>
                <c:pt idx="12">
                  <c:v>1.6345979636990208E-3</c:v>
                </c:pt>
                <c:pt idx="13">
                  <c:v>1.6230716787693357E-3</c:v>
                </c:pt>
                <c:pt idx="14">
                  <c:v>1.5898740895390793E-3</c:v>
                </c:pt>
                <c:pt idx="15">
                  <c:v>1.57926864831526E-3</c:v>
                </c:pt>
                <c:pt idx="16">
                  <c:v>1.5688934180179072E-3</c:v>
                </c:pt>
                <c:pt idx="17">
                  <c:v>1.5587483986470212E-3</c:v>
                </c:pt>
                <c:pt idx="18">
                  <c:v>1.5488335902026015E-3</c:v>
                </c:pt>
                <c:pt idx="19">
                  <c:v>1.5204704304281416E-3</c:v>
                </c:pt>
                <c:pt idx="20">
                  <c:v>1.5114764656895879E-3</c:v>
                </c:pt>
                <c:pt idx="21">
                  <c:v>1.502712711877501E-3</c:v>
                </c:pt>
                <c:pt idx="22">
                  <c:v>1.4941791689918799E-3</c:v>
                </c:pt>
                <c:pt idx="23">
                  <c:v>1.4858758370327261E-3</c:v>
                </c:pt>
                <c:pt idx="24">
                  <c:v>1.4623471067140626E-3</c:v>
                </c:pt>
                <c:pt idx="25">
                  <c:v>1.4549646184607743E-3</c:v>
                </c:pt>
                <c:pt idx="26">
                  <c:v>1.4478123411339528E-3</c:v>
                </c:pt>
                <c:pt idx="27">
                  <c:v>1.4408902747335974E-3</c:v>
                </c:pt>
                <c:pt idx="28">
                  <c:v>1.434198419259709E-3</c:v>
                </c:pt>
                <c:pt idx="29">
                  <c:v>1.415504118396842E-3</c:v>
                </c:pt>
                <c:pt idx="30">
                  <c:v>1.4097331066288193E-3</c:v>
                </c:pt>
                <c:pt idx="31">
                  <c:v>1.4041923057872632E-3</c:v>
                </c:pt>
                <c:pt idx="32">
                  <c:v>1.3988817158721732E-3</c:v>
                </c:pt>
                <c:pt idx="33">
                  <c:v>1.3938013368835504E-3</c:v>
                </c:pt>
                <c:pt idx="34">
                  <c:v>1.3799414654764798E-3</c:v>
                </c:pt>
                <c:pt idx="35">
                  <c:v>1.3757819301937226E-3</c:v>
                </c:pt>
                <c:pt idx="36">
                  <c:v>1.3718526058374321E-3</c:v>
                </c:pt>
                <c:pt idx="37">
                  <c:v>1.368153492407608E-3</c:v>
                </c:pt>
                <c:pt idx="38">
                  <c:v>1.3646845899042501E-3</c:v>
                </c:pt>
                <c:pt idx="39">
                  <c:v>1.3556591479529762E-3</c:v>
                </c:pt>
                <c:pt idx="40">
                  <c:v>1.3531110891554846E-3</c:v>
                </c:pt>
                <c:pt idx="41">
                  <c:v>1.3507932412844593E-3</c:v>
                </c:pt>
                <c:pt idx="42">
                  <c:v>1.3487056043399008E-3</c:v>
                </c:pt>
                <c:pt idx="43">
                  <c:v>1.3468481783218086E-3</c:v>
                </c:pt>
                <c:pt idx="44">
                  <c:v>1.3426571658263313E-3</c:v>
                </c:pt>
                <c:pt idx="45">
                  <c:v>1.3417205835141051E-3</c:v>
                </c:pt>
                <c:pt idx="46">
                  <c:v>1.3410142121283452E-3</c:v>
                </c:pt>
                <c:pt idx="47">
                  <c:v>1.3405380516690523E-3</c:v>
                </c:pt>
                <c:pt idx="48">
                  <c:v>1.3402921021362256E-3</c:v>
                </c:pt>
                <c:pt idx="49">
                  <c:v>1.3409355190965447E-3</c:v>
                </c:pt>
                <c:pt idx="50">
                  <c:v>1.3416104132695839E-3</c:v>
                </c:pt>
                <c:pt idx="51">
                  <c:v>1.3425155183690897E-3</c:v>
                </c:pt>
                <c:pt idx="52">
                  <c:v>1.3436508343950622E-3</c:v>
                </c:pt>
                <c:pt idx="53">
                  <c:v>1.3450163613475011E-3</c:v>
                </c:pt>
                <c:pt idx="54">
                  <c:v>1.3504942077636165E-3</c:v>
                </c:pt>
                <c:pt idx="55">
                  <c:v>1.3527805784219215E-3</c:v>
                </c:pt>
                <c:pt idx="56">
                  <c:v>1.3552971600066929E-3</c:v>
                </c:pt>
                <c:pt idx="57">
                  <c:v>1.3580439525179306E-3</c:v>
                </c:pt>
                <c:pt idx="58">
                  <c:v>1.3610209559556351E-3</c:v>
                </c:pt>
                <c:pt idx="59">
                  <c:v>1.3713332318275469E-3</c:v>
                </c:pt>
                <c:pt idx="60">
                  <c:v>1.3752310789711174E-3</c:v>
                </c:pt>
                <c:pt idx="61">
                  <c:v>1.3793591370411542E-3</c:v>
                </c:pt>
                <c:pt idx="62">
                  <c:v>1.3837174060376575E-3</c:v>
                </c:pt>
                <c:pt idx="63">
                  <c:v>1.3883058859606274E-3</c:v>
                </c:pt>
                <c:pt idx="64">
                  <c:v>1.4034525912883359E-3</c:v>
                </c:pt>
                <c:pt idx="65">
                  <c:v>1.4089619149171718E-3</c:v>
                </c:pt>
                <c:pt idx="66">
                  <c:v>1.4147014494724744E-3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7252480"/>
        <c:axId val="547262464"/>
      </c:lineChart>
      <c:dateAx>
        <c:axId val="54725248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47262464"/>
        <c:crosses val="autoZero"/>
        <c:auto val="1"/>
        <c:lblOffset val="100"/>
        <c:baseTimeUnit val="days"/>
      </c:dateAx>
      <c:valAx>
        <c:axId val="547262464"/>
        <c:scaling>
          <c:orientation val="minMax"/>
          <c:min val="1.0000000000000002E-3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472524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5686698016914555"/>
          <c:y val="0.57744337513366384"/>
          <c:w val="0.19980205599300088"/>
          <c:h val="0.2127401574803149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94685039370078"/>
          <c:y val="5.1400554097404488E-2"/>
          <c:w val="0.84861067366579179"/>
          <c:h val="0.71120151647710705"/>
        </c:manualLayout>
      </c:layout>
      <c:lineChart>
        <c:grouping val="standard"/>
        <c:varyColors val="0"/>
        <c:ser>
          <c:idx val="0"/>
          <c:order val="0"/>
          <c:tx>
            <c:strRef>
              <c:f>'3M Depo Charts'!$K$54</c:f>
              <c:strCache>
                <c:ptCount val="1"/>
              </c:strCache>
            </c:strRef>
          </c:tx>
          <c:cat>
            <c:numRef>
              <c:f>'3M Depo Charts'!$J$55:$J$61</c:f>
              <c:numCache>
                <c:formatCode>ddd\,\ dd\-mmm\-yyyy</c:formatCode>
                <c:ptCount val="7"/>
                <c:pt idx="0">
                  <c:v>41857</c:v>
                </c:pt>
                <c:pt idx="1">
                  <c:v>41863</c:v>
                </c:pt>
                <c:pt idx="2">
                  <c:v>41870</c:v>
                </c:pt>
                <c:pt idx="3">
                  <c:v>41877</c:v>
                </c:pt>
                <c:pt idx="4">
                  <c:v>41887</c:v>
                </c:pt>
                <c:pt idx="5">
                  <c:v>41918</c:v>
                </c:pt>
                <c:pt idx="6">
                  <c:v>41948</c:v>
                </c:pt>
              </c:numCache>
            </c:numRef>
          </c:cat>
          <c:val>
            <c:numRef>
              <c:f>'3M Depo Charts'!$K$55:$K$61</c:f>
            </c:numRef>
          </c:val>
          <c:smooth val="0"/>
        </c:ser>
        <c:ser>
          <c:idx val="1"/>
          <c:order val="1"/>
          <c:tx>
            <c:strRef>
              <c:f>'3M Depo Charts'!$M$54</c:f>
              <c:strCache>
                <c:ptCount val="1"/>
                <c:pt idx="0">
                  <c:v>flat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5"/>
          </c:marker>
          <c:cat>
            <c:numRef>
              <c:f>'3M Depo Charts'!$J$55:$J$61</c:f>
              <c:numCache>
                <c:formatCode>ddd\,\ dd\-mmm\-yyyy</c:formatCode>
                <c:ptCount val="7"/>
                <c:pt idx="0">
                  <c:v>41857</c:v>
                </c:pt>
                <c:pt idx="1">
                  <c:v>41863</c:v>
                </c:pt>
                <c:pt idx="2">
                  <c:v>41870</c:v>
                </c:pt>
                <c:pt idx="3">
                  <c:v>41877</c:v>
                </c:pt>
                <c:pt idx="4">
                  <c:v>41887</c:v>
                </c:pt>
                <c:pt idx="5">
                  <c:v>41918</c:v>
                </c:pt>
                <c:pt idx="6">
                  <c:v>41948</c:v>
                </c:pt>
              </c:numCache>
            </c:numRef>
          </c:cat>
          <c:val>
            <c:numRef>
              <c:f>'3M Depo Charts'!$M$55:$M$61</c:f>
              <c:numCache>
                <c:formatCode>0.0000%</c:formatCode>
                <c:ptCount val="7"/>
                <c:pt idx="0">
                  <c:v>1.9499998017215802E-3</c:v>
                </c:pt>
                <c:pt idx="1">
                  <c:v>1.7799999999887257E-3</c:v>
                </c:pt>
                <c:pt idx="2">
                  <c:v>1.8600000000018112E-3</c:v>
                </c:pt>
                <c:pt idx="3">
                  <c:v>1.8900000000002944E-3</c:v>
                </c:pt>
                <c:pt idx="4">
                  <c:v>2.0700000000004053E-3</c:v>
                </c:pt>
                <c:pt idx="5">
                  <c:v>2.1100000000004097E-3</c:v>
                </c:pt>
                <c:pt idx="6">
                  <c:v>2.0800000000000003E-3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 Depo Charts'!$N$54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noFill/>
              <a:prstDash val="dash"/>
            </a:ln>
          </c:spPr>
          <c:marker>
            <c:symbol val="triangle"/>
            <c:size val="5"/>
          </c:marker>
          <c:cat>
            <c:numRef>
              <c:f>'3M Depo Charts'!$J$55:$J$61</c:f>
              <c:numCache>
                <c:formatCode>ddd\,\ dd\-mmm\-yyyy</c:formatCode>
                <c:ptCount val="7"/>
                <c:pt idx="0">
                  <c:v>41857</c:v>
                </c:pt>
                <c:pt idx="1">
                  <c:v>41863</c:v>
                </c:pt>
                <c:pt idx="2">
                  <c:v>41870</c:v>
                </c:pt>
                <c:pt idx="3">
                  <c:v>41877</c:v>
                </c:pt>
                <c:pt idx="4">
                  <c:v>41887</c:v>
                </c:pt>
                <c:pt idx="5">
                  <c:v>41918</c:v>
                </c:pt>
                <c:pt idx="6">
                  <c:v>41948</c:v>
                </c:pt>
              </c:numCache>
            </c:numRef>
          </c:cat>
          <c:val>
            <c:numRef>
              <c:f>'3M Depo Charts'!$N$55:$N$61</c:f>
              <c:numCache>
                <c:formatCode>0.0000%</c:formatCode>
                <c:ptCount val="7"/>
                <c:pt idx="0">
                  <c:v>2.0850105224173472E-3</c:v>
                </c:pt>
                <c:pt idx="1">
                  <c:v>1.9061089149243322E-3</c:v>
                </c:pt>
                <c:pt idx="2">
                  <c:v>1.9757234748838969E-3</c:v>
                </c:pt>
                <c:pt idx="3">
                  <c:v>1.9953380348288604E-3</c:v>
                </c:pt>
                <c:pt idx="4">
                  <c:v>2.1605016918953704E-3</c:v>
                </c:pt>
                <c:pt idx="5">
                  <c:v>2.1545090288012129E-3</c:v>
                </c:pt>
                <c:pt idx="6">
                  <c:v>2.0800000000000011E-3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'3M Depo Charts'!$O$54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noFill/>
              <a:prstDash val="sysDash"/>
            </a:ln>
          </c:spPr>
          <c:marker>
            <c:symbol val="square"/>
            <c:size val="5"/>
            <c:spPr>
              <a:solidFill>
                <a:schemeClr val="accent1"/>
              </a:solidFill>
            </c:spPr>
          </c:marker>
          <c:cat>
            <c:numRef>
              <c:f>'3M Depo Charts'!$J$55:$J$61</c:f>
              <c:numCache>
                <c:formatCode>ddd\,\ dd\-mmm\-yyyy</c:formatCode>
                <c:ptCount val="7"/>
                <c:pt idx="0">
                  <c:v>41857</c:v>
                </c:pt>
                <c:pt idx="1">
                  <c:v>41863</c:v>
                </c:pt>
                <c:pt idx="2">
                  <c:v>41870</c:v>
                </c:pt>
                <c:pt idx="3">
                  <c:v>41877</c:v>
                </c:pt>
                <c:pt idx="4">
                  <c:v>41887</c:v>
                </c:pt>
                <c:pt idx="5">
                  <c:v>41918</c:v>
                </c:pt>
                <c:pt idx="6">
                  <c:v>41948</c:v>
                </c:pt>
              </c:numCache>
            </c:numRef>
          </c:cat>
          <c:val>
            <c:numRef>
              <c:f>'3M Depo Charts'!$O$55:$O$61</c:f>
              <c:numCache>
                <c:formatCode>0.0000%</c:formatCode>
                <c:ptCount val="7"/>
                <c:pt idx="0">
                  <c:v>2.3174604866618102E-3</c:v>
                </c:pt>
                <c:pt idx="1">
                  <c:v>2.1039326329687648E-3</c:v>
                </c:pt>
                <c:pt idx="2">
                  <c:v>2.136593608868954E-3</c:v>
                </c:pt>
                <c:pt idx="3">
                  <c:v>2.1229631881726856E-3</c:v>
                </c:pt>
                <c:pt idx="4">
                  <c:v>2.2470673073954452E-3</c:v>
                </c:pt>
                <c:pt idx="5">
                  <c:v>2.1618883927454805E-3</c:v>
                </c:pt>
                <c:pt idx="6">
                  <c:v>2.079999999999999E-3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7395072"/>
        <c:axId val="547396608"/>
      </c:lineChart>
      <c:dateAx>
        <c:axId val="54739507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547396608"/>
        <c:crosses val="autoZero"/>
        <c:auto val="1"/>
        <c:lblOffset val="100"/>
        <c:baseTimeUnit val="days"/>
        <c:majorUnit val="7"/>
        <c:majorTimeUnit val="days"/>
      </c:dateAx>
      <c:valAx>
        <c:axId val="547396608"/>
        <c:scaling>
          <c:orientation val="minMax"/>
          <c:min val="1.5000000000000005E-3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473950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8660536046132923"/>
          <c:y val="0.4484981044036162"/>
          <c:w val="0.1671659290763837"/>
          <c:h val="0.2511515748031495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590550</xdr:colOff>
      <xdr:row>21</xdr:row>
      <xdr:rowOff>0</xdr:rowOff>
    </xdr:from>
    <xdr:to>
      <xdr:col>41</xdr:col>
      <xdr:colOff>466725</xdr:colOff>
      <xdr:row>40</xdr:row>
      <xdr:rowOff>28575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142875</xdr:colOff>
      <xdr:row>1</xdr:row>
      <xdr:rowOff>9525</xdr:rowOff>
    </xdr:from>
    <xdr:to>
      <xdr:col>20</xdr:col>
      <xdr:colOff>295275</xdr:colOff>
      <xdr:row>23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142873</xdr:colOff>
      <xdr:row>23</xdr:row>
      <xdr:rowOff>23811</xdr:rowOff>
    </xdr:from>
    <xdr:to>
      <xdr:col>20</xdr:col>
      <xdr:colOff>295273</xdr:colOff>
      <xdr:row>48</xdr:row>
      <xdr:rowOff>100011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66676</xdr:colOff>
      <xdr:row>15</xdr:row>
      <xdr:rowOff>114300</xdr:rowOff>
    </xdr:from>
    <xdr:to>
      <xdr:col>15</xdr:col>
      <xdr:colOff>647701</xdr:colOff>
      <xdr:row>37</xdr:row>
      <xdr:rowOff>66675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657225</xdr:colOff>
      <xdr:row>1</xdr:row>
      <xdr:rowOff>28575</xdr:rowOff>
    </xdr:from>
    <xdr:ext cx="838200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6972300" y="180975"/>
              <a:ext cx="838200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6972300" y="180975"/>
              <a:ext cx="838200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∆_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0</xdr:colOff>
      <xdr:row>6</xdr:row>
      <xdr:rowOff>90487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4391025" y="1176337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1,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4391025" y="1176337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1,𝑜𝑛@)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95250</xdr:colOff>
      <xdr:row>6</xdr:row>
      <xdr:rowOff>76200</xdr:rowOff>
    </xdr:from>
    <xdr:ext cx="561975" cy="2693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5019675" y="1162050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2,</m:t>
                        </m:r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5019675" y="1162050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2,𝑜𝑛</a:t>
              </a:r>
              <a:r>
                <a:rPr lang="en-US" sz="1100" b="0" i="0">
                  <a:solidFill>
                    <a:schemeClr val="bg1"/>
                  </a:solidFill>
                  <a:latin typeface="Cambria Math"/>
                </a:rPr>
                <a:t>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2</xdr:col>
      <xdr:colOff>276225</xdr:colOff>
      <xdr:row>14</xdr:row>
      <xdr:rowOff>142875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3514725" y="2400300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3514725" y="2400300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657225</xdr:colOff>
      <xdr:row>1</xdr:row>
      <xdr:rowOff>19050</xdr:rowOff>
    </xdr:from>
    <xdr:ext cx="762000" cy="233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5581650" y="171450"/>
              <a:ext cx="76200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5581650" y="171450"/>
              <a:ext cx="76200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0</xdr:colOff>
      <xdr:row>9</xdr:row>
      <xdr:rowOff>0</xdr:rowOff>
    </xdr:from>
    <xdr:ext cx="762000" cy="233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7743825" y="1485900"/>
              <a:ext cx="76200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7743825" y="1485900"/>
              <a:ext cx="76200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38100</xdr:colOff>
      <xdr:row>1</xdr:row>
      <xdr:rowOff>28575</xdr:rowOff>
    </xdr:from>
    <xdr:ext cx="619126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635317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635317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13</xdr:col>
      <xdr:colOff>19050</xdr:colOff>
      <xdr:row>41</xdr:row>
      <xdr:rowOff>66675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10953750" y="62579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10953750" y="62579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14</xdr:col>
      <xdr:colOff>38100</xdr:colOff>
      <xdr:row>41</xdr:row>
      <xdr:rowOff>76200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11515725" y="62674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3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𝑀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11515725" y="62674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3𝑀@)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15</xdr:col>
      <xdr:colOff>19050</xdr:colOff>
      <xdr:row>41</xdr:row>
      <xdr:rowOff>76200</xdr:rowOff>
    </xdr:from>
    <xdr:ext cx="561975" cy="219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/>
            <xdr:cNvSpPr txBox="1"/>
          </xdr:nvSpPr>
          <xdr:spPr>
            <a:xfrm>
              <a:off x="12192000" y="62674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12192000" y="62674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twoCellAnchor editAs="absolute">
    <xdr:from>
      <xdr:col>7</xdr:col>
      <xdr:colOff>152399</xdr:colOff>
      <xdr:row>63</xdr:row>
      <xdr:rowOff>4762</xdr:rowOff>
    </xdr:from>
    <xdr:to>
      <xdr:col>16</xdr:col>
      <xdr:colOff>38099</xdr:colOff>
      <xdr:row>85</xdr:row>
      <xdr:rowOff>61912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"/>
      <sheetName val="Swap6M"/>
      <sheetName val="ON"/>
      <sheetName val="1M (3)"/>
      <sheetName val="3M (4)"/>
      <sheetName val="6M (3)"/>
      <sheetName val="1Y (3)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8</v>
          </cell>
        </row>
        <row r="7">
          <cell r="D7">
            <v>2</v>
          </cell>
        </row>
      </sheetData>
      <sheetData sheetId="1">
        <row r="7">
          <cell r="D7" t="str">
            <v>EURSTD</v>
          </cell>
        </row>
      </sheetData>
      <sheetData sheetId="2">
        <row r="6">
          <cell r="D6" t="str">
            <v>6E</v>
          </cell>
        </row>
        <row r="7">
          <cell r="D7" t="str">
            <v>6E</v>
          </cell>
        </row>
      </sheetData>
      <sheetData sheetId="3">
        <row r="6">
          <cell r="D6" t="str">
            <v>6E</v>
          </cell>
        </row>
        <row r="7">
          <cell r="D7" t="str">
            <v>6E</v>
          </cell>
        </row>
      </sheetData>
      <sheetData sheetId="4">
        <row r="6">
          <cell r="D6" t="str">
            <v>12E</v>
          </cell>
        </row>
        <row r="7">
          <cell r="D7" t="str">
            <v>12E</v>
          </cell>
        </row>
      </sheetData>
      <sheetData sheetId="5">
        <row r="6">
          <cell r="D6" t="str">
            <v>EURTND_Quote#0000</v>
          </cell>
        </row>
        <row r="7">
          <cell r="D7" t="str">
            <v>EURSND_Quote#0000</v>
          </cell>
        </row>
      </sheetData>
      <sheetData sheetId="6">
        <row r="6">
          <cell r="D6" t="str">
            <v>EURTOM3F1_Quote</v>
          </cell>
        </row>
        <row r="7">
          <cell r="D7" t="str">
            <v>EUR1x4F_Quote</v>
          </cell>
        </row>
      </sheetData>
      <sheetData sheetId="7">
        <row r="6">
          <cell r="D6" t="str">
            <v>Q4</v>
          </cell>
        </row>
        <row r="7">
          <cell r="D7" t="str">
            <v>U4</v>
          </cell>
        </row>
      </sheetData>
      <sheetData sheetId="8">
        <row r="6">
          <cell r="D6" t="str">
            <v>Future Code</v>
          </cell>
        </row>
        <row r="7">
          <cell r="D7" t="str">
            <v>Q4</v>
          </cell>
        </row>
      </sheetData>
      <sheetData sheetId="9">
        <row r="6">
          <cell r="D6" t="str">
            <v>Q4</v>
          </cell>
        </row>
        <row r="7">
          <cell r="D7" t="str">
            <v>U4</v>
          </cell>
        </row>
      </sheetData>
      <sheetData sheetId="10">
        <row r="6">
          <cell r="D6" t="str">
            <v/>
          </cell>
        </row>
      </sheetData>
      <sheetData sheetId="11">
        <row r="6">
          <cell r="D6" t="str">
            <v>2W</v>
          </cell>
        </row>
        <row r="7">
          <cell r="D7" t="str">
            <v>3W</v>
          </cell>
        </row>
      </sheetData>
      <sheetData sheetId="12">
        <row r="6">
          <cell r="D6" t="str">
            <v>X1S</v>
          </cell>
        </row>
        <row r="7">
          <cell r="D7" t="str">
            <v>X1S</v>
          </cell>
        </row>
      </sheetData>
      <sheetData sheetId="13">
        <row r="6">
          <cell r="D6">
            <v>12</v>
          </cell>
        </row>
        <row r="7">
          <cell r="D7">
            <v>12</v>
          </cell>
        </row>
      </sheetData>
      <sheetData sheetId="14">
        <row r="6">
          <cell r="D6" t="str">
            <v>3E</v>
          </cell>
        </row>
        <row r="7">
          <cell r="D7" t="str">
            <v>3E</v>
          </cell>
        </row>
      </sheetData>
      <sheetData sheetId="15">
        <row r="6">
          <cell r="D6" t="str">
            <v>6E</v>
          </cell>
        </row>
        <row r="7">
          <cell r="D7" t="str">
            <v>6E</v>
          </cell>
        </row>
      </sheetData>
      <sheetData sheetId="16"/>
      <sheetData sheetId="17">
        <row r="6">
          <cell r="D6" t="str">
            <v>1E</v>
          </cell>
        </row>
        <row r="7">
          <cell r="D7" t="str">
            <v>1E</v>
          </cell>
        </row>
      </sheetData>
      <sheetData sheetId="18">
        <row r="6">
          <cell r="D6" t="str">
            <v>3E</v>
          </cell>
        </row>
        <row r="7">
          <cell r="D7" t="str">
            <v>3E</v>
          </cell>
        </row>
      </sheetData>
      <sheetData sheetId="19">
        <row r="6">
          <cell r="D6" t="str">
            <v>6E</v>
          </cell>
        </row>
        <row r="7">
          <cell r="D7" t="str">
            <v>6E</v>
          </cell>
        </row>
      </sheetData>
      <sheetData sheetId="20">
        <row r="6">
          <cell r="D6" t="str">
            <v>12E</v>
          </cell>
        </row>
        <row r="7">
          <cell r="D7" t="str">
            <v>12E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J46"/>
  <sheetViews>
    <sheetView workbookViewId="0">
      <selection activeCell="J18" sqref="J18"/>
    </sheetView>
  </sheetViews>
  <sheetFormatPr defaultColWidth="10.6640625" defaultRowHeight="11.25" x14ac:dyDescent="0.2"/>
  <cols>
    <col min="1" max="1" width="2.83203125" style="1" customWidth="1"/>
    <col min="2" max="2" width="5.33203125" style="1" customWidth="1"/>
    <col min="3" max="3" width="24.33203125" style="1" customWidth="1"/>
    <col min="4" max="4" width="35.83203125" style="1" customWidth="1"/>
    <col min="5" max="5" width="5" style="1" customWidth="1"/>
    <col min="6" max="6" width="2.83203125" style="1" customWidth="1"/>
    <col min="7" max="7" width="3.5" style="1" customWidth="1"/>
    <col min="8" max="8" width="4.5" style="1" customWidth="1"/>
    <col min="9" max="9" width="27.5" style="1" bestFit="1" customWidth="1"/>
    <col min="10" max="10" width="39.33203125" style="1" bestFit="1" customWidth="1"/>
    <col min="11" max="11" width="4.6640625" style="1" customWidth="1"/>
    <col min="12" max="16384" width="10.6640625" style="1"/>
  </cols>
  <sheetData>
    <row r="1" spans="1:36" ht="12" thickBot="1" x14ac:dyDescent="0.25">
      <c r="B1" s="1" t="str">
        <f>_xll.qlxlVersion(TRUE,EvaluationDate)</f>
        <v>QuantLibXL 1.5.0 - MS VC++ 9.0 - Multithreaded Dynamic Runtime library - Release Configuration - Jun 25 2014 10:33:09</v>
      </c>
    </row>
    <row r="2" spans="1:36" ht="19.5" thickBot="1" x14ac:dyDescent="0.3">
      <c r="B2" s="358" t="s">
        <v>0</v>
      </c>
      <c r="C2" s="358"/>
      <c r="D2" s="358"/>
      <c r="E2" s="358"/>
      <c r="F2" s="359"/>
      <c r="H2" s="366" t="s">
        <v>5</v>
      </c>
      <c r="I2" s="367"/>
      <c r="J2" s="367"/>
      <c r="K2" s="368"/>
    </row>
    <row r="3" spans="1:36" x14ac:dyDescent="0.2">
      <c r="B3" s="2"/>
      <c r="C3" s="3"/>
      <c r="D3" s="3"/>
      <c r="E3" s="3"/>
      <c r="F3" s="4"/>
      <c r="H3" s="9"/>
      <c r="I3" s="10"/>
      <c r="J3" s="10"/>
      <c r="K3" s="11"/>
    </row>
    <row r="4" spans="1:36" x14ac:dyDescent="0.2">
      <c r="B4" s="2"/>
      <c r="C4" s="5" t="s">
        <v>1</v>
      </c>
      <c r="D4" s="6" t="s">
        <v>2</v>
      </c>
      <c r="E4" s="3"/>
      <c r="F4" s="4"/>
      <c r="H4" s="9"/>
      <c r="I4" s="13" t="s">
        <v>9</v>
      </c>
      <c r="J4" s="14" t="b">
        <v>1</v>
      </c>
      <c r="K4" s="15"/>
    </row>
    <row r="5" spans="1:36" s="8" customFormat="1" x14ac:dyDescent="0.2">
      <c r="A5" s="1"/>
      <c r="B5" s="2"/>
      <c r="C5" s="5" t="s">
        <v>3</v>
      </c>
      <c r="D5" s="7" t="s">
        <v>4</v>
      </c>
      <c r="E5" s="3"/>
      <c r="F5" s="4"/>
      <c r="G5" s="1"/>
      <c r="H5" s="9"/>
      <c r="I5" s="13" t="s">
        <v>10</v>
      </c>
      <c r="J5" s="14" t="b">
        <v>1</v>
      </c>
      <c r="K5" s="1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s="8" customFormat="1" x14ac:dyDescent="0.2">
      <c r="A6" s="1"/>
      <c r="B6" s="2"/>
      <c r="C6" s="5" t="s">
        <v>6</v>
      </c>
      <c r="D6" s="7" t="str">
        <f>IF(UPPER(Currency)&lt;&gt;"EUR","L","")&amp;"ibor"</f>
        <v>ibor</v>
      </c>
      <c r="E6" s="3"/>
      <c r="F6" s="4"/>
      <c r="G6" s="1"/>
      <c r="H6" s="9"/>
      <c r="I6" s="13" t="s">
        <v>12</v>
      </c>
      <c r="J6" s="14" t="b">
        <v>0</v>
      </c>
      <c r="K6" s="1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">
      <c r="B7" s="2"/>
      <c r="C7" s="5" t="s">
        <v>7</v>
      </c>
      <c r="D7" s="12" t="s">
        <v>8</v>
      </c>
      <c r="E7" s="3"/>
      <c r="F7" s="4"/>
      <c r="H7" s="9"/>
      <c r="I7" s="13" t="s">
        <v>14</v>
      </c>
      <c r="J7" s="18"/>
      <c r="K7" s="15"/>
    </row>
    <row r="8" spans="1:36" x14ac:dyDescent="0.2">
      <c r="B8" s="2"/>
      <c r="C8" s="5" t="s">
        <v>13</v>
      </c>
      <c r="D8" s="17" t="str">
        <f>Currency&amp;"ON"</f>
        <v>EURON</v>
      </c>
      <c r="E8" s="3"/>
      <c r="F8" s="4"/>
      <c r="H8" s="9"/>
      <c r="I8" s="13" t="s">
        <v>16</v>
      </c>
      <c r="J8" s="19" t="b">
        <v>1</v>
      </c>
      <c r="K8" s="15"/>
    </row>
    <row r="9" spans="1:36" x14ac:dyDescent="0.2">
      <c r="B9" s="2"/>
      <c r="C9" s="21"/>
      <c r="D9" s="21"/>
      <c r="E9" s="21"/>
      <c r="F9" s="4"/>
      <c r="H9" s="9"/>
      <c r="I9" s="10"/>
      <c r="J9" s="10"/>
      <c r="K9" s="11"/>
    </row>
    <row r="10" spans="1:36" x14ac:dyDescent="0.2">
      <c r="B10" s="2"/>
      <c r="C10" s="269" t="s">
        <v>25</v>
      </c>
      <c r="D10" s="271">
        <v>41809.395150462966</v>
      </c>
      <c r="E10" s="270"/>
      <c r="F10" s="4"/>
      <c r="H10" s="9"/>
      <c r="I10" s="13" t="s">
        <v>20</v>
      </c>
      <c r="J10" s="19" t="s">
        <v>21</v>
      </c>
      <c r="K10" s="15"/>
    </row>
    <row r="11" spans="1:36" x14ac:dyDescent="0.2">
      <c r="B11" s="2"/>
      <c r="C11" s="269" t="s">
        <v>26</v>
      </c>
      <c r="D11" s="356" t="b">
        <v>1</v>
      </c>
      <c r="E11" s="270"/>
      <c r="F11" s="4"/>
      <c r="H11" s="9"/>
      <c r="I11" s="13" t="s">
        <v>23</v>
      </c>
      <c r="J11" s="20">
        <v>1E-4</v>
      </c>
      <c r="K11" s="15"/>
    </row>
    <row r="12" spans="1:36" x14ac:dyDescent="0.2">
      <c r="B12" s="2"/>
      <c r="C12" s="21"/>
      <c r="D12" s="269"/>
      <c r="E12" s="270"/>
      <c r="F12" s="4"/>
      <c r="H12" s="9"/>
      <c r="I12" s="13" t="s">
        <v>24</v>
      </c>
      <c r="J12" s="22">
        <v>-0.01</v>
      </c>
      <c r="K12" s="15"/>
    </row>
    <row r="13" spans="1:36" ht="12" thickBot="1" x14ac:dyDescent="0.25">
      <c r="B13" s="31"/>
      <c r="C13" s="363"/>
      <c r="D13" s="364"/>
      <c r="E13" s="365"/>
      <c r="F13" s="33"/>
      <c r="H13" s="25"/>
      <c r="I13" s="26"/>
      <c r="J13" s="26"/>
      <c r="K13" s="27"/>
    </row>
    <row r="15" spans="1:36" ht="12" thickBot="1" x14ac:dyDescent="0.25">
      <c r="C15" s="34"/>
      <c r="D15" s="34"/>
      <c r="E15" s="34"/>
      <c r="F15" s="34"/>
    </row>
    <row r="16" spans="1:36" ht="19.5" thickBot="1" x14ac:dyDescent="0.25">
      <c r="B16" s="358" t="s">
        <v>132</v>
      </c>
      <c r="C16" s="358"/>
      <c r="D16" s="358"/>
      <c r="E16" s="358"/>
      <c r="F16" s="359"/>
      <c r="H16" s="358" t="s">
        <v>141</v>
      </c>
      <c r="I16" s="358"/>
      <c r="J16" s="358"/>
      <c r="K16" s="359"/>
    </row>
    <row r="17" spans="2:11" x14ac:dyDescent="0.2">
      <c r="B17" s="243"/>
      <c r="C17" s="244"/>
      <c r="D17" s="245"/>
      <c r="E17" s="246"/>
      <c r="F17" s="247"/>
      <c r="H17" s="182"/>
      <c r="I17" s="35"/>
      <c r="J17" s="35"/>
      <c r="K17" s="186"/>
    </row>
    <row r="18" spans="2:11" x14ac:dyDescent="0.2">
      <c r="B18" s="2"/>
      <c r="C18" s="252" t="s">
        <v>11</v>
      </c>
      <c r="D18" s="16">
        <f>_xll.qlCalendarAdvance(Calendar,EvaluationDate,"2D","f")</f>
        <v>41856</v>
      </c>
      <c r="E18" s="3"/>
      <c r="F18" s="4"/>
      <c r="H18" s="182"/>
      <c r="I18" s="5" t="s">
        <v>27</v>
      </c>
      <c r="J18" s="360">
        <v>41852.589120370372</v>
      </c>
      <c r="K18" s="186"/>
    </row>
    <row r="19" spans="2:11" x14ac:dyDescent="0.2">
      <c r="B19" s="2"/>
      <c r="C19" s="252" t="s">
        <v>15</v>
      </c>
      <c r="D19" s="17" t="str">
        <f>_xll.qlDiscountingSwapEngine(,OisCurve,,,,,EvaluationDate)</f>
        <v>obj_00398#0000</v>
      </c>
      <c r="E19" s="3"/>
      <c r="F19" s="4"/>
      <c r="H19" s="182"/>
      <c r="I19" s="5" t="s">
        <v>28</v>
      </c>
      <c r="J19" s="360">
        <f>_xll.qlSettingsEvaluationDate(Trigger)</f>
        <v>41852</v>
      </c>
      <c r="K19" s="186"/>
    </row>
    <row r="20" spans="2:11" x14ac:dyDescent="0.2">
      <c r="B20" s="2"/>
      <c r="C20" s="252" t="s">
        <v>19</v>
      </c>
      <c r="D20" s="250">
        <f>_xll.qlCalendarAdjust(Calendar,DATE(YEAR(SettlementDate),12,31),"Preceding")</f>
        <v>42004</v>
      </c>
      <c r="E20" s="3"/>
      <c r="F20" s="4"/>
      <c r="H20" s="182"/>
      <c r="I20" s="5" t="s">
        <v>29</v>
      </c>
      <c r="J20" s="361">
        <f>[1]!TriggerCounter</f>
        <v>8</v>
      </c>
      <c r="K20" s="186"/>
    </row>
    <row r="21" spans="2:11" x14ac:dyDescent="0.2">
      <c r="B21" s="2"/>
      <c r="C21" s="252" t="s">
        <v>22</v>
      </c>
      <c r="D21" s="250">
        <f>_xll.qlCalendarAdjust(Calendar,DATE(YEAR(SettlementDate)+1,12,31),"Preceding")</f>
        <v>42369</v>
      </c>
      <c r="E21" s="3"/>
      <c r="F21" s="4"/>
      <c r="H21" s="182"/>
      <c r="I21" s="5" t="s">
        <v>30</v>
      </c>
      <c r="J21" s="362">
        <f>[1]!LastFixingsTrigger</f>
        <v>2</v>
      </c>
      <c r="K21" s="186"/>
    </row>
    <row r="22" spans="2:11" x14ac:dyDescent="0.2">
      <c r="B22" s="2"/>
      <c r="C22" s="357"/>
      <c r="D22" s="357"/>
      <c r="E22" s="3"/>
      <c r="F22" s="4"/>
      <c r="H22" s="182"/>
      <c r="I22" s="5" t="s">
        <v>33</v>
      </c>
      <c r="J22" s="6">
        <f>_xll.ohTrigger(Contribution!W16,Contribution!W22,Contribution!W29,Contribution!W39,Contribution!W55)</f>
        <v>5</v>
      </c>
      <c r="K22" s="186"/>
    </row>
    <row r="23" spans="2:11" ht="12" thickBot="1" x14ac:dyDescent="0.25">
      <c r="B23" s="31"/>
      <c r="C23" s="32"/>
      <c r="D23" s="32"/>
      <c r="E23" s="32"/>
      <c r="F23" s="33"/>
      <c r="H23" s="187"/>
      <c r="I23" s="188"/>
      <c r="J23" s="188"/>
      <c r="K23" s="189"/>
    </row>
    <row r="25" spans="2:11" ht="12" thickBot="1" x14ac:dyDescent="0.25"/>
    <row r="26" spans="2:11" ht="19.5" thickBot="1" x14ac:dyDescent="0.25">
      <c r="B26" s="358" t="s">
        <v>133</v>
      </c>
      <c r="C26" s="358"/>
      <c r="D26" s="358"/>
      <c r="E26" s="358"/>
      <c r="F26" s="359"/>
    </row>
    <row r="27" spans="2:11" x14ac:dyDescent="0.2">
      <c r="B27" s="2"/>
      <c r="C27" s="3"/>
      <c r="D27" s="3"/>
      <c r="E27" s="3"/>
      <c r="F27" s="4"/>
    </row>
    <row r="28" spans="2:11" x14ac:dyDescent="0.2">
      <c r="B28" s="2"/>
      <c r="C28" s="252" t="s">
        <v>31</v>
      </c>
      <c r="D28" s="6" t="s">
        <v>32</v>
      </c>
      <c r="E28" s="3"/>
      <c r="F28" s="4"/>
    </row>
    <row r="29" spans="2:11" x14ac:dyDescent="0.2">
      <c r="B29" s="2"/>
      <c r="C29" s="252" t="s">
        <v>34</v>
      </c>
      <c r="D29" s="249">
        <v>2</v>
      </c>
      <c r="E29" s="3"/>
      <c r="F29" s="4"/>
    </row>
    <row r="30" spans="2:11" x14ac:dyDescent="0.2">
      <c r="B30" s="2"/>
      <c r="C30" s="252" t="s">
        <v>35</v>
      </c>
      <c r="D30" s="7" t="e">
        <v>#N/A</v>
      </c>
      <c r="E30" s="3"/>
      <c r="F30" s="4"/>
    </row>
    <row r="31" spans="2:11" x14ac:dyDescent="0.2">
      <c r="B31" s="2"/>
      <c r="C31" s="252" t="s">
        <v>36</v>
      </c>
      <c r="D31" s="12" t="s">
        <v>37</v>
      </c>
      <c r="E31" s="3"/>
      <c r="F31" s="4"/>
    </row>
    <row r="32" spans="2:11" x14ac:dyDescent="0.2">
      <c r="B32" s="2"/>
      <c r="C32" s="252" t="s">
        <v>38</v>
      </c>
      <c r="D32" s="17" t="s">
        <v>39</v>
      </c>
      <c r="E32" s="3"/>
      <c r="F32" s="4"/>
    </row>
    <row r="33" spans="2:6" x14ac:dyDescent="0.2">
      <c r="B33" s="2"/>
      <c r="C33" s="21"/>
      <c r="D33" s="21"/>
      <c r="E33" s="21"/>
      <c r="F33" s="4"/>
    </row>
    <row r="34" spans="2:6" x14ac:dyDescent="0.2">
      <c r="B34" s="2"/>
      <c r="C34" s="252" t="s">
        <v>134</v>
      </c>
      <c r="D34" s="251" t="b">
        <f>_xll.qlExtrapolatorEnableExtrapolation(YieldCurve,TRUE)</f>
        <v>1</v>
      </c>
      <c r="E34" s="24"/>
      <c r="F34" s="4"/>
    </row>
    <row r="35" spans="2:6" x14ac:dyDescent="0.2">
      <c r="B35" s="2"/>
      <c r="C35" s="21"/>
      <c r="D35" s="28"/>
      <c r="E35" s="29"/>
      <c r="F35" s="4"/>
    </row>
    <row r="36" spans="2:6" x14ac:dyDescent="0.2">
      <c r="B36" s="2"/>
      <c r="C36" s="5" t="s">
        <v>135</v>
      </c>
      <c r="D36" s="253" t="str">
        <f>_xll.qlEuribor(,IborTenor,YieldCurve,,D34)</f>
        <v>obj_003f9#0000</v>
      </c>
      <c r="E36" s="29"/>
      <c r="F36" s="4"/>
    </row>
    <row r="37" spans="2:6" x14ac:dyDescent="0.2">
      <c r="B37" s="2"/>
      <c r="C37" s="5" t="s">
        <v>136</v>
      </c>
      <c r="D37" s="251" t="s">
        <v>138</v>
      </c>
      <c r="E37" s="29"/>
      <c r="F37" s="4"/>
    </row>
    <row r="38" spans="2:6" x14ac:dyDescent="0.2">
      <c r="B38" s="2"/>
      <c r="C38" s="5" t="s">
        <v>137</v>
      </c>
      <c r="D38" s="254" t="str">
        <f>_xll.qlInterpolation(,BasisInterpolation,SynthFra!I2:I6,SynthFra!O2:O6)</f>
        <v>obj_003d3#0000</v>
      </c>
      <c r="E38" s="29"/>
      <c r="F38" s="4"/>
    </row>
    <row r="39" spans="2:6" x14ac:dyDescent="0.2">
      <c r="B39" s="2"/>
      <c r="C39" s="5" t="s">
        <v>17</v>
      </c>
      <c r="D39" s="248" t="s">
        <v>18</v>
      </c>
      <c r="E39" s="3"/>
      <c r="F39" s="4"/>
    </row>
    <row r="40" spans="2:6" x14ac:dyDescent="0.2">
      <c r="B40" s="2"/>
      <c r="C40" s="259" t="s">
        <v>139</v>
      </c>
      <c r="D40" s="260" t="str">
        <f>_xll.qlPiecewiseYieldCurve(,NDays,Calendar,_xll.ohPack(SynthFra!A3:A127),DayCounter,,,Accuracy,TraitsID,InterpolatorID)</f>
        <v>obj_003da#0000</v>
      </c>
      <c r="E40" s="29"/>
      <c r="F40" s="4"/>
    </row>
    <row r="41" spans="2:6" x14ac:dyDescent="0.2">
      <c r="B41" s="2"/>
      <c r="C41" s="261" t="s">
        <v>140</v>
      </c>
      <c r="D41" s="262" t="str">
        <f>_xll.ohRangeRetrieveError(YieldCurve)</f>
        <v/>
      </c>
      <c r="E41" s="29"/>
      <c r="F41" s="4"/>
    </row>
    <row r="42" spans="2:6" x14ac:dyDescent="0.2">
      <c r="B42" s="2"/>
      <c r="C42" s="21"/>
      <c r="D42" s="23"/>
      <c r="E42" s="29"/>
      <c r="F42" s="4"/>
    </row>
    <row r="43" spans="2:6" x14ac:dyDescent="0.2">
      <c r="B43" s="2"/>
      <c r="C43" s="255">
        <f>_xll.qlTermStructureReferenceDate(YieldCurve)</f>
        <v>41856</v>
      </c>
      <c r="D43" s="256">
        <f>MAX(_xll.ohPack(SynthFra!E2:E127))</f>
        <v>1</v>
      </c>
      <c r="E43" s="29"/>
      <c r="F43" s="4"/>
    </row>
    <row r="44" spans="2:6" x14ac:dyDescent="0.2">
      <c r="B44" s="2"/>
      <c r="C44" s="257">
        <f>MAX(_xll.ohPack(SynthFra!D3:D127))</f>
        <v>43682</v>
      </c>
      <c r="D44" s="258">
        <f>MIN(_xll.ohPack(SynthFra!E2:E127))</f>
        <v>0.95934334055391901</v>
      </c>
      <c r="E44" s="29"/>
      <c r="F44" s="4"/>
    </row>
    <row r="45" spans="2:6" x14ac:dyDescent="0.2">
      <c r="B45" s="2"/>
      <c r="C45" s="21"/>
      <c r="D45" s="23"/>
      <c r="E45" s="30"/>
      <c r="F45" s="4"/>
    </row>
    <row r="46" spans="2:6" ht="12" thickBot="1" x14ac:dyDescent="0.25">
      <c r="B46" s="31"/>
      <c r="C46" s="32"/>
      <c r="D46" s="32"/>
      <c r="E46" s="32"/>
      <c r="F46" s="33"/>
    </row>
  </sheetData>
  <conditionalFormatting sqref="D11">
    <cfRule type="cellIs" dxfId="1" priority="2" stopIfTrue="1" operator="equal">
      <formula>TRUE</formula>
    </cfRule>
  </conditionalFormatting>
  <conditionalFormatting sqref="E45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3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32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1">
      <formula1>"Discount,ZeroYield,ForwardRate"</formula1>
    </dataValidation>
    <dataValidation type="list" allowBlank="1" showInputMessage="1" showErrorMessage="1" sqref="D37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V143"/>
  <sheetViews>
    <sheetView topLeftCell="E28" workbookViewId="0">
      <selection activeCell="H34" sqref="H34:H40"/>
    </sheetView>
  </sheetViews>
  <sheetFormatPr defaultRowHeight="11.25" outlineLevelCol="1" x14ac:dyDescent="0.2"/>
  <cols>
    <col min="1" max="1" width="11.6640625" style="36" customWidth="1" outlineLevel="1"/>
    <col min="2" max="2" width="17.83203125" style="36" customWidth="1" outlineLevel="1"/>
    <col min="3" max="3" width="7" style="36" customWidth="1" outlineLevel="1"/>
    <col min="4" max="4" width="31.1640625" style="36" bestFit="1" customWidth="1"/>
    <col min="5" max="6" width="20.1640625" style="36" bestFit="1" customWidth="1"/>
    <col min="7" max="7" width="12.83203125" style="36" bestFit="1" customWidth="1"/>
    <col min="8" max="9" width="10.5" style="36" bestFit="1" customWidth="1"/>
    <col min="10" max="10" width="9.33203125" style="36"/>
    <col min="11" max="12" width="10.5" style="36" bestFit="1" customWidth="1"/>
    <col min="13" max="13" width="2.33203125" style="36" bestFit="1" customWidth="1"/>
    <col min="14" max="17" width="10.5" style="36" customWidth="1"/>
    <col min="18" max="18" width="2.1640625" style="36" customWidth="1"/>
    <col min="19" max="19" width="3.5" style="36" bestFit="1" customWidth="1"/>
    <col min="20" max="20" width="15.33203125" style="36" bestFit="1" customWidth="1"/>
    <col min="21" max="21" width="11.6640625" style="36" bestFit="1" customWidth="1"/>
    <col min="22" max="22" width="5.83203125" style="36" bestFit="1" customWidth="1"/>
    <col min="23" max="23" width="3.5" style="36" bestFit="1" customWidth="1"/>
    <col min="24" max="25" width="10.5" style="36" bestFit="1" customWidth="1"/>
    <col min="26" max="26" width="5.83203125" style="36" bestFit="1" customWidth="1"/>
    <col min="27" max="27" width="2.33203125" style="36" bestFit="1" customWidth="1"/>
    <col min="28" max="28" width="20.1640625" style="36" bestFit="1" customWidth="1"/>
    <col min="29" max="30" width="9.33203125" style="36" bestFit="1" customWidth="1"/>
    <col min="31" max="31" width="11.6640625" style="36" bestFit="1" customWidth="1"/>
    <col min="32" max="34" width="10.5" style="36" bestFit="1" customWidth="1"/>
    <col min="35" max="35" width="1.83203125" style="36" customWidth="1"/>
    <col min="36" max="37" width="10.5" style="36" bestFit="1" customWidth="1"/>
    <col min="38" max="38" width="3.5" style="36" bestFit="1" customWidth="1"/>
    <col min="39" max="40" width="10.5" style="36" bestFit="1" customWidth="1"/>
    <col min="41" max="41" width="2.83203125" style="36" customWidth="1"/>
    <col min="42" max="42" width="28.5" style="36" bestFit="1" customWidth="1"/>
    <col min="43" max="44" width="23" style="36" bestFit="1" customWidth="1"/>
    <col min="45" max="47" width="10.5" style="36" bestFit="1" customWidth="1"/>
    <col min="48" max="48" width="2.83203125" style="36" customWidth="1"/>
    <col min="49" max="16384" width="9.33203125" style="36"/>
  </cols>
  <sheetData>
    <row r="1" spans="1:48" x14ac:dyDescent="0.2">
      <c r="B1" s="37" t="s">
        <v>40</v>
      </c>
      <c r="C1" s="38"/>
      <c r="D1" s="37" t="s">
        <v>41</v>
      </c>
      <c r="E1" s="38" t="s">
        <v>42</v>
      </c>
      <c r="F1" s="39" t="s">
        <v>43</v>
      </c>
      <c r="G1" s="38" t="s">
        <v>44</v>
      </c>
      <c r="H1" s="38" t="s">
        <v>45</v>
      </c>
      <c r="I1" s="40" t="s">
        <v>46</v>
      </c>
      <c r="K1" s="41" t="s">
        <v>47</v>
      </c>
      <c r="L1" s="41" t="s">
        <v>48</v>
      </c>
      <c r="M1" s="41"/>
      <c r="N1" s="42" t="s">
        <v>49</v>
      </c>
      <c r="O1" s="42" t="s">
        <v>50</v>
      </c>
      <c r="P1" s="42" t="s">
        <v>51</v>
      </c>
    </row>
    <row r="2" spans="1:48" x14ac:dyDescent="0.2">
      <c r="A2" s="36">
        <v>1</v>
      </c>
      <c r="B2" s="43" t="str">
        <f>_xll.qlMakeDatedOIS(,E2,F2,OvernightIndex,0,,,,Trigger)</f>
        <v>obj_003c4#0000</v>
      </c>
      <c r="C2" s="44" t="b">
        <f>_xll.qlInstrumentSetPricingEngine(B2,OisEngine)</f>
        <v>1</v>
      </c>
      <c r="D2" s="45" t="str">
        <f>Currency&amp;A3&amp;"D_Quote"</f>
        <v>EUR1MD_Quote</v>
      </c>
      <c r="E2" s="46">
        <f>SettlementDate</f>
        <v>41856</v>
      </c>
      <c r="F2" s="47">
        <f>_xll.qlCalendarAdvance(Calendar,E2,A3,"mf")</f>
        <v>41887</v>
      </c>
      <c r="G2" s="48">
        <f>_xll.qlQuoteValue($D2,AllTriggers)</f>
        <v>8.9999999999999998E-4</v>
      </c>
      <c r="H2" s="49">
        <f>_xll.qlOvernightIndexedSwapFairRate(B2,_xll.ohTrigger(C2,InterestRatesTrigger))</f>
        <v>6.2000000000070961E-4</v>
      </c>
      <c r="I2" s="50">
        <f>G2-H2</f>
        <v>2.7999999999929037E-4</v>
      </c>
      <c r="J2" s="51" t="b">
        <v>0</v>
      </c>
      <c r="K2" s="51"/>
      <c r="L2" s="51"/>
      <c r="M2" s="52"/>
      <c r="N2" s="53">
        <f t="shared" ref="N2:O4" si="0">E2-SettlementDate</f>
        <v>0</v>
      </c>
      <c r="O2" s="53">
        <f t="shared" si="0"/>
        <v>31</v>
      </c>
      <c r="P2" s="52">
        <f>(O2^2-N2^2)/(O2-N2)</f>
        <v>31</v>
      </c>
      <c r="Q2" s="51"/>
      <c r="R2" s="51"/>
      <c r="S2" s="51"/>
      <c r="T2" s="54">
        <f>(O2^3-N2^3)/3/(O2-N2)</f>
        <v>320.33333333333337</v>
      </c>
      <c r="U2" s="54">
        <f>(O2+N2)/2</f>
        <v>15.5</v>
      </c>
      <c r="V2" s="54">
        <v>1</v>
      </c>
    </row>
    <row r="3" spans="1:48" x14ac:dyDescent="0.2">
      <c r="A3" s="36" t="str">
        <f>_xll.qlPeriodEquivalent(A2&amp;"M")</f>
        <v>1M</v>
      </c>
      <c r="B3" s="55" t="str">
        <f>_xll.qlMakeDatedOIS(,E3,F3,OvernightIndex,0,,,,Trigger)</f>
        <v>obj_0034b#0003</v>
      </c>
      <c r="C3" s="56" t="b">
        <f>_xll.qlInstrumentSetPricingEngine(B3,OisEngine)</f>
        <v>1</v>
      </c>
      <c r="D3" s="57" t="str">
        <f>A4&amp;"LastFixing_Quote"</f>
        <v>Euribor1MLastFixing_Quote</v>
      </c>
      <c r="E3" s="58">
        <f>_xll.qlCalendarAdvance(Calendar,_xll.qlLastFixingQuoteReferenceDate(D3),_xll.qlInterestRateIndexFixingDays(A4)&amp;"D","f",,LastFixingsTrigger)</f>
        <v>41856</v>
      </c>
      <c r="F3" s="59">
        <f>_xll.qlInterestRateIndexMaturity(A4,E3)</f>
        <v>41887</v>
      </c>
      <c r="G3" s="60">
        <f>_xll.qlQuoteValue(D3,AllTriggers)</f>
        <v>9.7000000000000005E-4</v>
      </c>
      <c r="H3" s="61">
        <f>_xll.qlOvernightIndexedSwapFairRate(B3,_xll.ohTrigger(C3,InterestRatesTrigger))</f>
        <v>6.2000000000070961E-4</v>
      </c>
      <c r="I3" s="62">
        <f t="shared" ref="I3:I27" si="1">G3-H3</f>
        <v>3.4999999999929044E-4</v>
      </c>
      <c r="J3" s="51" t="b">
        <f>NOT(ISERROR(I3))</f>
        <v>1</v>
      </c>
      <c r="K3" s="63">
        <f>K4</f>
        <v>-6.4591912547360275E-7</v>
      </c>
      <c r="L3" s="61">
        <f>_xll.ohFilter($I$2:$I$3,$J$2:$J$3)-K3*_xll.ohFilter($P$2:$P$3,$J$2:$J$3)</f>
        <v>3.7002349288897213E-4</v>
      </c>
      <c r="M3" s="52"/>
      <c r="N3" s="53">
        <f t="shared" si="0"/>
        <v>0</v>
      </c>
      <c r="O3" s="53">
        <f t="shared" si="0"/>
        <v>31</v>
      </c>
      <c r="P3" s="52">
        <f>(O3^2-N3^2)/(O3-N3)</f>
        <v>31</v>
      </c>
      <c r="Q3" s="51"/>
      <c r="R3" s="51"/>
      <c r="S3" s="51"/>
      <c r="T3" s="54">
        <f>(O3^3-N3^3)/3/(O3-N3)</f>
        <v>320.33333333333337</v>
      </c>
      <c r="U3" s="54">
        <f>(O3+N3)/2</f>
        <v>15.5</v>
      </c>
      <c r="V3" s="54">
        <v>1</v>
      </c>
    </row>
    <row r="4" spans="1:48" x14ac:dyDescent="0.2">
      <c r="A4" s="36" t="str">
        <f>PROPER(Currency)&amp;IborType&amp;SynthDepo!A3</f>
        <v>Euribor1M</v>
      </c>
      <c r="B4" s="55" t="str">
        <f>_xll.qlMakeDatedOIS(,E4,F4,OvernightIndex,0,,,,Trigger)</f>
        <v>obj_0034c#0003</v>
      </c>
      <c r="C4" s="56" t="b">
        <f>_xll.qlInstrumentSetPricingEngine(B4,OisEngine)</f>
        <v>1</v>
      </c>
      <c r="D4" s="64" t="s">
        <v>52</v>
      </c>
      <c r="E4" s="65">
        <f>F3</f>
        <v>41887</v>
      </c>
      <c r="F4" s="66">
        <f>F5</f>
        <v>41918</v>
      </c>
      <c r="G4" s="67">
        <f>((1+G5*(F5-E5)/360)/(1+G3*(F3-E3)/360)-1)/(F4-E4)*360</f>
        <v>1.0099156439924428E-3</v>
      </c>
      <c r="H4" s="68">
        <f>_xll.qlOvernightIndexedSwapFairRate(B4,_xll.ohTrigger(C4,InterestRatesTrigger))</f>
        <v>6.9996262977251576E-4</v>
      </c>
      <c r="I4" s="69">
        <f>G4-H4</f>
        <v>3.0995301421992707E-4</v>
      </c>
      <c r="J4" s="36" t="b">
        <f>NOT(ISERROR(I4))</f>
        <v>1</v>
      </c>
      <c r="K4" s="68">
        <f>(I4-_xll.ohFilter($I$2:$I$3,$J$2:$J$3))/(P4-_xll.ohFilter($P$2:$P$3,$J$2:$J$3))</f>
        <v>-6.4591912547360275E-7</v>
      </c>
      <c r="L4" s="68">
        <f>_xll.ohFilter($I$2:$I$3,$J$2:$J$3)-K4*_xll.ohFilter($P$2:$P$3,$J$2:$J$3)</f>
        <v>3.7002349288897213E-4</v>
      </c>
      <c r="M4" s="70"/>
      <c r="N4" s="71">
        <f t="shared" si="0"/>
        <v>31</v>
      </c>
      <c r="O4" s="71">
        <f t="shared" si="0"/>
        <v>62</v>
      </c>
      <c r="P4" s="70">
        <f>(O4^2-N4^2)/(O4-N4)</f>
        <v>93</v>
      </c>
      <c r="T4" s="72">
        <f>(O4^3-N4^3)/3/(O4-N4)</f>
        <v>2242.333333333333</v>
      </c>
      <c r="U4" s="72">
        <f>(O4+N4)/2</f>
        <v>46.5</v>
      </c>
      <c r="V4" s="72">
        <v>1</v>
      </c>
    </row>
    <row r="5" spans="1:48" x14ac:dyDescent="0.2">
      <c r="B5" s="55"/>
      <c r="C5" s="56"/>
      <c r="D5" s="73" t="str">
        <f>Currency&amp;"2X1S"&amp;QuoteSuffix</f>
        <v>EUR2X1S_Quote</v>
      </c>
      <c r="E5" s="65">
        <f>SettlementDate</f>
        <v>41856</v>
      </c>
      <c r="F5" s="66">
        <f>_xll.qlCalendarAdvance(Calendar,E5,"2M","mf")</f>
        <v>41918</v>
      </c>
      <c r="G5" s="74">
        <f>_xll.qlQuoteValue($D5,AllTriggers)</f>
        <v>9.8999999999999999E-4</v>
      </c>
      <c r="H5" s="68"/>
      <c r="I5" s="69"/>
      <c r="J5" s="36" t="b">
        <v>0</v>
      </c>
      <c r="K5" s="75"/>
      <c r="L5" s="75"/>
      <c r="M5" s="76"/>
      <c r="N5" s="77"/>
      <c r="O5" s="71"/>
      <c r="P5" s="70"/>
      <c r="T5" s="72"/>
      <c r="U5" s="72"/>
      <c r="V5" s="72"/>
    </row>
    <row r="6" spans="1:48" ht="12" thickBot="1" x14ac:dyDescent="0.25">
      <c r="A6" s="36">
        <v>3</v>
      </c>
      <c r="B6" s="43" t="str">
        <f>_xll.qlMakeDatedOIS(,E6,F6,OvernightIndex,0,,,,EvaluationDate)</f>
        <v>obj_003c6#0000</v>
      </c>
      <c r="C6" s="44" t="b">
        <f>_xll.qlInstrumentSetPricingEngine(B6,OisEngine)</f>
        <v>1</v>
      </c>
      <c r="D6" s="45" t="str">
        <f>Currency&amp;A7&amp;"D_Quote"</f>
        <v>EUR3MD_Quote</v>
      </c>
      <c r="E6" s="46">
        <f>SettlementDate</f>
        <v>41856</v>
      </c>
      <c r="F6" s="47">
        <f>_xll.qlCalendarAdvance(Calendar,E6,A7,"mf")</f>
        <v>41948</v>
      </c>
      <c r="G6" s="48">
        <f>_xll.qlQuoteValue($D6,AllTriggers)</f>
        <v>2.0999999999999999E-3</v>
      </c>
      <c r="H6" s="49">
        <f>_xll.qlOvernightIndexedSwapFairRate(B6,_xll.ohTrigger(C6,InterestRatesTrigger))</f>
        <v>6.3000000000030425E-4</v>
      </c>
      <c r="I6" s="50">
        <f t="shared" si="1"/>
        <v>1.4699999999996955E-3</v>
      </c>
      <c r="J6" s="51" t="b">
        <v>0</v>
      </c>
      <c r="K6" s="52"/>
      <c r="L6" s="52"/>
      <c r="M6" s="52"/>
      <c r="N6" s="53">
        <f t="shared" ref="N6:N9" si="2">E6-SettlementDate</f>
        <v>0</v>
      </c>
      <c r="O6" s="53">
        <f t="shared" ref="O6:O9" si="3">F6-SettlementDate</f>
        <v>92</v>
      </c>
      <c r="P6" s="52">
        <f>(O6^2-N6^2)/(O6-N6)</f>
        <v>92</v>
      </c>
      <c r="Q6" s="51"/>
      <c r="R6" s="51"/>
      <c r="S6" s="51"/>
      <c r="T6" s="54">
        <f t="shared" ref="T6:T27" si="4">(O6^3-N6^3)/3/(O6-N6)</f>
        <v>2821.333333333333</v>
      </c>
      <c r="U6" s="54">
        <f t="shared" ref="U6:U27" si="5">(O6+N6)/2</f>
        <v>46</v>
      </c>
      <c r="V6" s="54">
        <v>1</v>
      </c>
      <c r="AO6" s="381"/>
      <c r="AP6" s="381"/>
      <c r="AQ6" s="381"/>
      <c r="AR6" s="381"/>
      <c r="AS6" s="381"/>
      <c r="AT6" s="381"/>
      <c r="AU6" s="381"/>
      <c r="AV6" s="381"/>
    </row>
    <row r="7" spans="1:48" ht="13.5" customHeight="1" thickBot="1" x14ac:dyDescent="0.25">
      <c r="A7" s="36" t="str">
        <f>_xll.qlPeriodEquivalent(A6&amp;"M")</f>
        <v>3M</v>
      </c>
      <c r="B7" s="55" t="str">
        <f>_xll.qlMakeDatedOIS(,E7,F7,OvernightIndex,0,,,,EvaluationDate)</f>
        <v>obj_00349#0003</v>
      </c>
      <c r="C7" s="56" t="b">
        <f>_xll.qlInstrumentSetPricingEngine(B7,OisEngine)</f>
        <v>1</v>
      </c>
      <c r="D7" s="57" t="str">
        <f>A8&amp;"LastFixing_Quote"</f>
        <v>Euribor3MLastFixing_Quote</v>
      </c>
      <c r="E7" s="58">
        <f>_xll.qlCalendarAdvance(Calendar,_xll.qlLastFixingQuoteReferenceDate(D7),_xll.qlInterestRateIndexFixingDays(A8)&amp;"D","f",,LastFixingsTrigger)</f>
        <v>41856</v>
      </c>
      <c r="F7" s="59">
        <f>_xll.qlInterestRateIndexMaturity(A8,E7)</f>
        <v>41948</v>
      </c>
      <c r="G7" s="60">
        <f>_xll.qlQuoteValue(D7,AllTriggers)</f>
        <v>2.0800000000000003E-3</v>
      </c>
      <c r="H7" s="61">
        <f>_xll.qlOvernightIndexedSwapFairRate(B7,_xll.ohTrigger(C7,InterestRatesTrigger))</f>
        <v>6.3000000000030425E-4</v>
      </c>
      <c r="I7" s="62">
        <f t="shared" si="1"/>
        <v>1.4499999999996959E-3</v>
      </c>
      <c r="J7" s="51" t="b">
        <f>AND(NOT(ISERROR(I7)),E10&lt;&gt;SettlementDate)</f>
        <v>1</v>
      </c>
      <c r="K7" s="78"/>
      <c r="L7" s="52"/>
      <c r="M7" s="52"/>
      <c r="N7" s="53">
        <f t="shared" si="2"/>
        <v>0</v>
      </c>
      <c r="O7" s="53">
        <f t="shared" si="3"/>
        <v>92</v>
      </c>
      <c r="P7" s="52">
        <f t="shared" ref="P7:P27" si="6">(O7^2-N7^2)/(O7-N7)</f>
        <v>92</v>
      </c>
      <c r="Q7" s="51"/>
      <c r="R7" s="51"/>
      <c r="S7" s="51"/>
      <c r="T7" s="54">
        <f t="shared" si="4"/>
        <v>2821.333333333333</v>
      </c>
      <c r="U7" s="54">
        <f t="shared" si="5"/>
        <v>46</v>
      </c>
      <c r="V7" s="54">
        <v>1</v>
      </c>
      <c r="AO7" s="381"/>
      <c r="AP7" s="379" t="s">
        <v>148</v>
      </c>
      <c r="AQ7" s="380" t="s">
        <v>127</v>
      </c>
      <c r="AR7" s="380" t="s">
        <v>128</v>
      </c>
      <c r="AS7" s="380" t="s">
        <v>104</v>
      </c>
      <c r="AT7" s="380" t="s">
        <v>45</v>
      </c>
      <c r="AU7" s="380" t="s">
        <v>149</v>
      </c>
      <c r="AV7" s="381"/>
    </row>
    <row r="8" spans="1:48" ht="13.5" customHeight="1" x14ac:dyDescent="0.25">
      <c r="A8" s="36" t="str">
        <f>PROPER(Currency)&amp;IborType&amp;SynthDepo!A7</f>
        <v>Euribor3M</v>
      </c>
      <c r="B8" s="79"/>
      <c r="C8" s="56"/>
      <c r="D8" s="57"/>
      <c r="E8" s="58"/>
      <c r="F8" s="59"/>
      <c r="G8" s="80"/>
      <c r="H8" s="61"/>
      <c r="I8" s="62" t="e">
        <f>NA()</f>
        <v>#N/A</v>
      </c>
      <c r="J8" s="51" t="b">
        <v>0</v>
      </c>
      <c r="K8" s="51"/>
      <c r="L8" s="51"/>
      <c r="M8" s="52"/>
      <c r="N8" s="53">
        <v>0</v>
      </c>
      <c r="O8" s="53">
        <f t="shared" si="3"/>
        <v>-41856</v>
      </c>
      <c r="P8" s="52">
        <f t="shared" si="6"/>
        <v>-41856</v>
      </c>
      <c r="Q8" s="51"/>
      <c r="R8" s="51"/>
      <c r="S8" s="51"/>
      <c r="T8" s="54">
        <f t="shared" si="4"/>
        <v>583974912</v>
      </c>
      <c r="U8" s="54">
        <f t="shared" si="5"/>
        <v>-20928</v>
      </c>
      <c r="V8" s="54">
        <v>1</v>
      </c>
      <c r="AB8" s="36" t="s">
        <v>53</v>
      </c>
      <c r="AF8" s="36" t="s">
        <v>54</v>
      </c>
      <c r="AJ8" s="36" t="s">
        <v>55</v>
      </c>
      <c r="AO8" s="381"/>
      <c r="AP8" s="382" t="s">
        <v>147</v>
      </c>
      <c r="AQ8" s="383">
        <v>41852</v>
      </c>
      <c r="AR8" s="383">
        <v>41946</v>
      </c>
      <c r="AS8" s="384">
        <v>2.0899999999999998E-3</v>
      </c>
      <c r="AT8" s="384">
        <v>6.4999999999362844E-4</v>
      </c>
      <c r="AU8" s="385">
        <v>1.4400000000063715E-3</v>
      </c>
      <c r="AV8" s="381"/>
    </row>
    <row r="9" spans="1:48" ht="13.5" customHeight="1" x14ac:dyDescent="0.25">
      <c r="B9" s="79"/>
      <c r="C9" s="56"/>
      <c r="D9" s="57"/>
      <c r="E9" s="58"/>
      <c r="F9" s="59"/>
      <c r="G9" s="80"/>
      <c r="H9" s="61"/>
      <c r="I9" s="62" t="e">
        <f>NA()</f>
        <v>#N/A</v>
      </c>
      <c r="J9" s="51" t="b">
        <v>0</v>
      </c>
      <c r="K9" s="61">
        <f>AVERAGE(_xll.ohFilter(K10:K12,J10:J12))</f>
        <v>-4.5793625107470094E-7</v>
      </c>
      <c r="L9" s="61">
        <f>_xll.ohFilter($I$6:$I$9,$J$6:$J$9)-K9*_xll.ohFilter($P$6:$P$9,$J$6:$J$9)</f>
        <v>1.4921301350985683E-3</v>
      </c>
      <c r="M9" s="52"/>
      <c r="N9" s="53">
        <f t="shared" si="2"/>
        <v>-41856</v>
      </c>
      <c r="O9" s="53">
        <f t="shared" si="3"/>
        <v>-41856</v>
      </c>
      <c r="P9" s="52" t="e">
        <f t="shared" si="6"/>
        <v>#DIV/0!</v>
      </c>
      <c r="Q9" s="51"/>
      <c r="R9" s="51"/>
      <c r="S9" s="51"/>
      <c r="T9" s="54" t="e">
        <f t="shared" si="4"/>
        <v>#DIV/0!</v>
      </c>
      <c r="U9" s="54">
        <f t="shared" si="5"/>
        <v>-41856</v>
      </c>
      <c r="V9" s="54">
        <v>1</v>
      </c>
      <c r="X9" s="81">
        <f t="array" ref="X9:X11">_xll.ohFilter(T6:T14,$J6:$J14)</f>
        <v>2821.333333333333</v>
      </c>
      <c r="Y9" s="84">
        <f t="array" ref="Y9:Y11">_xll.ohFilter(U6:U14,$J6:$J14)</f>
        <v>46</v>
      </c>
      <c r="Z9" s="87">
        <f t="array" ref="Z9:Z11">_xll.ohFilter(V6:V14,$J6:$J14)</f>
        <v>1</v>
      </c>
      <c r="AB9" s="90">
        <f t="array" ref="AB9:AB11">MMULT(AF9:AH11,AD9:AD11)</f>
        <v>1.1352867606567036E-7</v>
      </c>
      <c r="AD9" s="90">
        <f t="array" ref="AD9:AD11">_xll.ohFilter(I6:I14,$J6:$J14)</f>
        <v>1.4499999999996959E-3</v>
      </c>
      <c r="AF9" s="93">
        <f t="array" ref="AF9:AH11">MINVERSE(X9:Z11)</f>
        <v>1.5893656985984733E-3</v>
      </c>
      <c r="AG9" s="94">
        <v>-2.4562924432885501E-3</v>
      </c>
      <c r="AH9" s="95">
        <v>8.6692674469007627E-4</v>
      </c>
      <c r="AJ9" s="102">
        <f t="array" ref="AJ9:AJ11">MMULT(X9:Z11,AB9:AB11)-AD9:AD11</f>
        <v>-4.3368086899420177E-19</v>
      </c>
      <c r="AO9" s="381"/>
      <c r="AP9" s="386" t="s">
        <v>145</v>
      </c>
      <c r="AQ9" s="387">
        <v>41871</v>
      </c>
      <c r="AR9" s="387">
        <v>41963</v>
      </c>
      <c r="AS9" s="388">
        <v>2.074999999999938E-3</v>
      </c>
      <c r="AT9" s="388">
        <v>6.960283630131276E-4</v>
      </c>
      <c r="AU9" s="389">
        <v>1.3789716369868104E-3</v>
      </c>
      <c r="AV9" s="381"/>
    </row>
    <row r="10" spans="1:48" ht="13.5" customHeight="1" thickBot="1" x14ac:dyDescent="0.3">
      <c r="A10" s="36" t="str">
        <f>_xll.qlIMMNextCode(SettlementDate-1,FALSE)</f>
        <v>Q4</v>
      </c>
      <c r="B10" s="79" t="str">
        <f>_xll.qlMakeDatedOIS(,E10,F10,OvernightIndex,0,,,,EvaluationDate)</f>
        <v>obj_003d0#0000</v>
      </c>
      <c r="C10" s="56" t="b">
        <f>_xll.qlInstrumentSetPricingEngine(B10,OisEngine)</f>
        <v>1</v>
      </c>
      <c r="D10" s="64" t="str">
        <f>Currency&amp;"FUT3M"&amp;A10&amp;QuoteSuffix</f>
        <v>EURFUT3MQ4_Quote</v>
      </c>
      <c r="E10" s="65">
        <f>_xll.qlIMMdate(A10)</f>
        <v>41871</v>
      </c>
      <c r="F10" s="66">
        <f>_xll.qlCalendarAdvance(Calendar,E10,"3M","mf")</f>
        <v>41963</v>
      </c>
      <c r="G10" s="74">
        <f>1-_xll.qlQuoteValue($D10,AllTriggers)/100</f>
        <v>2.074999999999938E-3</v>
      </c>
      <c r="H10" s="68">
        <f>_xll.qlOvernightIndexedSwapFairRate(B10,_xll.ohTrigger(C10,InterestRatesTrigger))</f>
        <v>6.6950902880104422E-4</v>
      </c>
      <c r="I10" s="69">
        <f t="shared" si="1"/>
        <v>1.4054909711988938E-3</v>
      </c>
      <c r="J10" s="36" t="b">
        <f>AND(NOT(ISERROR(I10)))</f>
        <v>1</v>
      </c>
      <c r="K10" s="68">
        <f>(I10-_xll.ohFilter($I$6:$I$9,$J$6:$J$9))/(P10-_xll.ohFilter($P$6:$P$9,$J$6:$J$9))</f>
        <v>-1.4836342933600702E-6</v>
      </c>
      <c r="L10" s="68">
        <f>_xll.ohFilter($I$6:$I$9,$J$6:$J$9)-K10*_xll.ohFilter($P$6:$P$9,$J$6:$J$9)</f>
        <v>1.5864943549888223E-3</v>
      </c>
      <c r="M10" s="70"/>
      <c r="N10" s="71">
        <f t="shared" ref="N10:N18" si="7">E10-SettlementDate</f>
        <v>15</v>
      </c>
      <c r="O10" s="71">
        <f t="shared" ref="O10:O18" si="8">F10-SettlementDate</f>
        <v>107</v>
      </c>
      <c r="P10" s="70">
        <f t="shared" si="6"/>
        <v>122</v>
      </c>
      <c r="T10" s="72">
        <f t="shared" si="4"/>
        <v>4426.3333333333339</v>
      </c>
      <c r="U10" s="72">
        <f t="shared" si="5"/>
        <v>61</v>
      </c>
      <c r="V10" s="72">
        <v>1</v>
      </c>
      <c r="X10" s="82">
        <v>4426.3333333333339</v>
      </c>
      <c r="Y10" s="85">
        <v>61</v>
      </c>
      <c r="Z10" s="88">
        <v>1</v>
      </c>
      <c r="AA10" s="41" t="s">
        <v>56</v>
      </c>
      <c r="AB10" s="91">
        <v>-1.5114836925746904E-5</v>
      </c>
      <c r="AC10" s="41" t="s">
        <v>57</v>
      </c>
      <c r="AD10" s="91">
        <v>1.4054909711988938E-3</v>
      </c>
      <c r="AF10" s="96">
        <v>-0.2367287964167035</v>
      </c>
      <c r="AG10" s="97">
        <v>0.32948995809854176</v>
      </c>
      <c r="AH10" s="98">
        <v>-9.2761161681838247E-2</v>
      </c>
      <c r="AJ10" s="103">
        <v>-6.5052130349130266E-19</v>
      </c>
      <c r="AO10" s="381"/>
      <c r="AP10" s="390" t="s">
        <v>146</v>
      </c>
      <c r="AQ10" s="391">
        <v>41899</v>
      </c>
      <c r="AR10" s="391">
        <v>41990</v>
      </c>
      <c r="AS10" s="392">
        <v>2.074999999999938E-3</v>
      </c>
      <c r="AT10" s="392">
        <v>6.3556743392947956E-4</v>
      </c>
      <c r="AU10" s="393">
        <v>1.4394325660704583E-3</v>
      </c>
      <c r="AV10" s="381"/>
    </row>
    <row r="11" spans="1:48" x14ac:dyDescent="0.2">
      <c r="A11" s="36" t="str">
        <f>_xll.qlIMMNextCode(E10,IF(_xll.qlIMMIsIMMdate(E10,TRUE),FALSE,TRUE))</f>
        <v>U4</v>
      </c>
      <c r="B11" s="79" t="str">
        <f>_xll.qlMakeDatedOIS(,E11,F11,OvernightIndex,0,,,,EvaluationDate)</f>
        <v>obj_003dc#0000</v>
      </c>
      <c r="C11" s="56" t="b">
        <f>_xll.qlInstrumentSetPricingEngine(B11,OisEngine)</f>
        <v>1</v>
      </c>
      <c r="D11" s="64" t="str">
        <f>Currency&amp;"FUT3M"&amp;A11&amp;QuoteSuffix</f>
        <v>EURFUT3MU4_Quote</v>
      </c>
      <c r="E11" s="65">
        <f>_xll.qlIMMdate(A11)</f>
        <v>41899</v>
      </c>
      <c r="F11" s="66">
        <f>_xll.qlCalendarAdvance(Calendar,E11,"3M","mf")</f>
        <v>41990</v>
      </c>
      <c r="G11" s="74">
        <f>1-_xll.qlQuoteValue($D11,AllTriggers)/100</f>
        <v>2.074999999999938E-3</v>
      </c>
      <c r="H11" s="68">
        <f>_xll.qlOvernightIndexedSwapFairRate(B11,_xll.ohTrigger(C11,InterestRatesTrigger))</f>
        <v>6.2015358709409678E-4</v>
      </c>
      <c r="I11" s="69">
        <f t="shared" si="1"/>
        <v>1.4548464129058411E-3</v>
      </c>
      <c r="J11" s="36" t="b">
        <f>NOT(ISERROR(I11))</f>
        <v>1</v>
      </c>
      <c r="K11" s="68">
        <f>(I11-_xll.ohFilter($I$6:$I$9,$J$6:$J$9))/(P11-_xll.ohFilter($P$6:$P$9,$J$6:$J$9))</f>
        <v>5.7016622425237994E-8</v>
      </c>
      <c r="L11" s="68">
        <f>_xll.ohFilter($I$6:$I$9,$J$6:$J$9)-K11*_xll.ohFilter($P$6:$P$9,$J$6:$J$9)</f>
        <v>1.444754470736574E-3</v>
      </c>
      <c r="M11" s="70"/>
      <c r="N11" s="71">
        <f t="shared" si="7"/>
        <v>43</v>
      </c>
      <c r="O11" s="71">
        <f t="shared" si="8"/>
        <v>134</v>
      </c>
      <c r="P11" s="70">
        <f t="shared" si="6"/>
        <v>177</v>
      </c>
      <c r="T11" s="72">
        <f t="shared" si="4"/>
        <v>8522.3333333333339</v>
      </c>
      <c r="U11" s="72">
        <f t="shared" si="5"/>
        <v>88.5</v>
      </c>
      <c r="V11" s="72">
        <v>1</v>
      </c>
      <c r="X11" s="83">
        <v>8522.3333333333339</v>
      </c>
      <c r="Y11" s="86">
        <v>88.5</v>
      </c>
      <c r="Z11" s="89">
        <v>1</v>
      </c>
      <c r="AB11" s="92">
        <v>1.8249802605107752E-3</v>
      </c>
      <c r="AD11" s="92">
        <v>1.4548464129058411E-3</v>
      </c>
      <c r="AF11" s="99">
        <v>7.4053942108558699</v>
      </c>
      <c r="AG11" s="100">
        <v>-8.2265183258681613</v>
      </c>
      <c r="AH11" s="101">
        <v>1.8211241150122914</v>
      </c>
      <c r="AJ11" s="104">
        <v>-2.1684043449710089E-18</v>
      </c>
      <c r="AO11" s="381"/>
      <c r="AP11" s="381"/>
      <c r="AQ11" s="381"/>
      <c r="AR11" s="381"/>
      <c r="AS11" s="381"/>
      <c r="AT11" s="381"/>
      <c r="AU11" s="381"/>
      <c r="AV11" s="381"/>
    </row>
    <row r="12" spans="1:48" x14ac:dyDescent="0.2">
      <c r="A12" s="36">
        <v>1</v>
      </c>
      <c r="B12" s="79" t="str">
        <f>_xll.qlMakeDatedOIS(,E12,F12,OvernightIndex,0,,,,EvaluationDate)</f>
        <v>obj_003c3#0000</v>
      </c>
      <c r="C12" s="56" t="b">
        <f>_xll.qlInstrumentSetPricingEngine(B12,OisEngine)</f>
        <v>1</v>
      </c>
      <c r="D12" s="64" t="str">
        <f>Currency&amp;A12&amp;"x"&amp;A12+3&amp;"F"&amp;QuoteSuffix</f>
        <v>EUR1x4F_Quote</v>
      </c>
      <c r="E12" s="65">
        <f>_xll.qlCalendarAdvance(Calendar,SettlementDate,A12&amp;"M","mf")</f>
        <v>41887</v>
      </c>
      <c r="F12" s="66">
        <f>_xll.qlInterestRateIndexMaturity($A$8,E12)</f>
        <v>41978</v>
      </c>
      <c r="G12" s="74">
        <f>_xll.qlQuoteValue(D12,AllTriggers)</f>
        <v>2.1000000000000003E-3</v>
      </c>
      <c r="H12" s="68">
        <f>_xll.qlOvernightIndexedSwapFairRate(B12,_xll.ohTrigger(C12,InterestRatesTrigger))</f>
        <v>6.4677865601995004E-4</v>
      </c>
      <c r="I12" s="69">
        <f>G12-H12</f>
        <v>1.4532213439800504E-3</v>
      </c>
      <c r="J12" s="36" t="b">
        <f>AND(NOT(ISERROR(I12)),E12&lt;&gt;$E$11,E12&lt;&gt;$E$10)</f>
        <v>1</v>
      </c>
      <c r="K12" s="68">
        <f>(I12-_xll.ohFilter($I$6:$I$9,$J$6:$J$9))/(P12-_xll.ohFilter($P$6:$P$9,$J$6:$J$9))</f>
        <v>5.2808917710729229E-8</v>
      </c>
      <c r="L12" s="68">
        <f>_xll.ohFilter($I$6:$I$9,$J$6:$J$9)-K12*_xll.ohFilter($P$6:$P$9,$J$6:$J$9)</f>
        <v>1.4451415795703089E-3</v>
      </c>
      <c r="M12" s="70"/>
      <c r="N12" s="71">
        <f t="shared" si="7"/>
        <v>31</v>
      </c>
      <c r="O12" s="71">
        <f t="shared" si="8"/>
        <v>122</v>
      </c>
      <c r="P12" s="70">
        <f t="shared" si="6"/>
        <v>153</v>
      </c>
      <c r="T12" s="72">
        <f t="shared" si="4"/>
        <v>6542.3333333333339</v>
      </c>
      <c r="U12" s="72">
        <f t="shared" si="5"/>
        <v>76.5</v>
      </c>
      <c r="V12" s="72">
        <v>1</v>
      </c>
      <c r="X12" s="72"/>
      <c r="Y12" s="72"/>
      <c r="Z12" s="72"/>
    </row>
    <row r="13" spans="1:48" x14ac:dyDescent="0.2">
      <c r="A13" s="36">
        <v>2</v>
      </c>
      <c r="B13" s="79" t="str">
        <f>_xll.qlMakeDatedOIS(,E13,F13,OvernightIndex,0,,,,EvaluationDate)</f>
        <v>obj_003ce#0000</v>
      </c>
      <c r="C13" s="56" t="b">
        <f>_xll.qlInstrumentSetPricingEngine(B13,OisEngine)</f>
        <v>1</v>
      </c>
      <c r="D13" s="64" t="str">
        <f>Currency&amp;A13&amp;"x"&amp;A13+3&amp;"F"&amp;QuoteSuffix</f>
        <v>EUR2x5F_Quote</v>
      </c>
      <c r="E13" s="65">
        <f>_xll.qlCalendarAdvance(Calendar,SettlementDate,A13&amp;"M","mf")</f>
        <v>41918</v>
      </c>
      <c r="F13" s="66">
        <f>_xll.qlInterestRateIndexMaturity($A$8,E13)</f>
        <v>42010</v>
      </c>
      <c r="G13" s="74">
        <f>_xll.qlQuoteValue(D13,AllTriggers)</f>
        <v>2.0800000000000003E-3</v>
      </c>
      <c r="H13" s="68">
        <f>_xll.qlOvernightIndexedSwapFairRate(B13,_xll.ohTrigger(C13,InterestRatesTrigger))</f>
        <v>6.2564443842107252E-4</v>
      </c>
      <c r="I13" s="69">
        <f>G13-H13</f>
        <v>1.4543555615789277E-3</v>
      </c>
      <c r="J13" s="36" t="b">
        <f>AND(NOT(ISERROR(I13)),E13&lt;&gt;$E$11,E13&lt;&gt;$E$10)</f>
        <v>1</v>
      </c>
      <c r="K13" s="68">
        <f>(I13-_xll.ohFilter($I$6:$I$9,$J$6:$J$9))/(P13-_xll.ohFilter($P$6:$P$9,$J$6:$J$9))</f>
        <v>3.5125496606708403E-8</v>
      </c>
      <c r="L13" s="68">
        <f>_xll.ohFilter($I$6:$I$9,$J$6:$J$9)-K13*_xll.ohFilter($P$6:$P$9,$J$6:$J$9)</f>
        <v>1.4467684543118787E-3</v>
      </c>
      <c r="M13" s="70"/>
      <c r="N13" s="71">
        <f t="shared" si="7"/>
        <v>62</v>
      </c>
      <c r="O13" s="71">
        <f t="shared" si="8"/>
        <v>154</v>
      </c>
      <c r="P13" s="70">
        <f t="shared" si="6"/>
        <v>216</v>
      </c>
      <c r="T13" s="72">
        <f t="shared" si="4"/>
        <v>12369.333333333334</v>
      </c>
      <c r="U13" s="72">
        <f t="shared" si="5"/>
        <v>108</v>
      </c>
      <c r="V13" s="72">
        <v>1</v>
      </c>
      <c r="X13" s="72"/>
      <c r="Y13" s="72"/>
      <c r="Z13" s="72"/>
    </row>
    <row r="14" spans="1:48" x14ac:dyDescent="0.2">
      <c r="A14" s="36">
        <v>3</v>
      </c>
      <c r="B14" s="79" t="str">
        <f>_xll.qlMakeDatedOIS(,E14,F14,OvernightIndex,0,,,,EvaluationDate)</f>
        <v>obj_003c9#0000</v>
      </c>
      <c r="C14" s="56" t="b">
        <f>_xll.qlInstrumentSetPricingEngine(B14,OisEngine)</f>
        <v>1</v>
      </c>
      <c r="D14" s="64" t="str">
        <f>Currency&amp;A14&amp;"x"&amp;A14+3&amp;"F"&amp;QuoteSuffix</f>
        <v>EUR3x6F_Quote</v>
      </c>
      <c r="E14" s="65">
        <f>_xll.qlCalendarAdvance(Calendar,SettlementDate,A14&amp;"M","mf")</f>
        <v>41948</v>
      </c>
      <c r="F14" s="66">
        <f>_xll.qlInterestRateIndexMaturity($A$8,E14)</f>
        <v>42040</v>
      </c>
      <c r="G14" s="74">
        <f>_xll.qlQuoteValue(D14,AllTriggers)</f>
        <v>2.0400000000000001E-3</v>
      </c>
      <c r="H14" s="68">
        <f>_xll.qlOvernightIndexedSwapFairRate(B14,_xll.ohTrigger(C14,InterestRatesTrigger))</f>
        <v>6.2989858632806189E-4</v>
      </c>
      <c r="I14" s="69">
        <f>G14-H14</f>
        <v>1.4101014136719383E-3</v>
      </c>
      <c r="J14" s="36" t="b">
        <f>AND(NOT(ISERROR(I14)),E14&lt;&gt;$E$11,E14&lt;&gt;$E$10)</f>
        <v>1</v>
      </c>
      <c r="K14" s="68">
        <f>(I14-_xll.ohFilter($I$6:$I$9,$J$6:$J$9))/(P14-_xll.ohFilter($P$6:$P$9,$J$6:$J$9))</f>
        <v>-2.1684014308563928E-7</v>
      </c>
      <c r="L14" s="68">
        <f>_xll.ohFilter($I$6:$I$9,$J$6:$J$9)-K14*_xll.ohFilter($P$6:$P$9,$J$6:$J$9)</f>
        <v>1.4699492931635747E-3</v>
      </c>
      <c r="M14" s="70"/>
      <c r="N14" s="71">
        <f t="shared" si="7"/>
        <v>92</v>
      </c>
      <c r="O14" s="71">
        <f t="shared" si="8"/>
        <v>184</v>
      </c>
      <c r="P14" s="70">
        <f t="shared" si="6"/>
        <v>276</v>
      </c>
      <c r="T14" s="72">
        <f t="shared" si="4"/>
        <v>19749.333333333336</v>
      </c>
      <c r="U14" s="72">
        <f t="shared" si="5"/>
        <v>138</v>
      </c>
      <c r="V14" s="72">
        <v>1</v>
      </c>
      <c r="X14" s="72"/>
      <c r="Y14" s="72"/>
      <c r="Z14" s="72"/>
    </row>
    <row r="15" spans="1:48" x14ac:dyDescent="0.2">
      <c r="A15" s="36">
        <v>6</v>
      </c>
      <c r="B15" s="43" t="str">
        <f>_xll.qlMakeDatedOIS(,E15,F15,OvernightIndex,0,,,,EvaluationDate)</f>
        <v>obj_003cb#0000</v>
      </c>
      <c r="C15" s="44" t="b">
        <f>_xll.qlInstrumentSetPricingEngine(B15,OisEngine)</f>
        <v>1</v>
      </c>
      <c r="D15" s="45" t="str">
        <f>Currency&amp;A16&amp;"D_Quote"</f>
        <v>EUR6MD_Quote</v>
      </c>
      <c r="E15" s="46">
        <f>SettlementDate</f>
        <v>41856</v>
      </c>
      <c r="F15" s="47">
        <f>_xll.qlCalendarAdvance(Calendar,E15,A16,"mf")</f>
        <v>42040</v>
      </c>
      <c r="G15" s="48">
        <f>_xll.qlQuoteValue($D15,AllTriggers)</f>
        <v>3.0999999999999999E-3</v>
      </c>
      <c r="H15" s="49">
        <f>_xll.qlOvernightIndexedSwapFairRate(B15,_xll.ohTrigger(C15,InterestRatesTrigger))</f>
        <v>6.3000000000030425E-4</v>
      </c>
      <c r="I15" s="50">
        <f t="shared" si="1"/>
        <v>2.4699999999996955E-3</v>
      </c>
      <c r="J15" s="51" t="b">
        <v>0</v>
      </c>
      <c r="K15" s="52"/>
      <c r="L15" s="52"/>
      <c r="M15" s="52"/>
      <c r="N15" s="53">
        <f t="shared" si="7"/>
        <v>0</v>
      </c>
      <c r="O15" s="53">
        <f t="shared" si="8"/>
        <v>184</v>
      </c>
      <c r="P15" s="52">
        <f t="shared" si="6"/>
        <v>184</v>
      </c>
      <c r="Q15" s="51"/>
      <c r="R15" s="51"/>
      <c r="S15" s="51"/>
      <c r="T15" s="54">
        <f t="shared" si="4"/>
        <v>11285.333333333332</v>
      </c>
      <c r="U15" s="54">
        <f t="shared" si="5"/>
        <v>92</v>
      </c>
      <c r="V15" s="54">
        <v>1</v>
      </c>
    </row>
    <row r="16" spans="1:48" x14ac:dyDescent="0.2">
      <c r="A16" s="36" t="str">
        <f>_xll.qlPeriodEquivalent(A15&amp;"M")</f>
        <v>6M</v>
      </c>
      <c r="B16" s="55" t="str">
        <f>_xll.qlMakeDatedOIS(,E16,F16,OvernightIndex,0,,,,EvaluationDate)</f>
        <v>obj_0034a#0003</v>
      </c>
      <c r="C16" s="56" t="b">
        <f>_xll.qlInstrumentSetPricingEngine(B16,OisEngine)</f>
        <v>1</v>
      </c>
      <c r="D16" s="57" t="str">
        <f>PROPER(Currency&amp;IborType)&amp;A16&amp;"LastFixing_Quote"</f>
        <v>Euribor6MLastFixing_Quote</v>
      </c>
      <c r="E16" s="58">
        <f>_xll.qlCalendarAdvance(Calendar,_xll.qlLastFixingQuoteReferenceDate(D16),_xll.qlInterestRateIndexFixingDays(A17)&amp;"D","f",,LastFixingsTrigger)</f>
        <v>41856</v>
      </c>
      <c r="F16" s="59">
        <f>_xll.qlInterestRateIndexMaturity(A17,E16)</f>
        <v>42040</v>
      </c>
      <c r="G16" s="60">
        <f>_xll.qlQuoteValue(D16,AllTriggers)</f>
        <v>3.0799999999999998E-3</v>
      </c>
      <c r="H16" s="61">
        <f>_xll.qlOvernightIndexedSwapFairRate(B16,_xll.ohTrigger(C16,InterestRatesTrigger))</f>
        <v>6.3000000000030425E-4</v>
      </c>
      <c r="I16" s="62">
        <f t="shared" si="1"/>
        <v>2.4499999999996955E-3</v>
      </c>
      <c r="J16" s="51" t="b">
        <f>AND(ISERROR(I17),ISERROR(I18),NOT(ISERROR(I16)))</f>
        <v>1</v>
      </c>
      <c r="K16" s="52"/>
      <c r="L16" s="52"/>
      <c r="M16" s="52"/>
      <c r="N16" s="53">
        <f t="shared" si="7"/>
        <v>0</v>
      </c>
      <c r="O16" s="53">
        <f t="shared" si="8"/>
        <v>184</v>
      </c>
      <c r="P16" s="52">
        <f t="shared" si="6"/>
        <v>184</v>
      </c>
      <c r="Q16" s="51"/>
      <c r="R16" s="51"/>
      <c r="S16" s="51"/>
      <c r="T16" s="54">
        <f t="shared" si="4"/>
        <v>11285.333333333332</v>
      </c>
      <c r="U16" s="54">
        <f t="shared" si="5"/>
        <v>92</v>
      </c>
      <c r="V16" s="54">
        <v>1</v>
      </c>
    </row>
    <row r="17" spans="1:36" x14ac:dyDescent="0.2">
      <c r="A17" s="36" t="str">
        <f>PROPER(Currency)&amp;IborType&amp;SynthDepo!A16</f>
        <v>Euribor6M</v>
      </c>
      <c r="B17" s="79"/>
      <c r="C17" s="56"/>
      <c r="D17" s="57"/>
      <c r="E17" s="58"/>
      <c r="F17" s="59"/>
      <c r="G17" s="60"/>
      <c r="H17" s="61"/>
      <c r="I17" s="62" t="e">
        <f>NA()</f>
        <v>#N/A</v>
      </c>
      <c r="J17" s="51" t="b">
        <v>0</v>
      </c>
      <c r="K17" s="51"/>
      <c r="L17" s="51"/>
      <c r="M17" s="52"/>
      <c r="N17" s="53">
        <f t="shared" si="7"/>
        <v>-41856</v>
      </c>
      <c r="O17" s="53">
        <f t="shared" si="8"/>
        <v>-41856</v>
      </c>
      <c r="P17" s="52" t="e">
        <f t="shared" si="6"/>
        <v>#DIV/0!</v>
      </c>
      <c r="Q17" s="51"/>
      <c r="R17" s="51"/>
      <c r="S17" s="51"/>
      <c r="T17" s="54" t="e">
        <f t="shared" si="4"/>
        <v>#DIV/0!</v>
      </c>
      <c r="U17" s="54">
        <f t="shared" si="5"/>
        <v>-41856</v>
      </c>
      <c r="V17" s="54">
        <v>1</v>
      </c>
      <c r="AF17" s="36" t="s">
        <v>54</v>
      </c>
      <c r="AJ17" s="36" t="s">
        <v>55</v>
      </c>
    </row>
    <row r="18" spans="1:36" x14ac:dyDescent="0.2">
      <c r="B18" s="79"/>
      <c r="C18" s="56"/>
      <c r="D18" s="57"/>
      <c r="E18" s="58"/>
      <c r="F18" s="59"/>
      <c r="G18" s="60"/>
      <c r="H18" s="61"/>
      <c r="I18" s="62" t="e">
        <f>NA()</f>
        <v>#N/A</v>
      </c>
      <c r="J18" s="51" t="b">
        <v>0</v>
      </c>
      <c r="K18" s="61">
        <f>AVERAGE(_xll.ohFilter(K19:K21,J19:J21))</f>
        <v>-9.4143209457377183E-9</v>
      </c>
      <c r="L18" s="61">
        <f>_xll.ohFilter($I$15:$I$18,$J$15:$J$18)-K18*_xll.ohFilter($P$15:$P$18,$J$15:$J$18)</f>
        <v>2.4517322350537112E-3</v>
      </c>
      <c r="M18" s="52"/>
      <c r="N18" s="53">
        <f t="shared" si="7"/>
        <v>-41856</v>
      </c>
      <c r="O18" s="53">
        <f t="shared" si="8"/>
        <v>-41856</v>
      </c>
      <c r="P18" s="52" t="e">
        <f t="shared" si="6"/>
        <v>#DIV/0!</v>
      </c>
      <c r="Q18" s="51"/>
      <c r="R18" s="51"/>
      <c r="S18" s="51"/>
      <c r="T18" s="54" t="e">
        <f t="shared" si="4"/>
        <v>#DIV/0!</v>
      </c>
      <c r="U18" s="54">
        <f t="shared" si="5"/>
        <v>-41856</v>
      </c>
      <c r="V18" s="54">
        <v>1</v>
      </c>
      <c r="X18" s="81">
        <f t="array" ref="X18:X20">_xll.ohFilter(T15:T24,$J15:$J24)</f>
        <v>11285.333333333332</v>
      </c>
      <c r="Y18" s="84">
        <f t="array" ref="Y18:Y20">_xll.ohFilter(U15:U24,$J15:$J24)</f>
        <v>92</v>
      </c>
      <c r="Z18" s="87">
        <f t="array" ref="Z18:Z20">_xll.ohFilter(V15:V24,$J15:$J24)</f>
        <v>1</v>
      </c>
      <c r="AB18" s="90">
        <f t="array" ref="AB18:AB20">MMULT(AF18:AH20,AD18:AD20)</f>
        <v>3.5187593009345198E-9</v>
      </c>
      <c r="AD18" s="90">
        <f t="array" ref="AD18:AD20">_xll.ohFilter(I15:I24,$J15:$J24)</f>
        <v>2.4499999999996955E-3</v>
      </c>
      <c r="AF18" s="93">
        <f t="array" ref="AF18:AH20">MINVERSE(X18:Z20)</f>
        <v>5.0983287041217018E-4</v>
      </c>
      <c r="AG18" s="94">
        <v>-9.7983504782338964E-4</v>
      </c>
      <c r="AH18" s="95">
        <v>4.7000217741121903E-4</v>
      </c>
      <c r="AJ18" s="102">
        <f t="array" ref="AJ18:AJ20">MMULT(X18:Z20,AB18:AB20)-AD18:AD20</f>
        <v>-9.1072982488782372E-18</v>
      </c>
    </row>
    <row r="19" spans="1:36" x14ac:dyDescent="0.2">
      <c r="A19" s="36">
        <v>1</v>
      </c>
      <c r="B19" s="79" t="str">
        <f>_xll.qlMakeDatedOIS(,E19,F19,OvernightIndex,0,,,,EvaluationDate)</f>
        <v>obj_003ca#0000</v>
      </c>
      <c r="C19" s="56" t="b">
        <f>_xll.qlInstrumentSetPricingEngine(B19,OisEngine)</f>
        <v>1</v>
      </c>
      <c r="D19" s="64" t="str">
        <f t="shared" ref="D19:D24" si="9">Currency&amp;A19&amp;"x"&amp;A19+6&amp;"F"&amp;QuoteSuffix</f>
        <v>EUR1x7F_Quote</v>
      </c>
      <c r="E19" s="65">
        <f>_xll.qlCalendarAdvance(Calendar,SettlementDate,A19&amp;"M","mf")</f>
        <v>41887</v>
      </c>
      <c r="F19" s="66">
        <f>_xll.qlInterestRateIndexMaturity($A$17,E19)</f>
        <v>42068</v>
      </c>
      <c r="G19" s="67">
        <f>_xll.qlQuoteValue(D19,AllTriggers)</f>
        <v>3.1000000000000003E-3</v>
      </c>
      <c r="H19" s="68">
        <f>_xll.qlOvernightIndexedSwapFairRate(B19,_xll.ohTrigger(C19,InterestRatesTrigger))</f>
        <v>6.5510314631895173E-4</v>
      </c>
      <c r="I19" s="69">
        <f t="shared" si="1"/>
        <v>2.4448968536810488E-3</v>
      </c>
      <c r="J19" s="36" t="b">
        <f t="shared" ref="J19:J24" si="10">NOT(ISERROR(I19))</f>
        <v>1</v>
      </c>
      <c r="K19" s="68">
        <f>(I19-_xll.ohFilter($I$15:$I$18,$J$15:$J$18))/(P19-_xll.ohFilter($P$15:$P$18,$J$15:$J$18))</f>
        <v>-8.6494005400790856E-8</v>
      </c>
      <c r="L19" s="68">
        <f>_xll.ohFilter($I$15:$I$18,$J$15:$J$18)-K19*_xll.ohFilter($P$15:$P$18,$J$15:$J$18)</f>
        <v>2.4659148969934409E-3</v>
      </c>
      <c r="M19" s="70"/>
      <c r="N19" s="71">
        <f t="shared" ref="N19:N27" si="11">E19-SettlementDate</f>
        <v>31</v>
      </c>
      <c r="O19" s="71">
        <f t="shared" ref="O19:O27" si="12">F19-SettlementDate</f>
        <v>212</v>
      </c>
      <c r="P19" s="70">
        <f t="shared" si="6"/>
        <v>243</v>
      </c>
      <c r="T19" s="72">
        <f t="shared" si="4"/>
        <v>17492.333333333336</v>
      </c>
      <c r="U19" s="72">
        <f t="shared" si="5"/>
        <v>121.5</v>
      </c>
      <c r="V19" s="72">
        <v>1</v>
      </c>
      <c r="X19" s="82">
        <v>17492.333333333336</v>
      </c>
      <c r="Y19" s="85">
        <v>121.5</v>
      </c>
      <c r="Z19" s="88">
        <v>1</v>
      </c>
      <c r="AA19" s="41" t="s">
        <v>56</v>
      </c>
      <c r="AB19" s="91">
        <v>-9.1335882371364457E-7</v>
      </c>
      <c r="AC19" s="41" t="s">
        <v>57</v>
      </c>
      <c r="AD19" s="91">
        <v>2.4448968536810488E-3</v>
      </c>
      <c r="AF19" s="96">
        <v>-0.14117059751350317</v>
      </c>
      <c r="AG19" s="97">
        <v>0.24006224209626384</v>
      </c>
      <c r="AH19" s="98">
        <v>-9.889164458276066E-2</v>
      </c>
      <c r="AJ19" s="103">
        <v>-1.4311468676808659E-17</v>
      </c>
    </row>
    <row r="20" spans="1:36" x14ac:dyDescent="0.2">
      <c r="A20" s="36">
        <v>2</v>
      </c>
      <c r="B20" s="79" t="str">
        <f>_xll.qlMakeDatedOIS(,E20,F20,OvernightIndex,0,,,,EvaluationDate)</f>
        <v>obj_003cc#0000</v>
      </c>
      <c r="C20" s="56" t="b">
        <f>_xll.qlInstrumentSetPricingEngine(B20,OisEngine)</f>
        <v>1</v>
      </c>
      <c r="D20" s="64" t="str">
        <f t="shared" si="9"/>
        <v>EUR2x8F_Quote</v>
      </c>
      <c r="E20" s="65">
        <f>_xll.qlCalendarAdvance(Calendar,SettlementDate,A20&amp;"M","mf")</f>
        <v>41918</v>
      </c>
      <c r="F20" s="66">
        <f>_xll.qlInterestRateIndexMaturity($A$17,E20)</f>
        <v>42101</v>
      </c>
      <c r="G20" s="67">
        <f>_xll.qlQuoteValue(D20,AllTriggers)</f>
        <v>3.0800000000000007E-3</v>
      </c>
      <c r="H20" s="68">
        <f>_xll.qlOvernightIndexedSwapFairRate(B20,_xll.ohTrigger(C20,InterestRatesTrigger))</f>
        <v>6.3315207543196688E-4</v>
      </c>
      <c r="I20" s="69">
        <f t="shared" si="1"/>
        <v>2.4468479245680339E-3</v>
      </c>
      <c r="J20" s="36" t="b">
        <f t="shared" si="10"/>
        <v>1</v>
      </c>
      <c r="K20" s="68">
        <f>(I20-_xll.ohFilter($I$15:$I$18,$J$15:$J$18))/(P20-_xll.ohFilter($P$15:$P$18,$J$15:$J$18))</f>
        <v>-2.5626629525703583E-8</v>
      </c>
      <c r="L20" s="68">
        <f>_xll.ohFilter($I$15:$I$18,$J$15:$J$18)-K20*_xll.ohFilter($P$15:$P$18,$J$15:$J$18)</f>
        <v>2.4547152998324251E-3</v>
      </c>
      <c r="M20" s="70"/>
      <c r="N20" s="71">
        <f t="shared" si="11"/>
        <v>62</v>
      </c>
      <c r="O20" s="71">
        <f t="shared" si="12"/>
        <v>245</v>
      </c>
      <c r="P20" s="70">
        <f t="shared" si="6"/>
        <v>307</v>
      </c>
      <c r="T20" s="72">
        <f t="shared" si="4"/>
        <v>26353</v>
      </c>
      <c r="U20" s="72">
        <f t="shared" si="5"/>
        <v>153.5</v>
      </c>
      <c r="V20" s="72">
        <v>1</v>
      </c>
      <c r="X20" s="83">
        <v>26353</v>
      </c>
      <c r="Y20" s="86">
        <v>153.5</v>
      </c>
      <c r="Z20" s="89">
        <v>1</v>
      </c>
      <c r="AB20" s="92">
        <v>2.4943186401505286E-3</v>
      </c>
      <c r="AD20" s="92">
        <v>2.4468479245680339E-3</v>
      </c>
      <c r="AF20" s="99">
        <v>8.2340610843508149</v>
      </c>
      <c r="AG20" s="100">
        <v>-11.027961146486719</v>
      </c>
      <c r="AH20" s="101">
        <v>3.7939000621359038</v>
      </c>
      <c r="AJ20" s="104">
        <v>-2.211772431870429E-17</v>
      </c>
    </row>
    <row r="21" spans="1:36" x14ac:dyDescent="0.2">
      <c r="A21" s="36">
        <v>3</v>
      </c>
      <c r="B21" s="79" t="str">
        <f>_xll.qlMakeDatedOIS(,E21,F21,OvernightIndex,0,,,,EvaluationDate)</f>
        <v>obj_003cd#0000</v>
      </c>
      <c r="C21" s="56" t="b">
        <f>_xll.qlInstrumentSetPricingEngine(B21,OisEngine)</f>
        <v>1</v>
      </c>
      <c r="D21" s="64" t="str">
        <f t="shared" si="9"/>
        <v>EUR3x9F_Quote</v>
      </c>
      <c r="E21" s="65">
        <f>_xll.qlCalendarAdvance(Calendar,SettlementDate,A21&amp;"M","mf")</f>
        <v>41948</v>
      </c>
      <c r="F21" s="66">
        <f>_xll.qlInterestRateIndexMaturity($A$17,E21)</f>
        <v>42129</v>
      </c>
      <c r="G21" s="67">
        <f>_xll.qlQuoteValue(D21,AllTriggers)</f>
        <v>3.0800000000000007E-3</v>
      </c>
      <c r="H21" s="68">
        <f>_xll.qlOvernightIndexedSwapFairRate(B21,_xll.ohTrigger(C21,InterestRatesTrigger))</f>
        <v>6.1481814135214542E-4</v>
      </c>
      <c r="I21" s="69">
        <f t="shared" si="1"/>
        <v>2.4651818586478554E-3</v>
      </c>
      <c r="J21" s="36" t="b">
        <f t="shared" si="10"/>
        <v>1</v>
      </c>
      <c r="K21" s="68">
        <f>(I21-_xll.ohFilter($I$15:$I$18,$J$15:$J$18))/(P21-_xll.ohFilter($P$15:$P$18,$J$15:$J$18))</f>
        <v>8.3877672089281289E-8</v>
      </c>
      <c r="L21" s="68">
        <f>_xll.ohFilter($I$15:$I$18,$J$15:$J$18)-K21*_xll.ohFilter($P$15:$P$18,$J$15:$J$18)</f>
        <v>2.4345665083352675E-3</v>
      </c>
      <c r="M21" s="70"/>
      <c r="N21" s="71">
        <f t="shared" si="11"/>
        <v>92</v>
      </c>
      <c r="O21" s="71">
        <f t="shared" si="12"/>
        <v>273</v>
      </c>
      <c r="P21" s="70">
        <f t="shared" si="6"/>
        <v>365</v>
      </c>
      <c r="T21" s="72">
        <f t="shared" si="4"/>
        <v>36036.333333333328</v>
      </c>
      <c r="U21" s="72">
        <f t="shared" si="5"/>
        <v>182.5</v>
      </c>
      <c r="V21" s="72">
        <v>1</v>
      </c>
      <c r="X21" s="72"/>
      <c r="Y21" s="72"/>
      <c r="Z21" s="72"/>
      <c r="AD21" s="105"/>
    </row>
    <row r="22" spans="1:36" x14ac:dyDescent="0.2">
      <c r="A22" s="36">
        <v>4</v>
      </c>
      <c r="B22" s="79" t="str">
        <f>_xll.qlMakeDatedOIS(,E22,F22,OvernightIndex,0,,,,EvaluationDate)</f>
        <v>obj_003c5#0000</v>
      </c>
      <c r="C22" s="56" t="b">
        <f>_xll.qlInstrumentSetPricingEngine(B22,OisEngine)</f>
        <v>1</v>
      </c>
      <c r="D22" s="64" t="str">
        <f t="shared" si="9"/>
        <v>EUR4x10F_Quote</v>
      </c>
      <c r="E22" s="65">
        <f>_xll.qlCalendarAdvance(Calendar,SettlementDate,A22&amp;"M","mf")</f>
        <v>41978</v>
      </c>
      <c r="F22" s="66">
        <f>_xll.qlInterestRateIndexMaturity($A$17,E22)</f>
        <v>42160</v>
      </c>
      <c r="G22" s="67">
        <f>_xll.qlQuoteValue(D22,AllTriggers)</f>
        <v>3.0500000000000006E-3</v>
      </c>
      <c r="H22" s="68">
        <f>_xll.qlOvernightIndexedSwapFairRate(B22,_xll.ohTrigger(C22,InterestRatesTrigger))</f>
        <v>5.7306252229352131E-4</v>
      </c>
      <c r="I22" s="69">
        <f t="shared" si="1"/>
        <v>2.4769374777064792E-3</v>
      </c>
      <c r="J22" s="36" t="b">
        <f t="shared" si="10"/>
        <v>1</v>
      </c>
      <c r="K22" s="68">
        <f>(I22-_xll.ohFilter($I$15:$I$18,$J$15:$J$18))/(P22-_xll.ohFilter($P$15:$P$18,$J$15:$J$18))</f>
        <v>1.1131189135034601E-7</v>
      </c>
      <c r="L22" s="68">
        <f>_xll.ohFilter($I$15:$I$18,$J$15:$J$18)-K22*_xll.ohFilter($P$15:$P$18,$J$15:$J$18)</f>
        <v>2.4295186119912319E-3</v>
      </c>
      <c r="M22" s="70"/>
      <c r="N22" s="71">
        <f t="shared" si="11"/>
        <v>122</v>
      </c>
      <c r="O22" s="71">
        <f t="shared" si="12"/>
        <v>304</v>
      </c>
      <c r="P22" s="70">
        <f t="shared" si="6"/>
        <v>426</v>
      </c>
      <c r="T22" s="72">
        <f t="shared" si="4"/>
        <v>48129.333333333328</v>
      </c>
      <c r="U22" s="72">
        <f t="shared" si="5"/>
        <v>213</v>
      </c>
      <c r="V22" s="72">
        <v>1</v>
      </c>
      <c r="X22" s="72"/>
      <c r="Y22" s="72"/>
      <c r="Z22" s="72"/>
      <c r="AD22" s="105"/>
    </row>
    <row r="23" spans="1:36" x14ac:dyDescent="0.2">
      <c r="A23" s="36">
        <v>5</v>
      </c>
      <c r="B23" s="79" t="str">
        <f>_xll.qlMakeDatedOIS(,E23,F23,OvernightIndex,0,,,,EvaluationDate)</f>
        <v>obj_003c8#0000</v>
      </c>
      <c r="C23" s="56" t="b">
        <f>_xll.qlInstrumentSetPricingEngine(B23,OisEngine)</f>
        <v>1</v>
      </c>
      <c r="D23" s="64" t="str">
        <f t="shared" si="9"/>
        <v>EUR5x11F_Quote</v>
      </c>
      <c r="E23" s="65">
        <f>_xll.qlCalendarAdvance(Calendar,SettlementDate,A23&amp;"M","mf")</f>
        <v>42009</v>
      </c>
      <c r="F23" s="66">
        <f>_xll.qlInterestRateIndexMaturity($A$17,E23)</f>
        <v>42191</v>
      </c>
      <c r="G23" s="67">
        <f>_xll.qlQuoteValue(D23,AllTriggers)</f>
        <v>3.0100000000000005E-3</v>
      </c>
      <c r="H23" s="68">
        <f>_xll.qlOvernightIndexedSwapFairRate(B23,_xll.ohTrigger(C23,InterestRatesTrigger))</f>
        <v>5.2941643828983899E-4</v>
      </c>
      <c r="I23" s="69">
        <f t="shared" si="1"/>
        <v>2.4805835617101616E-3</v>
      </c>
      <c r="J23" s="36" t="b">
        <f t="shared" si="10"/>
        <v>1</v>
      </c>
      <c r="K23" s="68">
        <f>(I23-_xll.ohFilter($I$15:$I$18,$J$15:$J$18))/(P23-_xll.ohFilter($P$15:$P$18,$J$15:$J$18))</f>
        <v>1.0060382141600711E-7</v>
      </c>
      <c r="L23" s="68">
        <f>_xll.ohFilter($I$15:$I$18,$J$15:$J$18)-K23*_xll.ohFilter($P$15:$P$18,$J$15:$J$18)</f>
        <v>2.4314888968591502E-3</v>
      </c>
      <c r="M23" s="70"/>
      <c r="N23" s="71">
        <f t="shared" si="11"/>
        <v>153</v>
      </c>
      <c r="O23" s="71">
        <f t="shared" si="12"/>
        <v>335</v>
      </c>
      <c r="P23" s="70">
        <f t="shared" si="6"/>
        <v>488</v>
      </c>
      <c r="T23" s="72">
        <f t="shared" si="4"/>
        <v>62296.333333333328</v>
      </c>
      <c r="U23" s="72">
        <f t="shared" si="5"/>
        <v>244</v>
      </c>
      <c r="V23" s="72">
        <v>1</v>
      </c>
      <c r="X23" s="72"/>
      <c r="Y23" s="72"/>
      <c r="Z23" s="72"/>
      <c r="AD23" s="105"/>
    </row>
    <row r="24" spans="1:36" x14ac:dyDescent="0.2">
      <c r="A24" s="36">
        <v>6</v>
      </c>
      <c r="B24" s="79" t="str">
        <f>_xll.qlMakeDatedOIS(,E24,F24,OvernightIndex,0,,,,EvaluationDate)</f>
        <v>obj_003c7#0000</v>
      </c>
      <c r="C24" s="56" t="b">
        <f>_xll.qlInstrumentSetPricingEngine(B24,OisEngine)</f>
        <v>1</v>
      </c>
      <c r="D24" s="64" t="str">
        <f t="shared" si="9"/>
        <v>EUR6x12F_Quote</v>
      </c>
      <c r="E24" s="65">
        <f>_xll.qlCalendarAdvance(Calendar,SettlementDate,A24&amp;"M","mf")</f>
        <v>42040</v>
      </c>
      <c r="F24" s="66">
        <f>_xll.qlInterestRateIndexMaturity($A$17,E24)</f>
        <v>42221</v>
      </c>
      <c r="G24" s="67">
        <f>_xll.qlQuoteValue(D24,AllTriggers)</f>
        <v>2.9900000000000005E-3</v>
      </c>
      <c r="H24" s="68">
        <f>_xll.qlOvernightIndexedSwapFairRate(B24,_xll.ohTrigger(C24,InterestRatesTrigger))</f>
        <v>4.8868242326694259E-4</v>
      </c>
      <c r="I24" s="69">
        <f t="shared" si="1"/>
        <v>2.5013175767330579E-3</v>
      </c>
      <c r="J24" s="36" t="b">
        <f t="shared" si="10"/>
        <v>1</v>
      </c>
      <c r="K24" s="68">
        <f>(I24-_xll.ohFilter($I$15:$I$18,$J$15:$J$18))/(P24-_xll.ohFilter($P$15:$P$18,$J$15:$J$18))</f>
        <v>1.4059610063934903E-7</v>
      </c>
      <c r="L24" s="68">
        <f>_xll.ohFilter($I$15:$I$18,$J$15:$J$18)-K24*_xll.ohFilter($P$15:$P$18,$J$15:$J$18)</f>
        <v>2.4241303174820554E-3</v>
      </c>
      <c r="M24" s="70"/>
      <c r="N24" s="71">
        <f t="shared" si="11"/>
        <v>184</v>
      </c>
      <c r="O24" s="71">
        <f t="shared" si="12"/>
        <v>365</v>
      </c>
      <c r="P24" s="70">
        <f t="shared" si="6"/>
        <v>549</v>
      </c>
      <c r="T24" s="72">
        <f t="shared" si="4"/>
        <v>78080.333333333343</v>
      </c>
      <c r="U24" s="72">
        <f t="shared" si="5"/>
        <v>274.5</v>
      </c>
      <c r="V24" s="72">
        <v>1</v>
      </c>
    </row>
    <row r="25" spans="1:36" x14ac:dyDescent="0.2">
      <c r="A25" s="36">
        <v>12</v>
      </c>
      <c r="B25" s="43" t="str">
        <f>_xll.qlMakeDatedOIS(,E25,F25,OvernightIndex,0,,,,EvaluationDate)</f>
        <v>obj_003cf#0000</v>
      </c>
      <c r="C25" s="44" t="b">
        <f>_xll.qlInstrumentSetPricingEngine(B25,OisEngine)</f>
        <v>1</v>
      </c>
      <c r="D25" s="45" t="str">
        <f>Currency&amp;A26&amp;"D_Quote"</f>
        <v>EUR1YD_Quote</v>
      </c>
      <c r="E25" s="46">
        <f>SettlementDate</f>
        <v>41856</v>
      </c>
      <c r="F25" s="47">
        <f>_xll.qlCalendarAdvance(Calendar,E25,A26,"mf")</f>
        <v>42221</v>
      </c>
      <c r="G25" s="48">
        <f>_xll.qlQuoteValue($D25,AllTriggers)</f>
        <v>4.8999999999999998E-3</v>
      </c>
      <c r="H25" s="49">
        <f>_xll.qlOvernightIndexedSwapFairRate(B25,_xll.ohTrigger(C25,InterestRatesTrigger))</f>
        <v>5.6000000000125979E-4</v>
      </c>
      <c r="I25" s="50">
        <f t="shared" si="1"/>
        <v>4.3399999999987398E-3</v>
      </c>
      <c r="J25" s="51" t="b">
        <v>0</v>
      </c>
      <c r="K25" s="51"/>
      <c r="L25" s="51"/>
      <c r="M25" s="52"/>
      <c r="N25" s="53">
        <f t="shared" si="11"/>
        <v>0</v>
      </c>
      <c r="O25" s="53">
        <f t="shared" si="12"/>
        <v>365</v>
      </c>
      <c r="P25" s="52">
        <f t="shared" si="6"/>
        <v>365</v>
      </c>
      <c r="Q25" s="51"/>
      <c r="R25" s="51"/>
      <c r="S25" s="51"/>
      <c r="T25" s="54">
        <f t="shared" si="4"/>
        <v>44408.333333333328</v>
      </c>
      <c r="U25" s="54">
        <f t="shared" si="5"/>
        <v>182.5</v>
      </c>
      <c r="V25" s="54">
        <v>1</v>
      </c>
    </row>
    <row r="26" spans="1:36" x14ac:dyDescent="0.2">
      <c r="A26" s="36" t="str">
        <f>_xll.qlPeriodEquivalent(A25&amp;"M")</f>
        <v>1Y</v>
      </c>
      <c r="B26" s="79" t="str">
        <f>_xll.qlMakeDatedOIS(,E26,F26,OvernightIndex,0,,,,EvaluationDate)</f>
        <v>obj_00348#0003</v>
      </c>
      <c r="C26" s="56" t="b">
        <f>_xll.qlInstrumentSetPricingEngine(B26,OisEngine)</f>
        <v>1</v>
      </c>
      <c r="D26" s="57" t="str">
        <f>PROPER(Currency&amp;IborType)&amp;A26&amp;"LastFixing_Quote"</f>
        <v>Euribor1YLastFixing_Quote</v>
      </c>
      <c r="E26" s="58">
        <f>_xll.qlCalendarAdvance(Calendar,_xll.qlLastFixingQuoteReferenceDate(D26),_xll.qlInterestRateIndexFixingDays(A27)&amp;"D","f",,LastFixingsTrigger)</f>
        <v>41856</v>
      </c>
      <c r="F26" s="59">
        <f>_xll.qlInterestRateIndexMaturity(A27,E26)</f>
        <v>42221</v>
      </c>
      <c r="G26" s="60">
        <f>_xll.qlQuoteValue(D26,AllTriggers)</f>
        <v>4.8900000000000002E-3</v>
      </c>
      <c r="H26" s="61">
        <f>_xll.qlOvernightIndexedSwapFairRate(B26,_xll.ohTrigger(C26,InterestRatesTrigger))</f>
        <v>5.6000000000125979E-4</v>
      </c>
      <c r="I26" s="62">
        <f t="shared" si="1"/>
        <v>4.3299999999987402E-3</v>
      </c>
      <c r="J26" s="51" t="b">
        <f>NOT(ISERROR(I26))</f>
        <v>1</v>
      </c>
      <c r="K26" s="63">
        <f>K27</f>
        <v>2.8761579106792289E-7</v>
      </c>
      <c r="L26" s="61">
        <f>_xll.ohFilter($I$25:$I$26,$J$25:$J$26)-K26*_xll.ohFilter($P$25:$P$26,$J$25:$J$26)</f>
        <v>4.2250202362589485E-3</v>
      </c>
      <c r="M26" s="52"/>
      <c r="N26" s="53">
        <f t="shared" si="11"/>
        <v>0</v>
      </c>
      <c r="O26" s="53">
        <f t="shared" si="12"/>
        <v>365</v>
      </c>
      <c r="P26" s="52">
        <f t="shared" si="6"/>
        <v>365</v>
      </c>
      <c r="Q26" s="51"/>
      <c r="R26" s="51"/>
      <c r="S26" s="51"/>
      <c r="T26" s="54">
        <f t="shared" si="4"/>
        <v>44408.333333333328</v>
      </c>
      <c r="U26" s="54">
        <f t="shared" si="5"/>
        <v>182.5</v>
      </c>
      <c r="V26" s="54">
        <v>1</v>
      </c>
    </row>
    <row r="27" spans="1:36" x14ac:dyDescent="0.2">
      <c r="A27" s="36" t="str">
        <f>PROPER(Currency)&amp;IborType&amp;SynthDepo!A26</f>
        <v>Euribor1Y</v>
      </c>
      <c r="B27" s="79" t="str">
        <f>_xll.qlMakeDatedOIS(,E27,F27,OvernightIndex,0,,,,EvaluationDate)</f>
        <v>obj_003c2#0000</v>
      </c>
      <c r="C27" s="56" t="b">
        <f>_xll.qlInstrumentSetPricingEngine(B27,OisEngine)</f>
        <v>1</v>
      </c>
      <c r="D27" s="64" t="str">
        <f>Currency&amp;"12x24F"&amp;QuoteSuffix</f>
        <v>EUR12x24F_Quote</v>
      </c>
      <c r="E27" s="65">
        <f>_xll.qlCalendarAdvance(Calendar,SettlementDate,"12M","mf")</f>
        <v>42221</v>
      </c>
      <c r="F27" s="66">
        <f>_xll.qlInterestRateIndexMaturity(A27,E27)</f>
        <v>42587</v>
      </c>
      <c r="G27" s="67">
        <f>_xll.qlQuoteValue(D27,AllTriggers)</f>
        <v>5.3600000000000002E-3</v>
      </c>
      <c r="H27" s="68">
        <f>_xll.qlOvernightIndexedSwapFairRate(B27,_xll.ohTrigger(C27,InterestRatesTrigger))</f>
        <v>8.1975285673060864E-4</v>
      </c>
      <c r="I27" s="69">
        <f t="shared" si="1"/>
        <v>4.5402471432693919E-3</v>
      </c>
      <c r="J27" s="36" t="b">
        <f>NOT(ISERROR(I27))</f>
        <v>1</v>
      </c>
      <c r="K27" s="68">
        <f>(I27-_xll.ohFilter($I$25:$I$26,$J$25:$J$26))/(P27-_xll.ohFilter($P$25:$P$26,$J$25:$J$26))</f>
        <v>2.8761579106792289E-7</v>
      </c>
      <c r="L27" s="68">
        <f>_xll.ohFilter($I$25:$I$26,$J$25:$J$26)-K27*_xll.ohFilter($P$25:$P$26,$J$25:$J$26)</f>
        <v>4.2250202362589485E-3</v>
      </c>
      <c r="M27" s="70"/>
      <c r="N27" s="71">
        <f t="shared" si="11"/>
        <v>365</v>
      </c>
      <c r="O27" s="71">
        <f t="shared" si="12"/>
        <v>731</v>
      </c>
      <c r="P27" s="70">
        <f t="shared" si="6"/>
        <v>1096</v>
      </c>
      <c r="T27" s="72">
        <f t="shared" si="4"/>
        <v>311467</v>
      </c>
      <c r="U27" s="72">
        <f t="shared" si="5"/>
        <v>548</v>
      </c>
      <c r="V27" s="72">
        <v>1</v>
      </c>
    </row>
    <row r="28" spans="1:36" x14ac:dyDescent="0.2">
      <c r="B28" s="106"/>
      <c r="C28" s="106"/>
      <c r="D28" s="107" t="e">
        <f>_xll.qlRateHelperQuoteName(D2)</f>
        <v>#NUM!</v>
      </c>
      <c r="E28" s="107"/>
      <c r="F28" s="107"/>
      <c r="G28" s="107"/>
      <c r="H28" s="107"/>
      <c r="I28" s="108"/>
      <c r="O28" s="109"/>
      <c r="U28" s="109"/>
      <c r="V28" s="109"/>
      <c r="W28" s="109"/>
      <c r="X28" s="109"/>
      <c r="Y28" s="109"/>
      <c r="Z28" s="109"/>
      <c r="AC28" s="109"/>
    </row>
    <row r="29" spans="1:36" x14ac:dyDescent="0.2">
      <c r="G29" s="41" t="s">
        <v>58</v>
      </c>
      <c r="H29" s="41" t="s">
        <v>58</v>
      </c>
      <c r="I29" s="41" t="s">
        <v>58</v>
      </c>
      <c r="J29" s="41" t="s">
        <v>58</v>
      </c>
      <c r="AC29" s="36" t="s">
        <v>58</v>
      </c>
      <c r="AD29" s="36" t="s">
        <v>143</v>
      </c>
      <c r="AE29" s="36" t="s">
        <v>144</v>
      </c>
    </row>
    <row r="30" spans="1:36" x14ac:dyDescent="0.2">
      <c r="A30" s="110"/>
      <c r="B30" s="110"/>
      <c r="C30" s="110"/>
      <c r="D30" s="110"/>
      <c r="E30" s="110"/>
      <c r="F30" s="110"/>
      <c r="G30" s="41" t="b">
        <v>0</v>
      </c>
      <c r="H30" s="41" t="b">
        <v>0</v>
      </c>
      <c r="I30" s="41" t="b">
        <v>0</v>
      </c>
      <c r="J30" s="41" t="b">
        <v>0</v>
      </c>
      <c r="M30" s="36" t="s">
        <v>59</v>
      </c>
      <c r="O30" s="41" t="b">
        <v>1</v>
      </c>
      <c r="P30" s="41" t="b">
        <v>1</v>
      </c>
      <c r="S30" s="111" t="s">
        <v>59</v>
      </c>
      <c r="T30" s="112">
        <f>AB9</f>
        <v>1.1352867606567036E-7</v>
      </c>
      <c r="U30" s="113">
        <f>AB18</f>
        <v>3.5187593009345198E-9</v>
      </c>
      <c r="AB30" s="378">
        <f>SettlementDate</f>
        <v>41856</v>
      </c>
      <c r="AC30" s="105">
        <f>$H$32</f>
        <v>1.4499999999996959E-3</v>
      </c>
      <c r="AD30" s="105">
        <f t="shared" ref="AD30:AD61" si="13">$O$32+$O$31*(AB30-SettlementDate)</f>
        <v>1.4921301350985683E-3</v>
      </c>
      <c r="AE30" s="105">
        <f t="shared" ref="AE30:AE61" si="14">$T$32+$T$31*(AB30-SettlementDate)+$T$30*(AB30-SettlementDate)^2</f>
        <v>1.8249802605107752E-3</v>
      </c>
    </row>
    <row r="31" spans="1:36" x14ac:dyDescent="0.2">
      <c r="D31" s="36">
        <v>4</v>
      </c>
      <c r="E31" s="42"/>
      <c r="F31" s="42" t="s">
        <v>60</v>
      </c>
      <c r="G31" s="114">
        <f>_xll.ohFilter(I2:I3,J2:J3)</f>
        <v>3.4999999999929044E-4</v>
      </c>
      <c r="H31" s="115">
        <f>_xll.ohFilter(I6:I9,J6:J9)</f>
        <v>1.4499999999996959E-3</v>
      </c>
      <c r="I31" s="115">
        <f>_xll.ohFilter(I15:I18,J15:J18)</f>
        <v>2.4499999999996955E-3</v>
      </c>
      <c r="J31" s="116">
        <f>_xll.ohFilter(I25:I26,J25:J26)</f>
        <v>4.3299999999987402E-3</v>
      </c>
      <c r="M31" s="41" t="s">
        <v>47</v>
      </c>
      <c r="N31" s="105">
        <f>K4</f>
        <v>-6.4591912547360275E-7</v>
      </c>
      <c r="O31" s="105">
        <f>K9</f>
        <v>-4.5793625107470094E-7</v>
      </c>
      <c r="P31" s="105">
        <f>AVERAGE(K19:K21)</f>
        <v>-9.4143209457377183E-9</v>
      </c>
      <c r="Q31" s="105">
        <f>K26</f>
        <v>2.8761579106792289E-7</v>
      </c>
      <c r="R31" s="105"/>
      <c r="S31" s="117" t="s">
        <v>47</v>
      </c>
      <c r="T31" s="118">
        <f>AB10</f>
        <v>-1.5114836925746904E-5</v>
      </c>
      <c r="U31" s="69">
        <f>AB19</f>
        <v>-9.1335882371364457E-7</v>
      </c>
      <c r="AB31" s="378">
        <f>_xll.qlCalendarAdvance(Calendar,AB30,"1d","mf")</f>
        <v>41857</v>
      </c>
      <c r="AC31" s="105">
        <f t="shared" ref="AC31:AC94" si="15">$H$32</f>
        <v>1.4499999999996959E-3</v>
      </c>
      <c r="AD31" s="105">
        <f t="shared" si="13"/>
        <v>1.4916721988474937E-3</v>
      </c>
      <c r="AE31" s="105">
        <f t="shared" si="14"/>
        <v>1.809978952261094E-3</v>
      </c>
    </row>
    <row r="32" spans="1:36" x14ac:dyDescent="0.2">
      <c r="E32" s="42"/>
      <c r="F32" s="42" t="s">
        <v>61</v>
      </c>
      <c r="G32" s="114">
        <f>IF(G31&lt;H31,G31,H31)</f>
        <v>3.4999999999929044E-4</v>
      </c>
      <c r="H32" s="115">
        <f>H31</f>
        <v>1.4499999999996959E-3</v>
      </c>
      <c r="I32" s="115">
        <f>IF(I31&lt;H31,H31,I31)</f>
        <v>2.4499999999996955E-3</v>
      </c>
      <c r="J32" s="116">
        <f>IF(J31&lt;I31,I31,J31)</f>
        <v>4.3299999999987402E-3</v>
      </c>
      <c r="M32" s="41" t="s">
        <v>48</v>
      </c>
      <c r="N32" s="105">
        <f>L4</f>
        <v>3.7002349288897213E-4</v>
      </c>
      <c r="O32" s="105">
        <f>L9</f>
        <v>1.4921301350985683E-3</v>
      </c>
      <c r="P32" s="105">
        <f>L18</f>
        <v>2.4517322350537112E-3</v>
      </c>
      <c r="Q32" s="105">
        <f>L26</f>
        <v>4.2250202362589485E-3</v>
      </c>
      <c r="R32" s="105"/>
      <c r="S32" s="117" t="s">
        <v>48</v>
      </c>
      <c r="T32" s="118">
        <f>AB11</f>
        <v>1.8249802605107752E-3</v>
      </c>
      <c r="U32" s="69">
        <f>AB20</f>
        <v>2.4943186401505286E-3</v>
      </c>
      <c r="AB32" s="378">
        <f>_xll.qlCalendarAdvance(Calendar,AB31,"1d","mf")</f>
        <v>41858</v>
      </c>
      <c r="AC32" s="105">
        <f t="shared" si="15"/>
        <v>1.4499999999996959E-3</v>
      </c>
      <c r="AD32" s="105">
        <f t="shared" si="13"/>
        <v>1.4912142625964188E-3</v>
      </c>
      <c r="AE32" s="105">
        <f t="shared" si="14"/>
        <v>1.795204701363544E-3</v>
      </c>
    </row>
    <row r="33" spans="2:31" x14ac:dyDescent="0.2">
      <c r="B33" s="37" t="s">
        <v>40</v>
      </c>
      <c r="C33" s="38"/>
      <c r="D33" s="37" t="s">
        <v>41</v>
      </c>
      <c r="E33" s="38" t="s">
        <v>42</v>
      </c>
      <c r="F33" s="39" t="s">
        <v>43</v>
      </c>
      <c r="G33" s="37" t="s">
        <v>62</v>
      </c>
      <c r="H33" s="38" t="s">
        <v>63</v>
      </c>
      <c r="I33" s="38" t="s">
        <v>64</v>
      </c>
      <c r="J33" s="40" t="s">
        <v>32</v>
      </c>
      <c r="K33" s="37" t="s">
        <v>65</v>
      </c>
      <c r="L33" s="40" t="s">
        <v>45</v>
      </c>
      <c r="N33" s="37" t="s">
        <v>62</v>
      </c>
      <c r="O33" s="38" t="s">
        <v>63</v>
      </c>
      <c r="P33" s="38" t="s">
        <v>64</v>
      </c>
      <c r="Q33" s="40" t="s">
        <v>32</v>
      </c>
      <c r="R33" s="38"/>
      <c r="S33" s="119"/>
      <c r="T33" s="38" t="s">
        <v>63</v>
      </c>
      <c r="U33" s="40" t="s">
        <v>64</v>
      </c>
      <c r="AB33" s="378">
        <f>_xll.qlCalendarAdvance(Calendar,AB32,"1d","mf")</f>
        <v>41859</v>
      </c>
      <c r="AC33" s="105">
        <f t="shared" si="15"/>
        <v>1.4499999999996959E-3</v>
      </c>
      <c r="AD33" s="105">
        <f t="shared" si="13"/>
        <v>1.4907563263453442E-3</v>
      </c>
      <c r="AE33" s="105">
        <f t="shared" si="14"/>
        <v>1.7806575078181256E-3</v>
      </c>
    </row>
    <row r="34" spans="2:31" x14ac:dyDescent="0.2">
      <c r="B34" s="43" t="str">
        <f>_xll.qlMakeDatedOIS(,E34,F34,OvernightIndex,0,,,,EvaluationDate)</f>
        <v>obj_003bc#0000</v>
      </c>
      <c r="C34" s="106" t="b">
        <f>_xll.qlInstrumentSetPricingEngine(B34,OisEngine)</f>
        <v>1</v>
      </c>
      <c r="D34" s="120" t="s">
        <v>66</v>
      </c>
      <c r="E34" s="121">
        <f t="shared" ref="E34:E49" si="16">SettlementDate</f>
        <v>41856</v>
      </c>
      <c r="F34" s="122">
        <f>_xll.qlCalendarAdvance(Calendar,SettlementDate,D34,"Following")</f>
        <v>41857</v>
      </c>
      <c r="G34" s="123">
        <f t="shared" ref="G34:J49" si="17">$L34+IF(G$30,G$32,N34)</f>
        <v>8.6937737548538276E-4</v>
      </c>
      <c r="H34" s="123">
        <f t="shared" si="17"/>
        <v>2.317460486661808E-3</v>
      </c>
      <c r="I34" s="123">
        <f t="shared" si="17"/>
        <v>2.993862935380323E-3</v>
      </c>
      <c r="J34" s="123">
        <f t="shared" si="17"/>
        <v>4.725307653771901E-3</v>
      </c>
      <c r="K34" s="272">
        <f t="shared" ref="K34:K49" si="18">F34-SettlementDate</f>
        <v>1</v>
      </c>
      <c r="L34" s="125">
        <f>_xll.qlOvernightIndexedSwapFairRate(B34,_xll.ohTrigger(C34,InterestRatesTrigger))</f>
        <v>4.999998017218843E-4</v>
      </c>
      <c r="N34" s="126">
        <f>N$31*$K34+N$32</f>
        <v>3.6937757376349852E-4</v>
      </c>
      <c r="O34" s="118">
        <f t="shared" ref="O34:P40" si="19">IF(O$30,T34,O$31*$K34+O$32)</f>
        <v>1.8174606849399237E-3</v>
      </c>
      <c r="P34" s="118">
        <f t="shared" si="19"/>
        <v>2.4938631336584387E-3</v>
      </c>
      <c r="Q34" s="69">
        <f t="shared" ref="Q34:Q49" si="20">Q$31*$K34+Q$32</f>
        <v>4.2253078520500167E-3</v>
      </c>
      <c r="R34" s="118"/>
      <c r="S34" s="127" t="s">
        <v>66</v>
      </c>
      <c r="T34" s="118">
        <f t="shared" ref="T34:U40" si="21">$K34*$K34/3*T$30+$K34/2*T$31+T$32</f>
        <v>1.8174606849399237E-3</v>
      </c>
      <c r="U34" s="69">
        <f t="shared" si="21"/>
        <v>2.4938631336584387E-3</v>
      </c>
      <c r="AB34" s="378">
        <f>_xll.qlCalendarAdvance(Calendar,AB33,"1d","mf")</f>
        <v>41862</v>
      </c>
      <c r="AC34" s="105">
        <f t="shared" si="15"/>
        <v>1.4499999999996959E-3</v>
      </c>
      <c r="AD34" s="105">
        <f t="shared" si="13"/>
        <v>1.48938251759212E-3</v>
      </c>
      <c r="AE34" s="105">
        <f t="shared" si="14"/>
        <v>1.7383782712946578E-3</v>
      </c>
    </row>
    <row r="35" spans="2:31" x14ac:dyDescent="0.2">
      <c r="B35" s="79" t="str">
        <f>_xll.qlMakeDatedOIS(,E35,F35,OvernightIndex,0,,,,EvaluationDate)</f>
        <v>obj_003b8#0000</v>
      </c>
      <c r="C35" s="70" t="b">
        <f>_xll.qlInstrumentSetPricingEngine(B35,OisEngine)</f>
        <v>1</v>
      </c>
      <c r="D35" s="128" t="s">
        <v>67</v>
      </c>
      <c r="E35" s="65">
        <f t="shared" si="16"/>
        <v>41856</v>
      </c>
      <c r="F35" s="129">
        <f>_xll.qlCalendarAdvance(Calendar,SettlementDate,D35,"Following")</f>
        <v>41863</v>
      </c>
      <c r="G35" s="123">
        <f t="shared" si="17"/>
        <v>6.955020589996864E-4</v>
      </c>
      <c r="H35" s="123">
        <f t="shared" si="17"/>
        <v>2.1039326329687631E-3</v>
      </c>
      <c r="I35" s="123">
        <f t="shared" si="17"/>
        <v>2.8211793573251426E-3</v>
      </c>
      <c r="J35" s="123">
        <f t="shared" si="17"/>
        <v>4.5570335467854531E-3</v>
      </c>
      <c r="K35" s="130">
        <f t="shared" si="18"/>
        <v>7</v>
      </c>
      <c r="L35" s="131">
        <f>_xll.qlOvernightIndexedSwapFairRate(B35,_xll.ohTrigger(C35,InterestRatesTrigger))</f>
        <v>3.2999999998902955E-4</v>
      </c>
      <c r="N35" s="126">
        <f>N$31*$K35+N$32</f>
        <v>3.655020590106569E-4</v>
      </c>
      <c r="O35" s="118">
        <f t="shared" si="19"/>
        <v>1.7739326329797337E-3</v>
      </c>
      <c r="P35" s="118">
        <f t="shared" si="19"/>
        <v>2.491179357336113E-3</v>
      </c>
      <c r="Q35" s="69">
        <f t="shared" si="20"/>
        <v>4.2270335467964239E-3</v>
      </c>
      <c r="R35" s="118"/>
      <c r="S35" s="132" t="s">
        <v>67</v>
      </c>
      <c r="T35" s="118">
        <f t="shared" si="21"/>
        <v>1.7739326329797337E-3</v>
      </c>
      <c r="U35" s="69">
        <f t="shared" si="21"/>
        <v>2.491179357336113E-3</v>
      </c>
      <c r="AB35" s="378">
        <f>_xll.qlCalendarAdvance(Calendar,AB34,"1d","mf")</f>
        <v>41863</v>
      </c>
      <c r="AC35" s="105">
        <f t="shared" si="15"/>
        <v>1.4499999999996959E-3</v>
      </c>
      <c r="AD35" s="105">
        <f t="shared" si="13"/>
        <v>1.4889245813410454E-3</v>
      </c>
      <c r="AE35" s="105">
        <f t="shared" si="14"/>
        <v>1.7247393071577648E-3</v>
      </c>
    </row>
    <row r="36" spans="2:31" x14ac:dyDescent="0.2">
      <c r="B36" s="79" t="str">
        <f>_xll.qlMakeDatedOIS(,E36,F36,OvernightIndex,0,,,,EvaluationDate)</f>
        <v>obj_003aa#0000</v>
      </c>
      <c r="C36" s="70" t="b">
        <f>_xll.qlInstrumentSetPricingEngine(B36,OisEngine)</f>
        <v>1</v>
      </c>
      <c r="D36" s="128" t="s">
        <v>68</v>
      </c>
      <c r="E36" s="65">
        <f t="shared" si="16"/>
        <v>41856</v>
      </c>
      <c r="F36" s="129">
        <f>_xll.qlCalendarAdvance(Calendar,SettlementDate,D36,"Following")</f>
        <v>41870</v>
      </c>
      <c r="G36" s="123">
        <f t="shared" si="17"/>
        <v>7.7098062513445667E-4</v>
      </c>
      <c r="H36" s="123">
        <f t="shared" si="17"/>
        <v>2.1365936088689522E-3</v>
      </c>
      <c r="I36" s="123">
        <f t="shared" si="17"/>
        <v>2.8981550206609759E-3</v>
      </c>
      <c r="J36" s="123">
        <f t="shared" si="17"/>
        <v>4.6390468573360146E-3</v>
      </c>
      <c r="K36" s="130">
        <f t="shared" si="18"/>
        <v>14</v>
      </c>
      <c r="L36" s="131">
        <f>_xll.qlOvernightIndexedSwapFairRate(B36,_xll.ohTrigger(C36,InterestRatesTrigger))</f>
        <v>4.10000000002115E-4</v>
      </c>
      <c r="N36" s="126">
        <f>N$31*$K36+N$32</f>
        <v>3.6098062513234167E-4</v>
      </c>
      <c r="O36" s="118">
        <f t="shared" si="19"/>
        <v>1.7265936088668374E-3</v>
      </c>
      <c r="P36" s="118">
        <f t="shared" si="19"/>
        <v>2.488155020658861E-3</v>
      </c>
      <c r="Q36" s="69">
        <f t="shared" si="20"/>
        <v>4.2290468573338994E-3</v>
      </c>
      <c r="R36" s="118"/>
      <c r="S36" s="132" t="s">
        <v>68</v>
      </c>
      <c r="T36" s="118">
        <f t="shared" si="21"/>
        <v>1.7265936088668374E-3</v>
      </c>
      <c r="U36" s="69">
        <f t="shared" si="21"/>
        <v>2.488155020658861E-3</v>
      </c>
      <c r="AB36" s="378">
        <f>_xll.qlCalendarAdvance(Calendar,AB35,"1d","mf")</f>
        <v>41864</v>
      </c>
      <c r="AC36" s="105">
        <f t="shared" si="15"/>
        <v>1.4499999999996959E-3</v>
      </c>
      <c r="AD36" s="105">
        <f t="shared" si="13"/>
        <v>1.4884666450899707E-3</v>
      </c>
      <c r="AE36" s="105">
        <f t="shared" si="14"/>
        <v>1.7113274003730029E-3</v>
      </c>
    </row>
    <row r="37" spans="2:31" x14ac:dyDescent="0.2">
      <c r="B37" s="133" t="str">
        <f>_xll.qlMakeDatedOIS(,E37,F37,OvernightIndex,0,,,,EvaluationDate)</f>
        <v>obj_003ae#0000</v>
      </c>
      <c r="C37" s="134" t="b">
        <f>_xll.qlInstrumentSetPricingEngine(B37,OisEngine)</f>
        <v>1</v>
      </c>
      <c r="D37" s="135" t="s">
        <v>69</v>
      </c>
      <c r="E37" s="136">
        <f t="shared" si="16"/>
        <v>41856</v>
      </c>
      <c r="F37" s="137">
        <f>_xll.qlCalendarAdvance(Calendar,SettlementDate,D37,"Following")</f>
        <v>41877</v>
      </c>
      <c r="G37" s="138">
        <f t="shared" si="17"/>
        <v>7.96459191254625E-4</v>
      </c>
      <c r="H37" s="138">
        <f t="shared" si="17"/>
        <v>2.1229631881726847E-3</v>
      </c>
      <c r="I37" s="138">
        <f t="shared" si="17"/>
        <v>2.9252456301193715E-3</v>
      </c>
      <c r="J37" s="138">
        <f t="shared" si="17"/>
        <v>4.6710601678719736E-3</v>
      </c>
      <c r="K37" s="139">
        <f t="shared" si="18"/>
        <v>21</v>
      </c>
      <c r="L37" s="140">
        <f>_xll.qlOvernightIndexedSwapFairRate(B37,_xll.ohTrigger(C37,InterestRatesTrigger))</f>
        <v>4.400000000005986E-4</v>
      </c>
      <c r="N37" s="141">
        <f>N$31*$K37+N$32</f>
        <v>3.5645919125402645E-4</v>
      </c>
      <c r="O37" s="142">
        <f t="shared" si="19"/>
        <v>1.6829631881720862E-3</v>
      </c>
      <c r="P37" s="142">
        <f t="shared" si="19"/>
        <v>2.4852456301187728E-3</v>
      </c>
      <c r="Q37" s="143">
        <f t="shared" si="20"/>
        <v>4.2310601678713748E-3</v>
      </c>
      <c r="R37" s="142"/>
      <c r="S37" s="144" t="s">
        <v>69</v>
      </c>
      <c r="T37" s="142">
        <f t="shared" si="21"/>
        <v>1.6829631881720862E-3</v>
      </c>
      <c r="U37" s="143">
        <f t="shared" si="21"/>
        <v>2.4852456301187728E-3</v>
      </c>
      <c r="AB37" s="378">
        <f>_xll.qlCalendarAdvance(Calendar,AB36,"1d","mf")</f>
        <v>41865</v>
      </c>
      <c r="AC37" s="105">
        <f t="shared" si="15"/>
        <v>1.4499999999996959E-3</v>
      </c>
      <c r="AD37" s="105">
        <f t="shared" si="13"/>
        <v>1.4880087088388961E-3</v>
      </c>
      <c r="AE37" s="105">
        <f t="shared" si="14"/>
        <v>1.6981425509403725E-3</v>
      </c>
    </row>
    <row r="38" spans="2:31" x14ac:dyDescent="0.2">
      <c r="B38" s="79" t="str">
        <f>_xll.qlMakeDatedOIS(,E38,F38,OvernightIndex,0,,,,EvaluationDate)</f>
        <v>obj_003b6#0000</v>
      </c>
      <c r="C38" s="70" t="b">
        <f>_xll.qlInstrumentSetPricingEngine(B38,OisEngine)</f>
        <v>1</v>
      </c>
      <c r="D38" s="128" t="s">
        <v>62</v>
      </c>
      <c r="E38" s="65">
        <f t="shared" si="16"/>
        <v>41856</v>
      </c>
      <c r="F38" s="129">
        <f>_xll.qlCalendarAdvance(Calendar,SettlementDate,D38,"mf",TRUE)</f>
        <v>41887</v>
      </c>
      <c r="G38" s="145">
        <f t="shared" si="17"/>
        <v>9.7000000000000005E-4</v>
      </c>
      <c r="H38" s="145">
        <f t="shared" si="17"/>
        <v>2.2470673073954443E-3</v>
      </c>
      <c r="I38" s="145">
        <f t="shared" si="17"/>
        <v>3.1012887542797426E-3</v>
      </c>
      <c r="J38" s="145">
        <f t="shared" si="17"/>
        <v>4.8539363257827633E-3</v>
      </c>
      <c r="K38" s="124">
        <f t="shared" si="18"/>
        <v>31</v>
      </c>
      <c r="L38" s="131">
        <f>_xll.qlOvernightIndexedSwapFairRate(B38,_xll.ohTrigger(C38,InterestRatesTrigger))</f>
        <v>6.2000000000070961E-4</v>
      </c>
      <c r="N38" s="126">
        <f>N$31*$K38+N$32</f>
        <v>3.4999999999929044E-4</v>
      </c>
      <c r="O38" s="118">
        <f t="shared" si="19"/>
        <v>1.6270673073947345E-3</v>
      </c>
      <c r="P38" s="118">
        <f t="shared" si="19"/>
        <v>2.4812887542790332E-3</v>
      </c>
      <c r="Q38" s="69">
        <f t="shared" si="20"/>
        <v>4.2339363257820539E-3</v>
      </c>
      <c r="R38" s="118"/>
      <c r="S38" s="132" t="s">
        <v>62</v>
      </c>
      <c r="T38" s="118">
        <f t="shared" si="21"/>
        <v>1.6270673073947345E-3</v>
      </c>
      <c r="U38" s="69">
        <f t="shared" si="21"/>
        <v>2.4812887542790332E-3</v>
      </c>
      <c r="AB38" s="378">
        <f>_xll.qlCalendarAdvance(Calendar,AB37,"1d","mf")</f>
        <v>41866</v>
      </c>
      <c r="AC38" s="105">
        <f t="shared" si="15"/>
        <v>1.4499999999996959E-3</v>
      </c>
      <c r="AD38" s="105">
        <f t="shared" si="13"/>
        <v>1.4875507725878212E-3</v>
      </c>
      <c r="AE38" s="105">
        <f t="shared" si="14"/>
        <v>1.6851847588598731E-3</v>
      </c>
    </row>
    <row r="39" spans="2:31" x14ac:dyDescent="0.2">
      <c r="B39" s="79" t="str">
        <f>_xll.qlMakeDatedOIS(,E39,F39,OvernightIndex,0,,,,EvaluationDate)</f>
        <v>obj_003be#0000</v>
      </c>
      <c r="C39" s="70" t="b">
        <f>_xll.qlInstrumentSetPricingEngine(B39,OisEngine)</f>
        <v>1</v>
      </c>
      <c r="D39" s="128" t="s">
        <v>70</v>
      </c>
      <c r="E39" s="65">
        <f t="shared" si="16"/>
        <v>41856</v>
      </c>
      <c r="F39" s="129">
        <f>_xll.qlCalendarAdvance(Calendar,SettlementDate,D39,"mf",TRUE)</f>
        <v>41918</v>
      </c>
      <c r="G39" s="146"/>
      <c r="H39" s="123">
        <f t="shared" si="17"/>
        <v>2.1618883927454805E-3</v>
      </c>
      <c r="I39" s="123">
        <f t="shared" si="17"/>
        <v>3.1305132202003837E-3</v>
      </c>
      <c r="J39" s="123">
        <f t="shared" si="17"/>
        <v>4.902852415305874E-3</v>
      </c>
      <c r="K39" s="130">
        <f t="shared" si="18"/>
        <v>62</v>
      </c>
      <c r="L39" s="131">
        <f>_xll.qlOvernightIndexedSwapFairRate(B39,_xll.ohTrigger(C39,InterestRatesTrigger))</f>
        <v>6.6000000000071394E-4</v>
      </c>
      <c r="N39" s="146"/>
      <c r="O39" s="118">
        <f t="shared" si="19"/>
        <v>1.5018883927447667E-3</v>
      </c>
      <c r="P39" s="118">
        <f t="shared" si="19"/>
        <v>2.4705132201996698E-3</v>
      </c>
      <c r="Q39" s="69">
        <f t="shared" si="20"/>
        <v>4.2428524153051601E-3</v>
      </c>
      <c r="R39" s="118"/>
      <c r="S39" s="132" t="s">
        <v>70</v>
      </c>
      <c r="T39" s="118">
        <f t="shared" si="21"/>
        <v>1.5018883927447667E-3</v>
      </c>
      <c r="U39" s="69">
        <f t="shared" si="21"/>
        <v>2.4705132201996698E-3</v>
      </c>
      <c r="AB39" s="378">
        <f>_xll.qlCalendarAdvance(Calendar,AB38,"1d","mf")</f>
        <v>41869</v>
      </c>
      <c r="AC39" s="105">
        <f t="shared" si="15"/>
        <v>1.4499999999996959E-3</v>
      </c>
      <c r="AD39" s="105">
        <f t="shared" si="13"/>
        <v>1.4861769638345973E-3</v>
      </c>
      <c r="AE39" s="105">
        <f t="shared" si="14"/>
        <v>1.6476737267311636E-3</v>
      </c>
    </row>
    <row r="40" spans="2:31" x14ac:dyDescent="0.2">
      <c r="B40" s="79" t="str">
        <f>_xll.qlMakeDatedOIS(,E40,F40,OvernightIndex,0,,,,EvaluationDate)</f>
        <v>obj_003b1#0000</v>
      </c>
      <c r="C40" s="70" t="b">
        <f>_xll.qlInstrumentSetPricingEngine(B40,OisEngine)</f>
        <v>1</v>
      </c>
      <c r="D40" s="128" t="s">
        <v>63</v>
      </c>
      <c r="E40" s="65">
        <f t="shared" si="16"/>
        <v>41856</v>
      </c>
      <c r="F40" s="129">
        <f>_xll.qlCalendarAdvance(Calendar,SettlementDate,D40,"mf",TRUE)</f>
        <v>41948</v>
      </c>
      <c r="G40" s="147"/>
      <c r="H40" s="123">
        <f t="shared" si="17"/>
        <v>2.0799999999999998E-3</v>
      </c>
      <c r="I40" s="123">
        <f t="shared" si="17"/>
        <v>3.0922317271677084E-3</v>
      </c>
      <c r="J40" s="123">
        <f t="shared" si="17"/>
        <v>4.8814808890375013E-3</v>
      </c>
      <c r="K40" s="130">
        <f t="shared" si="18"/>
        <v>92</v>
      </c>
      <c r="L40" s="131">
        <f>_xll.qlOvernightIndexedSwapFairRate(B40,_xll.ohTrigger(C40,InterestRatesTrigger))</f>
        <v>6.3000000000030425E-4</v>
      </c>
      <c r="N40" s="147"/>
      <c r="O40" s="118">
        <f t="shared" si="19"/>
        <v>1.4499999999996957E-3</v>
      </c>
      <c r="P40" s="118">
        <f t="shared" si="19"/>
        <v>2.462231727167404E-3</v>
      </c>
      <c r="Q40" s="69">
        <f t="shared" si="20"/>
        <v>4.2514808890371973E-3</v>
      </c>
      <c r="R40" s="118"/>
      <c r="S40" s="132" t="s">
        <v>63</v>
      </c>
      <c r="T40" s="118">
        <f t="shared" si="21"/>
        <v>1.4499999999996957E-3</v>
      </c>
      <c r="U40" s="69">
        <f t="shared" si="21"/>
        <v>2.462231727167404E-3</v>
      </c>
      <c r="AB40" s="378">
        <f>_xll.qlCalendarAdvance(Calendar,AB39,"1d","mf")</f>
        <v>41870</v>
      </c>
      <c r="AC40" s="105">
        <f t="shared" si="15"/>
        <v>1.4499999999996959E-3</v>
      </c>
      <c r="AD40" s="105">
        <f t="shared" si="13"/>
        <v>1.4857190275835224E-3</v>
      </c>
      <c r="AE40" s="105">
        <f t="shared" si="14"/>
        <v>1.6356241640591899E-3</v>
      </c>
    </row>
    <row r="41" spans="2:31" x14ac:dyDescent="0.2">
      <c r="B41" s="79" t="str">
        <f>_xll.qlMakeDatedOIS(,E41,F41,OvernightIndex,0,,,,EvaluationDate)</f>
        <v>obj_003b2#0000</v>
      </c>
      <c r="C41" s="70" t="b">
        <f>_xll.qlInstrumentSetPricingEngine(B41,OisEngine)</f>
        <v>1</v>
      </c>
      <c r="D41" s="128" t="s">
        <v>71</v>
      </c>
      <c r="E41" s="65">
        <f t="shared" si="16"/>
        <v>41856</v>
      </c>
      <c r="F41" s="129">
        <f>_xll.qlCalendarAdvance(Calendar,SettlementDate,D41,"mf",TRUE)</f>
        <v>41978</v>
      </c>
      <c r="G41" s="148"/>
      <c r="H41" s="149"/>
      <c r="I41" s="123">
        <f t="shared" si="17"/>
        <v>3.096061489716485E-3</v>
      </c>
      <c r="J41" s="123">
        <f t="shared" si="17"/>
        <v>4.9001093627700212E-3</v>
      </c>
      <c r="K41" s="130">
        <f t="shared" si="18"/>
        <v>122</v>
      </c>
      <c r="L41" s="131">
        <f>_xll.qlOvernightIndexedSwapFairRate(B41,_xll.ohTrigger(C41,InterestRatesTrigger))</f>
        <v>6.4000000000078567E-4</v>
      </c>
      <c r="N41" s="148"/>
      <c r="O41" s="149"/>
      <c r="P41" s="118">
        <f>IF(P$30,U41,P$31*$K41+P$32)</f>
        <v>2.4560614897156993E-3</v>
      </c>
      <c r="Q41" s="69">
        <f t="shared" si="20"/>
        <v>4.2601093627692354E-3</v>
      </c>
      <c r="R41" s="118"/>
      <c r="S41" s="132" t="s">
        <v>71</v>
      </c>
      <c r="T41" s="149"/>
      <c r="U41" s="69">
        <f>$K41*$K41/3*U$30+$K41/2*U$31+U$32</f>
        <v>2.4560614897156993E-3</v>
      </c>
      <c r="AB41" s="378">
        <f>_xll.qlCalendarAdvance(Calendar,AB40,"1d","mf")</f>
        <v>41871</v>
      </c>
      <c r="AC41" s="105">
        <f t="shared" si="15"/>
        <v>1.4499999999996959E-3</v>
      </c>
      <c r="AD41" s="105">
        <f t="shared" si="13"/>
        <v>1.4852610913324478E-3</v>
      </c>
      <c r="AE41" s="105">
        <f t="shared" si="14"/>
        <v>1.6238016587393474E-3</v>
      </c>
    </row>
    <row r="42" spans="2:31" x14ac:dyDescent="0.2">
      <c r="B42" s="79" t="str">
        <f>_xll.qlMakeDatedOIS(,E42,F42,OvernightIndex,0,,,,EvaluationDate)</f>
        <v>obj_003a7#0000</v>
      </c>
      <c r="C42" s="70" t="b">
        <f>_xll.qlInstrumentSetPricingEngine(B42,OisEngine)</f>
        <v>1</v>
      </c>
      <c r="D42" s="128" t="s">
        <v>72</v>
      </c>
      <c r="E42" s="65">
        <f t="shared" si="16"/>
        <v>41856</v>
      </c>
      <c r="F42" s="129">
        <f>_xll.qlCalendarAdvance(Calendar,SettlementDate,D42,"mf",TRUE)</f>
        <v>42009</v>
      </c>
      <c r="G42" s="148"/>
      <c r="H42" s="150"/>
      <c r="I42" s="123">
        <f t="shared" si="17"/>
        <v>3.0919035689622671E-3</v>
      </c>
      <c r="J42" s="123">
        <f t="shared" si="17"/>
        <v>4.9090254522929809E-3</v>
      </c>
      <c r="K42" s="130">
        <f t="shared" si="18"/>
        <v>153</v>
      </c>
      <c r="L42" s="131">
        <f>_xll.qlOvernightIndexedSwapFairRate(B42,_xll.ohTrigger(C42,InterestRatesTrigger))</f>
        <v>6.4000000000064006E-4</v>
      </c>
      <c r="N42" s="148"/>
      <c r="O42" s="150"/>
      <c r="P42" s="118">
        <f>IF(P$30,U42,P$31*$K42+P$32)</f>
        <v>2.451903568961627E-3</v>
      </c>
      <c r="Q42" s="69">
        <f t="shared" si="20"/>
        <v>4.2690254522923408E-3</v>
      </c>
      <c r="R42" s="118"/>
      <c r="S42" s="132" t="s">
        <v>72</v>
      </c>
      <c r="T42" s="150"/>
      <c r="U42" s="69">
        <f>$K42*$K42/3*U$30+$K42/2*U$31+U$32</f>
        <v>2.451903568961627E-3</v>
      </c>
      <c r="AB42" s="378">
        <f>_xll.qlCalendarAdvance(Calendar,AB41,"1d","mf")</f>
        <v>41872</v>
      </c>
      <c r="AC42" s="105">
        <f t="shared" si="15"/>
        <v>1.4499999999996959E-3</v>
      </c>
      <c r="AD42" s="105">
        <f t="shared" si="13"/>
        <v>1.4848031550813731E-3</v>
      </c>
      <c r="AE42" s="105">
        <f t="shared" si="14"/>
        <v>1.6122062107716364E-3</v>
      </c>
    </row>
    <row r="43" spans="2:31" x14ac:dyDescent="0.2">
      <c r="B43" s="79" t="str">
        <f>_xll.qlMakeDatedOIS(,E43,F43,OvernightIndex,0,,,,EvaluationDate)</f>
        <v>obj_003b9#0000</v>
      </c>
      <c r="C43" s="70" t="b">
        <f>_xll.qlInstrumentSetPricingEngine(B43,OisEngine)</f>
        <v>1</v>
      </c>
      <c r="D43" s="151" t="s">
        <v>64</v>
      </c>
      <c r="E43" s="65">
        <f t="shared" si="16"/>
        <v>41856</v>
      </c>
      <c r="F43" s="129">
        <f>_xll.qlCalendarAdvance(Calendar,SettlementDate,D43,"mf",TRUE)</f>
        <v>42040</v>
      </c>
      <c r="G43" s="148"/>
      <c r="H43" s="150"/>
      <c r="I43" s="123">
        <f t="shared" si="17"/>
        <v>3.0799999999999907E-3</v>
      </c>
      <c r="J43" s="123">
        <f t="shared" si="17"/>
        <v>4.9079415418157501E-3</v>
      </c>
      <c r="K43" s="130">
        <f t="shared" si="18"/>
        <v>184</v>
      </c>
      <c r="L43" s="131">
        <f>_xll.qlOvernightIndexedSwapFairRate(B43,_xll.ohTrigger(C43,InterestRatesTrigger))</f>
        <v>6.3000000000030425E-4</v>
      </c>
      <c r="N43" s="148"/>
      <c r="O43" s="150"/>
      <c r="P43" s="118">
        <f>IF(P$30,U43,P$31*$K43+P$32)</f>
        <v>2.4499999999996864E-3</v>
      </c>
      <c r="Q43" s="69">
        <f t="shared" si="20"/>
        <v>4.2779415418154462E-3</v>
      </c>
      <c r="R43" s="118"/>
      <c r="S43" s="152" t="s">
        <v>64</v>
      </c>
      <c r="T43" s="153"/>
      <c r="U43" s="143">
        <f>$K43*$K43/3*U$30+$K43/2*U$31+U$32</f>
        <v>2.4499999999996864E-3</v>
      </c>
      <c r="AB43" s="378">
        <f>_xll.qlCalendarAdvance(Calendar,AB42,"1d","mf")</f>
        <v>41873</v>
      </c>
      <c r="AC43" s="105">
        <f t="shared" si="15"/>
        <v>1.4499999999996959E-3</v>
      </c>
      <c r="AD43" s="105">
        <f t="shared" si="13"/>
        <v>1.4843452188302985E-3</v>
      </c>
      <c r="AE43" s="105">
        <f t="shared" si="14"/>
        <v>1.6008378201560565E-3</v>
      </c>
    </row>
    <row r="44" spans="2:31" x14ac:dyDescent="0.2">
      <c r="B44" s="79" t="str">
        <f>_xll.qlMakeDatedOIS(,E44,F44,OvernightIndex,0,,,,EvaluationDate)</f>
        <v>obj_003ab#0000</v>
      </c>
      <c r="C44" s="70" t="b">
        <f>_xll.qlInstrumentSetPricingEngine(B44,OisEngine)</f>
        <v>1</v>
      </c>
      <c r="D44" s="151" t="s">
        <v>73</v>
      </c>
      <c r="E44" s="65">
        <f t="shared" si="16"/>
        <v>41856</v>
      </c>
      <c r="F44" s="129">
        <f>_xll.qlCalendarAdvance(Calendar,SettlementDate,D44,"mf",TRUE)</f>
        <v>42068</v>
      </c>
      <c r="G44" s="148"/>
      <c r="H44" s="154"/>
      <c r="I44" s="149"/>
      <c r="J44" s="123">
        <f t="shared" si="17"/>
        <v>4.9359947839665895E-3</v>
      </c>
      <c r="K44" s="130">
        <f t="shared" si="18"/>
        <v>212</v>
      </c>
      <c r="L44" s="131">
        <f>_xll.qlOvernightIndexedSwapFairRate(B44,_xll.ohTrigger(C44,InterestRatesTrigger))</f>
        <v>6.5000000000124182E-4</v>
      </c>
      <c r="N44" s="155" t="s">
        <v>74</v>
      </c>
      <c r="O44" s="156"/>
      <c r="P44" s="149"/>
      <c r="Q44" s="69">
        <f t="shared" si="20"/>
        <v>4.2859947839653479E-3</v>
      </c>
      <c r="R44" s="118"/>
      <c r="S44" s="118"/>
      <c r="AB44" s="378">
        <f>_xll.qlCalendarAdvance(Calendar,AB43,"1d","mf")</f>
        <v>41876</v>
      </c>
      <c r="AC44" s="105">
        <f t="shared" si="15"/>
        <v>1.4499999999996959E-3</v>
      </c>
      <c r="AD44" s="105">
        <f t="shared" si="13"/>
        <v>1.4829714100770743E-3</v>
      </c>
      <c r="AE44" s="105">
        <f t="shared" si="14"/>
        <v>1.5680949924221053E-3</v>
      </c>
    </row>
    <row r="45" spans="2:31" x14ac:dyDescent="0.2">
      <c r="B45" s="79" t="str">
        <f>_xll.qlMakeDatedOIS(,E45,F45,OvernightIndex,0,,,,EvaluationDate)</f>
        <v>obj_003c1#0000</v>
      </c>
      <c r="C45" s="70" t="b">
        <f>_xll.qlInstrumentSetPricingEngine(B45,OisEngine)</f>
        <v>1</v>
      </c>
      <c r="D45" s="151" t="s">
        <v>75</v>
      </c>
      <c r="E45" s="65">
        <f t="shared" si="16"/>
        <v>41856</v>
      </c>
      <c r="F45" s="129">
        <f>_xll.qlCalendarAdvance(Calendar,SettlementDate,D45,"mf",TRUE)</f>
        <v>42101</v>
      </c>
      <c r="G45" s="148"/>
      <c r="H45" s="154"/>
      <c r="I45" s="150"/>
      <c r="J45" s="123">
        <f t="shared" si="17"/>
        <v>4.9354861050721725E-3</v>
      </c>
      <c r="K45" s="130">
        <f t="shared" si="18"/>
        <v>245</v>
      </c>
      <c r="L45" s="131">
        <f>_xll.qlOvernightIndexedSwapFairRate(B45,_xll.ohTrigger(C45,InterestRatesTrigger))</f>
        <v>6.4000000000158266E-4</v>
      </c>
      <c r="N45" s="157"/>
      <c r="O45" s="158" t="s">
        <v>76</v>
      </c>
      <c r="P45" s="159"/>
      <c r="Q45" s="69">
        <f t="shared" si="20"/>
        <v>4.2954861050705897E-3</v>
      </c>
      <c r="R45" s="118"/>
      <c r="S45" s="118"/>
      <c r="AB45" s="378">
        <f>_xll.qlCalendarAdvance(Calendar,AB44,"1d","mf")</f>
        <v>41877</v>
      </c>
      <c r="AC45" s="105">
        <f t="shared" si="15"/>
        <v>1.4499999999996959E-3</v>
      </c>
      <c r="AD45" s="105">
        <f t="shared" si="13"/>
        <v>1.4825134738259997E-3</v>
      </c>
      <c r="AE45" s="105">
        <f t="shared" si="14"/>
        <v>1.5576348312150508E-3</v>
      </c>
    </row>
    <row r="46" spans="2:31" x14ac:dyDescent="0.2">
      <c r="B46" s="79" t="str">
        <f>_xll.qlMakeDatedOIS(,E46,F46,OvernightIndex,0,,,,EvaluationDate)</f>
        <v>obj_003af#0000</v>
      </c>
      <c r="C46" s="70" t="b">
        <f>_xll.qlInstrumentSetPricingEngine(B46,OisEngine)</f>
        <v>1</v>
      </c>
      <c r="D46" s="151" t="s">
        <v>77</v>
      </c>
      <c r="E46" s="65">
        <f t="shared" si="16"/>
        <v>41856</v>
      </c>
      <c r="F46" s="129">
        <f>_xll.qlCalendarAdvance(Calendar,SettlementDate,D46,"mf",TRUE)</f>
        <v>42129</v>
      </c>
      <c r="G46" s="148"/>
      <c r="H46" s="154"/>
      <c r="I46" s="150"/>
      <c r="J46" s="123">
        <f t="shared" si="17"/>
        <v>4.923539347221069E-3</v>
      </c>
      <c r="K46" s="130">
        <f t="shared" si="18"/>
        <v>273</v>
      </c>
      <c r="L46" s="131">
        <f>_xll.qlOvernightIndexedSwapFairRate(B46,_xll.ohTrigger(C46,InterestRatesTrigger))</f>
        <v>6.2000000000057723E-4</v>
      </c>
      <c r="N46" s="148"/>
      <c r="O46" s="156"/>
      <c r="P46" s="160" t="s">
        <v>78</v>
      </c>
      <c r="Q46" s="69">
        <f t="shared" si="20"/>
        <v>4.3035393472204914E-3</v>
      </c>
      <c r="R46" s="118"/>
      <c r="S46" s="118"/>
      <c r="AB46" s="378">
        <f>_xll.qlCalendarAdvance(Calendar,AB45,"1d","mf")</f>
        <v>41878</v>
      </c>
      <c r="AC46" s="105">
        <f t="shared" si="15"/>
        <v>1.4499999999996959E-3</v>
      </c>
      <c r="AD46" s="105">
        <f t="shared" si="13"/>
        <v>1.4820555375749248E-3</v>
      </c>
      <c r="AE46" s="105">
        <f t="shared" si="14"/>
        <v>1.5474017273601278E-3</v>
      </c>
    </row>
    <row r="47" spans="2:31" x14ac:dyDescent="0.2">
      <c r="B47" s="79" t="str">
        <f>_xll.qlMakeDatedOIS(,E47,F47,OvernightIndex,0,,,,EvaluationDate)</f>
        <v>obj_003b5#0000</v>
      </c>
      <c r="C47" s="70" t="b">
        <f>_xll.qlInstrumentSetPricingEngine(B47,OisEngine)</f>
        <v>1</v>
      </c>
      <c r="D47" s="151" t="s">
        <v>79</v>
      </c>
      <c r="E47" s="65">
        <f t="shared" si="16"/>
        <v>41856</v>
      </c>
      <c r="F47" s="129">
        <f>_xll.qlCalendarAdvance(Calendar,SettlementDate,D47,"mf",TRUE)</f>
        <v>42160</v>
      </c>
      <c r="G47" s="148"/>
      <c r="H47" s="154"/>
      <c r="I47" s="150"/>
      <c r="J47" s="123">
        <f t="shared" si="17"/>
        <v>4.9124554367441092E-3</v>
      </c>
      <c r="K47" s="130">
        <f t="shared" si="18"/>
        <v>304</v>
      </c>
      <c r="L47" s="131">
        <f>_xll.qlOvernightIndexedSwapFairRate(B47,_xll.ohTrigger(C47,InterestRatesTrigger))</f>
        <v>6.0000000000051245E-4</v>
      </c>
      <c r="N47" s="148"/>
      <c r="O47" s="154"/>
      <c r="P47" s="150"/>
      <c r="Q47" s="69">
        <f t="shared" si="20"/>
        <v>4.3124554367435968E-3</v>
      </c>
      <c r="R47" s="118"/>
      <c r="S47" s="118"/>
      <c r="AB47" s="378">
        <f>_xll.qlCalendarAdvance(Calendar,AB46,"1d","mf")</f>
        <v>41879</v>
      </c>
      <c r="AC47" s="105">
        <f t="shared" si="15"/>
        <v>1.4499999999996959E-3</v>
      </c>
      <c r="AD47" s="105">
        <f t="shared" si="13"/>
        <v>1.4815976013238502E-3</v>
      </c>
      <c r="AE47" s="105">
        <f t="shared" si="14"/>
        <v>1.537395680857336E-3</v>
      </c>
    </row>
    <row r="48" spans="2:31" x14ac:dyDescent="0.2">
      <c r="B48" s="79" t="str">
        <f>_xll.qlMakeDatedOIS(,E48,F48,OvernightIndex,0,,,,EvaluationDate)</f>
        <v>obj_003a6#0000</v>
      </c>
      <c r="C48" s="70" t="b">
        <f>_xll.qlInstrumentSetPricingEngine(B48,OisEngine)</f>
        <v>1</v>
      </c>
      <c r="D48" s="151" t="s">
        <v>80</v>
      </c>
      <c r="E48" s="65">
        <f t="shared" si="16"/>
        <v>41856</v>
      </c>
      <c r="F48" s="129">
        <f>_xll.qlCalendarAdvance(Calendar,SettlementDate,D48,"mf",TRUE)</f>
        <v>42191</v>
      </c>
      <c r="G48" s="148"/>
      <c r="H48" s="154"/>
      <c r="I48" s="150"/>
      <c r="J48" s="123">
        <f t="shared" si="17"/>
        <v>4.9013715262672813E-3</v>
      </c>
      <c r="K48" s="130">
        <f t="shared" si="18"/>
        <v>335</v>
      </c>
      <c r="L48" s="131">
        <f>_xll.qlOvernightIndexedSwapFairRate(B48,_xll.ohTrigger(C48,InterestRatesTrigger))</f>
        <v>5.8000000000057843E-4</v>
      </c>
      <c r="N48" s="148"/>
      <c r="O48" s="154"/>
      <c r="P48" s="150"/>
      <c r="Q48" s="69">
        <f t="shared" si="20"/>
        <v>4.321371526266703E-3</v>
      </c>
      <c r="R48" s="118"/>
      <c r="S48" s="118"/>
      <c r="AB48" s="378">
        <f>_xll.qlCalendarAdvance(Calendar,AB47,"1d","mf")</f>
        <v>41880</v>
      </c>
      <c r="AC48" s="105">
        <f t="shared" si="15"/>
        <v>1.4499999999996959E-3</v>
      </c>
      <c r="AD48" s="105">
        <f t="shared" si="13"/>
        <v>1.4811396650727755E-3</v>
      </c>
      <c r="AE48" s="105">
        <f t="shared" si="14"/>
        <v>1.5276166917066755E-3</v>
      </c>
    </row>
    <row r="49" spans="2:31" x14ac:dyDescent="0.2">
      <c r="B49" s="133" t="str">
        <f>_xll.qlMakeDatedOIS(,E49,F49,OvernightIndex,0,,,,EvaluationDate)</f>
        <v>obj_003bd#0000</v>
      </c>
      <c r="C49" s="134" t="b">
        <f>_xll.qlInstrumentSetPricingEngine(B49,OisEngine)</f>
        <v>1</v>
      </c>
      <c r="D49" s="151" t="s">
        <v>81</v>
      </c>
      <c r="E49" s="65">
        <f t="shared" si="16"/>
        <v>41856</v>
      </c>
      <c r="F49" s="129">
        <f>_xll.qlCalendarAdvance(Calendar,SettlementDate,D49,"mf",TRUE)</f>
        <v>42221</v>
      </c>
      <c r="G49" s="148"/>
      <c r="H49" s="154"/>
      <c r="I49" s="150"/>
      <c r="J49" s="123">
        <f t="shared" si="17"/>
        <v>4.8900000000000002E-3</v>
      </c>
      <c r="K49" s="130">
        <f t="shared" si="18"/>
        <v>365</v>
      </c>
      <c r="L49" s="131">
        <f>_xll.qlOvernightIndexedSwapFairRate(B49,_xll.ohTrigger(C49,InterestRatesTrigger))</f>
        <v>5.6000000000125979E-4</v>
      </c>
      <c r="N49" s="161"/>
      <c r="O49" s="162"/>
      <c r="P49" s="153"/>
      <c r="Q49" s="143">
        <f t="shared" si="20"/>
        <v>4.3299999999987402E-3</v>
      </c>
      <c r="R49" s="118"/>
      <c r="S49" s="118"/>
      <c r="AB49" s="378">
        <f>_xll.qlCalendarAdvance(Calendar,AB48,"1d","mf")</f>
        <v>41883</v>
      </c>
      <c r="AC49" s="105">
        <f t="shared" si="15"/>
        <v>1.4499999999996959E-3</v>
      </c>
      <c r="AD49" s="105">
        <f t="shared" si="13"/>
        <v>1.4797658563195514E-3</v>
      </c>
      <c r="AE49" s="105">
        <f t="shared" si="14"/>
        <v>1.4996420683674825E-3</v>
      </c>
    </row>
    <row r="50" spans="2:31" x14ac:dyDescent="0.2">
      <c r="D50" s="106"/>
      <c r="E50" s="106"/>
      <c r="F50" s="106"/>
      <c r="G50" s="106"/>
      <c r="H50" s="106"/>
      <c r="I50" s="106"/>
      <c r="J50" s="106"/>
      <c r="K50" s="106"/>
      <c r="L50" s="106"/>
      <c r="AB50" s="378">
        <f>_xll.qlCalendarAdvance(Calendar,AB49,"1d","mf")</f>
        <v>41884</v>
      </c>
      <c r="AC50" s="105">
        <f t="shared" si="15"/>
        <v>1.4499999999996959E-3</v>
      </c>
      <c r="AD50" s="105">
        <f t="shared" si="13"/>
        <v>1.4793079200684767E-3</v>
      </c>
      <c r="AE50" s="105">
        <f t="shared" si="14"/>
        <v>1.4907713086253474E-3</v>
      </c>
    </row>
    <row r="51" spans="2:31" x14ac:dyDescent="0.2">
      <c r="N51" s="163"/>
      <c r="O51" s="163"/>
      <c r="P51" s="163"/>
      <c r="Q51" s="163"/>
      <c r="R51" s="163"/>
      <c r="S51" s="163"/>
      <c r="AB51" s="378">
        <f>_xll.qlCalendarAdvance(Calendar,AB50,"1d","mf")</f>
        <v>41885</v>
      </c>
      <c r="AC51" s="105">
        <f t="shared" si="15"/>
        <v>1.4499999999996959E-3</v>
      </c>
      <c r="AD51" s="105">
        <f t="shared" si="13"/>
        <v>1.4788499838174021E-3</v>
      </c>
      <c r="AE51" s="105">
        <f t="shared" si="14"/>
        <v>1.4821276062353438E-3</v>
      </c>
    </row>
    <row r="52" spans="2:31" x14ac:dyDescent="0.2">
      <c r="AB52" s="378">
        <f>_xll.qlCalendarAdvance(Calendar,AB51,"1d","mf")</f>
        <v>41886</v>
      </c>
      <c r="AC52" s="105">
        <f t="shared" si="15"/>
        <v>1.4499999999996959E-3</v>
      </c>
      <c r="AD52" s="105">
        <f t="shared" si="13"/>
        <v>1.4783920475663272E-3</v>
      </c>
      <c r="AE52" s="105">
        <f t="shared" si="14"/>
        <v>1.4737109611974715E-3</v>
      </c>
    </row>
    <row r="53" spans="2:31" x14ac:dyDescent="0.2">
      <c r="AB53" s="378">
        <f>_xll.qlCalendarAdvance(Calendar,AB52,"1d","mf")</f>
        <v>41887</v>
      </c>
      <c r="AC53" s="105">
        <f t="shared" si="15"/>
        <v>1.4499999999996959E-3</v>
      </c>
      <c r="AD53" s="105">
        <f t="shared" si="13"/>
        <v>1.4779341113152526E-3</v>
      </c>
      <c r="AE53" s="105">
        <f t="shared" si="14"/>
        <v>1.4655213735117305E-3</v>
      </c>
    </row>
    <row r="54" spans="2:31" x14ac:dyDescent="0.2">
      <c r="AB54" s="378">
        <f>_xll.qlCalendarAdvance(Calendar,AB53,"1d","mf")</f>
        <v>41890</v>
      </c>
      <c r="AC54" s="105">
        <f t="shared" si="15"/>
        <v>1.4499999999996959E-3</v>
      </c>
      <c r="AD54" s="105">
        <f t="shared" si="13"/>
        <v>1.4765603025620284E-3</v>
      </c>
      <c r="AE54" s="105">
        <f t="shared" si="14"/>
        <v>1.4423149545672953E-3</v>
      </c>
    </row>
    <row r="55" spans="2:31" x14ac:dyDescent="0.2">
      <c r="AB55" s="378">
        <f>_xll.qlCalendarAdvance(Calendar,AB54,"1d","mf")</f>
        <v>41891</v>
      </c>
      <c r="AC55" s="105">
        <f t="shared" si="15"/>
        <v>1.4499999999996959E-3</v>
      </c>
      <c r="AD55" s="105">
        <f t="shared" si="13"/>
        <v>1.4761023663109538E-3</v>
      </c>
      <c r="AE55" s="105">
        <f t="shared" si="14"/>
        <v>1.4350335962900797E-3</v>
      </c>
    </row>
    <row r="56" spans="2:31" x14ac:dyDescent="0.2">
      <c r="AB56" s="378">
        <f>_xll.qlCalendarAdvance(Calendar,AB55,"1d","mf")</f>
        <v>41892</v>
      </c>
      <c r="AC56" s="105">
        <f t="shared" si="15"/>
        <v>1.4499999999996959E-3</v>
      </c>
      <c r="AD56" s="105">
        <f t="shared" si="13"/>
        <v>1.4756444300598791E-3</v>
      </c>
      <c r="AE56" s="105">
        <f t="shared" si="14"/>
        <v>1.4279792953649955E-3</v>
      </c>
    </row>
    <row r="57" spans="2:31" x14ac:dyDescent="0.2">
      <c r="AB57" s="378">
        <f>_xll.qlCalendarAdvance(Calendar,AB56,"1d","mf")</f>
        <v>41893</v>
      </c>
      <c r="AC57" s="105">
        <f t="shared" si="15"/>
        <v>1.4499999999996959E-3</v>
      </c>
      <c r="AD57" s="105">
        <f t="shared" si="13"/>
        <v>1.4751864938088045E-3</v>
      </c>
      <c r="AE57" s="105">
        <f t="shared" si="14"/>
        <v>1.4211520517920424E-3</v>
      </c>
    </row>
    <row r="58" spans="2:31" x14ac:dyDescent="0.2">
      <c r="AB58" s="378">
        <f>_xll.qlCalendarAdvance(Calendar,AB57,"1d","mf")</f>
        <v>41894</v>
      </c>
      <c r="AC58" s="105">
        <f t="shared" si="15"/>
        <v>1.4499999999996959E-3</v>
      </c>
      <c r="AD58" s="105">
        <f t="shared" si="13"/>
        <v>1.4747285575577296E-3</v>
      </c>
      <c r="AE58" s="105">
        <f t="shared" si="14"/>
        <v>1.4145518655712208E-3</v>
      </c>
    </row>
    <row r="59" spans="2:31" x14ac:dyDescent="0.2">
      <c r="AB59" s="378">
        <f>_xll.qlCalendarAdvance(Calendar,AB58,"1d","mf")</f>
        <v>41897</v>
      </c>
      <c r="AC59" s="105">
        <f t="shared" si="15"/>
        <v>1.4499999999996959E-3</v>
      </c>
      <c r="AD59" s="105">
        <f t="shared" si="13"/>
        <v>1.4733547488045057E-3</v>
      </c>
      <c r="AE59" s="105">
        <f t="shared" si="14"/>
        <v>1.396113651021544E-3</v>
      </c>
    </row>
    <row r="60" spans="2:31" x14ac:dyDescent="0.2">
      <c r="AB60" s="378">
        <f>_xll.qlCalendarAdvance(Calendar,AB59,"1d","mf")</f>
        <v>41898</v>
      </c>
      <c r="AC60" s="105">
        <f t="shared" si="15"/>
        <v>1.4499999999996959E-3</v>
      </c>
      <c r="AD60" s="105">
        <f t="shared" si="13"/>
        <v>1.4728968125534308E-3</v>
      </c>
      <c r="AE60" s="105">
        <f t="shared" si="14"/>
        <v>1.3904216942092478E-3</v>
      </c>
    </row>
    <row r="61" spans="2:31" x14ac:dyDescent="0.2">
      <c r="AB61" s="378">
        <f>_xll.qlCalendarAdvance(Calendar,AB60,"1d","mf")</f>
        <v>41899</v>
      </c>
      <c r="AC61" s="105">
        <f t="shared" si="15"/>
        <v>1.4499999999996959E-3</v>
      </c>
      <c r="AD61" s="105">
        <f t="shared" si="13"/>
        <v>1.4724388763023562E-3</v>
      </c>
      <c r="AE61" s="105">
        <f t="shared" si="14"/>
        <v>1.3849567947490829E-3</v>
      </c>
    </row>
    <row r="62" spans="2:31" x14ac:dyDescent="0.2">
      <c r="AB62" s="378">
        <f>_xll.qlCalendarAdvance(Calendar,AB61,"1d","mf")</f>
        <v>41900</v>
      </c>
      <c r="AC62" s="105">
        <f t="shared" si="15"/>
        <v>1.4499999999996959E-3</v>
      </c>
      <c r="AD62" s="105">
        <f t="shared" ref="AD62:AD93" si="22">$O$32+$O$31*(AB62-SettlementDate)</f>
        <v>1.4719809400512815E-3</v>
      </c>
      <c r="AE62" s="105">
        <f t="shared" ref="AE62:AE93" si="23">$T$32+$T$31*(AB62-SettlementDate)+$T$30*(AB62-SettlementDate)^2</f>
        <v>1.3797189526410492E-3</v>
      </c>
    </row>
    <row r="63" spans="2:31" x14ac:dyDescent="0.2">
      <c r="AB63" s="378">
        <f>_xll.qlCalendarAdvance(Calendar,AB62,"1d","mf")</f>
        <v>41901</v>
      </c>
      <c r="AC63" s="105">
        <f t="shared" si="15"/>
        <v>1.4499999999996959E-3</v>
      </c>
      <c r="AD63" s="105">
        <f t="shared" si="22"/>
        <v>1.4715230038002069E-3</v>
      </c>
      <c r="AE63" s="105">
        <f t="shared" si="23"/>
        <v>1.3747081678851471E-3</v>
      </c>
    </row>
    <row r="64" spans="2:31" x14ac:dyDescent="0.2">
      <c r="AB64" s="378">
        <f>_xll.qlCalendarAdvance(Calendar,AB63,"1d","mf")</f>
        <v>41904</v>
      </c>
      <c r="AC64" s="105">
        <f t="shared" si="15"/>
        <v>1.4499999999996959E-3</v>
      </c>
      <c r="AD64" s="105">
        <f t="shared" si="22"/>
        <v>1.4701491950469827E-3</v>
      </c>
      <c r="AE64" s="105">
        <f t="shared" si="23"/>
        <v>1.3610381577302284E-3</v>
      </c>
    </row>
    <row r="65" spans="28:31" x14ac:dyDescent="0.2">
      <c r="AB65" s="378">
        <f>_xll.qlCalendarAdvance(Calendar,AB64,"1d","mf")</f>
        <v>41905</v>
      </c>
      <c r="AC65" s="105">
        <f t="shared" si="15"/>
        <v>1.4499999999996959E-3</v>
      </c>
      <c r="AD65" s="105">
        <f t="shared" si="22"/>
        <v>1.4696912587959081E-3</v>
      </c>
      <c r="AE65" s="105">
        <f t="shared" si="23"/>
        <v>1.3569356023828514E-3</v>
      </c>
    </row>
    <row r="66" spans="28:31" x14ac:dyDescent="0.2">
      <c r="AB66" s="378">
        <f>_xll.qlCalendarAdvance(Calendar,AB65,"1d","mf")</f>
        <v>41906</v>
      </c>
      <c r="AC66" s="105">
        <f t="shared" si="15"/>
        <v>1.4499999999996959E-3</v>
      </c>
      <c r="AD66" s="105">
        <f t="shared" si="22"/>
        <v>1.4692333225448332E-3</v>
      </c>
      <c r="AE66" s="105">
        <f t="shared" si="23"/>
        <v>1.3530601043876059E-3</v>
      </c>
    </row>
    <row r="67" spans="28:31" x14ac:dyDescent="0.2">
      <c r="AB67" s="378">
        <f>_xll.qlCalendarAdvance(Calendar,AB66,"1d","mf")</f>
        <v>41907</v>
      </c>
      <c r="AC67" s="105">
        <f t="shared" si="15"/>
        <v>1.4499999999996959E-3</v>
      </c>
      <c r="AD67" s="105">
        <f t="shared" si="22"/>
        <v>1.4687753862937586E-3</v>
      </c>
      <c r="AE67" s="105">
        <f t="shared" si="23"/>
        <v>1.3494116637444917E-3</v>
      </c>
    </row>
    <row r="68" spans="28:31" x14ac:dyDescent="0.2">
      <c r="AB68" s="378">
        <f>_xll.qlCalendarAdvance(Calendar,AB67,"1d","mf")</f>
        <v>41908</v>
      </c>
      <c r="AC68" s="105">
        <f t="shared" si="15"/>
        <v>1.4499999999996959E-3</v>
      </c>
      <c r="AD68" s="105">
        <f t="shared" si="22"/>
        <v>1.4683174500426839E-3</v>
      </c>
      <c r="AE68" s="105">
        <f t="shared" si="23"/>
        <v>1.3459902804535088E-3</v>
      </c>
    </row>
    <row r="69" spans="28:31" x14ac:dyDescent="0.2">
      <c r="AB69" s="378">
        <f>_xll.qlCalendarAdvance(Calendar,AB68,"1d","mf")</f>
        <v>41911</v>
      </c>
      <c r="AC69" s="105">
        <f t="shared" si="15"/>
        <v>1.4499999999996959E-3</v>
      </c>
      <c r="AD69" s="105">
        <f t="shared" si="22"/>
        <v>1.4669436412894598E-3</v>
      </c>
      <c r="AE69" s="105">
        <f t="shared" si="23"/>
        <v>1.3370884746933484E-3</v>
      </c>
    </row>
    <row r="70" spans="28:31" x14ac:dyDescent="0.2">
      <c r="AB70" s="378">
        <f>_xll.qlCalendarAdvance(Calendar,AB69,"1d","mf")</f>
        <v>41912</v>
      </c>
      <c r="AC70" s="105">
        <f t="shared" si="15"/>
        <v>1.4499999999996959E-3</v>
      </c>
      <c r="AD70" s="105">
        <f t="shared" si="22"/>
        <v>1.4664857050383851E-3</v>
      </c>
      <c r="AE70" s="105">
        <f t="shared" si="23"/>
        <v>1.3345753208108908E-3</v>
      </c>
    </row>
    <row r="71" spans="28:31" x14ac:dyDescent="0.2">
      <c r="AB71" s="378">
        <f>_xll.qlCalendarAdvance(Calendar,AB70,"1d","mf")</f>
        <v>41913</v>
      </c>
      <c r="AC71" s="105">
        <f t="shared" si="15"/>
        <v>1.4499999999996959E-3</v>
      </c>
      <c r="AD71" s="105">
        <f t="shared" si="22"/>
        <v>1.4660277687873105E-3</v>
      </c>
      <c r="AE71" s="105">
        <f t="shared" si="23"/>
        <v>1.3322892242805646E-3</v>
      </c>
    </row>
    <row r="72" spans="28:31" x14ac:dyDescent="0.2">
      <c r="AB72" s="378">
        <f>_xll.qlCalendarAdvance(Calendar,AB71,"1d","mf")</f>
        <v>41914</v>
      </c>
      <c r="AC72" s="105">
        <f t="shared" si="15"/>
        <v>1.4499999999996959E-3</v>
      </c>
      <c r="AD72" s="105">
        <f t="shared" si="22"/>
        <v>1.4655698325362356E-3</v>
      </c>
      <c r="AE72" s="105">
        <f t="shared" si="23"/>
        <v>1.3302301851023698E-3</v>
      </c>
    </row>
    <row r="73" spans="28:31" x14ac:dyDescent="0.2">
      <c r="AB73" s="378">
        <f>_xll.qlCalendarAdvance(Calendar,AB72,"1d","mf")</f>
        <v>41915</v>
      </c>
      <c r="AC73" s="105">
        <f t="shared" si="15"/>
        <v>1.4499999999996959E-3</v>
      </c>
      <c r="AD73" s="105">
        <f t="shared" si="22"/>
        <v>1.465111896285161E-3</v>
      </c>
      <c r="AE73" s="105">
        <f t="shared" si="23"/>
        <v>1.3283982032763063E-3</v>
      </c>
    </row>
    <row r="74" spans="28:31" x14ac:dyDescent="0.2">
      <c r="AB74" s="378">
        <f>_xll.qlCalendarAdvance(Calendar,AB73,"1d","mf")</f>
        <v>41918</v>
      </c>
      <c r="AC74" s="105">
        <f t="shared" si="15"/>
        <v>1.4499999999996959E-3</v>
      </c>
      <c r="AD74" s="105">
        <f t="shared" si="22"/>
        <v>1.4637380875319368E-3</v>
      </c>
      <c r="AE74" s="105">
        <f t="shared" si="23"/>
        <v>1.3242646019109041E-3</v>
      </c>
    </row>
    <row r="75" spans="28:31" x14ac:dyDescent="0.2">
      <c r="AB75" s="378">
        <f>_xll.qlCalendarAdvance(Calendar,AB74,"1d","mf")</f>
        <v>41919</v>
      </c>
      <c r="AC75" s="105">
        <f t="shared" si="15"/>
        <v>1.4499999999996959E-3</v>
      </c>
      <c r="AD75" s="105">
        <f t="shared" si="22"/>
        <v>1.4632801512808621E-3</v>
      </c>
      <c r="AE75" s="105">
        <f t="shared" si="23"/>
        <v>1.3233408494933659E-3</v>
      </c>
    </row>
    <row r="76" spans="28:31" x14ac:dyDescent="0.2">
      <c r="AB76" s="378">
        <f>_xll.qlCalendarAdvance(Calendar,AB75,"1d","mf")</f>
        <v>41920</v>
      </c>
      <c r="AC76" s="105">
        <f t="shared" si="15"/>
        <v>1.4499999999996959E-3</v>
      </c>
      <c r="AD76" s="105">
        <f t="shared" si="22"/>
        <v>1.4628222150297875E-3</v>
      </c>
      <c r="AE76" s="105">
        <f t="shared" si="23"/>
        <v>1.3226441544279591E-3</v>
      </c>
    </row>
    <row r="77" spans="28:31" x14ac:dyDescent="0.2">
      <c r="AB77" s="378">
        <f>_xll.qlCalendarAdvance(Calendar,AB76,"1d","mf")</f>
        <v>41921</v>
      </c>
      <c r="AC77" s="105">
        <f t="shared" si="15"/>
        <v>1.4499999999996959E-3</v>
      </c>
      <c r="AD77" s="105">
        <f t="shared" si="22"/>
        <v>1.4623642787787129E-3</v>
      </c>
      <c r="AE77" s="105">
        <f t="shared" si="23"/>
        <v>1.3221745167146838E-3</v>
      </c>
    </row>
    <row r="78" spans="28:31" x14ac:dyDescent="0.2">
      <c r="AB78" s="378">
        <f>_xll.qlCalendarAdvance(Calendar,AB77,"1d","mf")</f>
        <v>41922</v>
      </c>
      <c r="AC78" s="105">
        <f t="shared" si="15"/>
        <v>1.4499999999996959E-3</v>
      </c>
      <c r="AD78" s="105">
        <f t="shared" si="22"/>
        <v>1.461906342527638E-3</v>
      </c>
      <c r="AE78" s="105">
        <f t="shared" si="23"/>
        <v>1.3219319363535396E-3</v>
      </c>
    </row>
    <row r="79" spans="28:31" x14ac:dyDescent="0.2">
      <c r="AB79" s="378">
        <f>_xll.qlCalendarAdvance(Calendar,AB78,"1d","mf")</f>
        <v>41925</v>
      </c>
      <c r="AC79" s="105">
        <f t="shared" si="15"/>
        <v>1.4499999999996959E-3</v>
      </c>
      <c r="AD79" s="105">
        <f t="shared" si="22"/>
        <v>1.4605325337744141E-3</v>
      </c>
      <c r="AE79" s="105">
        <f t="shared" si="23"/>
        <v>1.3225665393828954E-3</v>
      </c>
    </row>
    <row r="80" spans="28:31" x14ac:dyDescent="0.2">
      <c r="AB80" s="378">
        <f>_xll.qlCalendarAdvance(Calendar,AB79,"1d","mf")</f>
        <v>41926</v>
      </c>
      <c r="AC80" s="105">
        <f t="shared" si="15"/>
        <v>1.4499999999996959E-3</v>
      </c>
      <c r="AD80" s="105">
        <f t="shared" si="22"/>
        <v>1.4600745975233392E-3</v>
      </c>
      <c r="AE80" s="105">
        <f t="shared" si="23"/>
        <v>1.3232321884302767E-3</v>
      </c>
    </row>
    <row r="81" spans="28:31" x14ac:dyDescent="0.2">
      <c r="AB81" s="378">
        <f>_xll.qlCalendarAdvance(Calendar,AB80,"1d","mf")</f>
        <v>41927</v>
      </c>
      <c r="AC81" s="105">
        <f t="shared" si="15"/>
        <v>1.4499999999996959E-3</v>
      </c>
      <c r="AD81" s="105">
        <f t="shared" si="22"/>
        <v>1.4596166612722645E-3</v>
      </c>
      <c r="AE81" s="105">
        <f t="shared" si="23"/>
        <v>1.3241248948297891E-3</v>
      </c>
    </row>
    <row r="82" spans="28:31" x14ac:dyDescent="0.2">
      <c r="AB82" s="378">
        <f>_xll.qlCalendarAdvance(Calendar,AB81,"1d","mf")</f>
        <v>41928</v>
      </c>
      <c r="AC82" s="105">
        <f t="shared" si="15"/>
        <v>1.4499999999996959E-3</v>
      </c>
      <c r="AD82" s="105">
        <f t="shared" si="22"/>
        <v>1.4591587250211899E-3</v>
      </c>
      <c r="AE82" s="105">
        <f t="shared" si="23"/>
        <v>1.3252446585814333E-3</v>
      </c>
    </row>
    <row r="83" spans="28:31" x14ac:dyDescent="0.2">
      <c r="AB83" s="378">
        <f>_xll.qlCalendarAdvance(Calendar,AB82,"1d","mf")</f>
        <v>41929</v>
      </c>
      <c r="AC83" s="105">
        <f t="shared" si="15"/>
        <v>1.4499999999996959E-3</v>
      </c>
      <c r="AD83" s="105">
        <f t="shared" si="22"/>
        <v>1.4587007887701153E-3</v>
      </c>
      <c r="AE83" s="105">
        <f t="shared" si="23"/>
        <v>1.3265914796852084E-3</v>
      </c>
    </row>
    <row r="84" spans="28:31" x14ac:dyDescent="0.2">
      <c r="AB84" s="378">
        <f>_xll.qlCalendarAdvance(Calendar,AB83,"1d","mf")</f>
        <v>41932</v>
      </c>
      <c r="AC84" s="105">
        <f t="shared" si="15"/>
        <v>1.4499999999996959E-3</v>
      </c>
      <c r="AD84" s="105">
        <f t="shared" si="22"/>
        <v>1.4573269800168911E-3</v>
      </c>
      <c r="AE84" s="105">
        <f t="shared" si="23"/>
        <v>1.3319942871093224E-3</v>
      </c>
    </row>
    <row r="85" spans="28:31" x14ac:dyDescent="0.2">
      <c r="AB85" s="378">
        <f>_xll.qlCalendarAdvance(Calendar,AB84,"1d","mf")</f>
        <v>41933</v>
      </c>
      <c r="AC85" s="105">
        <f t="shared" si="15"/>
        <v>1.4499999999996959E-3</v>
      </c>
      <c r="AD85" s="105">
        <f t="shared" si="22"/>
        <v>1.4568690437658165E-3</v>
      </c>
      <c r="AE85" s="105">
        <f t="shared" si="23"/>
        <v>1.3342493376216232E-3</v>
      </c>
    </row>
    <row r="86" spans="28:31" x14ac:dyDescent="0.2">
      <c r="AB86" s="378">
        <f>_xll.qlCalendarAdvance(Calendar,AB85,"1d","mf")</f>
        <v>41934</v>
      </c>
      <c r="AC86" s="105">
        <f t="shared" si="15"/>
        <v>1.4499999999996959E-3</v>
      </c>
      <c r="AD86" s="105">
        <f t="shared" si="22"/>
        <v>1.4564111075147416E-3</v>
      </c>
      <c r="AE86" s="105">
        <f t="shared" si="23"/>
        <v>1.336731445486055E-3</v>
      </c>
    </row>
    <row r="87" spans="28:31" x14ac:dyDescent="0.2">
      <c r="AB87" s="378">
        <f>_xll.qlCalendarAdvance(Calendar,AB86,"1d","mf")</f>
        <v>41935</v>
      </c>
      <c r="AC87" s="105">
        <f t="shared" si="15"/>
        <v>1.4499999999996959E-3</v>
      </c>
      <c r="AD87" s="105">
        <f t="shared" si="22"/>
        <v>1.4559531712636669E-3</v>
      </c>
      <c r="AE87" s="105">
        <f t="shared" si="23"/>
        <v>1.3394406107026186E-3</v>
      </c>
    </row>
    <row r="88" spans="28:31" x14ac:dyDescent="0.2">
      <c r="AB88" s="378">
        <f>_xll.qlCalendarAdvance(Calendar,AB87,"1d","mf")</f>
        <v>41936</v>
      </c>
      <c r="AC88" s="105">
        <f t="shared" si="15"/>
        <v>1.4499999999996959E-3</v>
      </c>
      <c r="AD88" s="105">
        <f t="shared" si="22"/>
        <v>1.4554952350125923E-3</v>
      </c>
      <c r="AE88" s="105">
        <f t="shared" si="23"/>
        <v>1.3423768332713132E-3</v>
      </c>
    </row>
    <row r="89" spans="28:31" x14ac:dyDescent="0.2">
      <c r="AB89" s="378">
        <f>_xll.qlCalendarAdvance(Calendar,AB88,"1d","mf")</f>
        <v>41939</v>
      </c>
      <c r="AC89" s="105">
        <f t="shared" si="15"/>
        <v>1.4499999999996959E-3</v>
      </c>
      <c r="AD89" s="105">
        <f t="shared" si="22"/>
        <v>1.4541214262593681E-3</v>
      </c>
      <c r="AE89" s="105">
        <f t="shared" si="23"/>
        <v>1.3525478450901853E-3</v>
      </c>
    </row>
    <row r="90" spans="28:31" x14ac:dyDescent="0.2">
      <c r="AB90" s="378">
        <f>_xll.qlCalendarAdvance(Calendar,AB89,"1d","mf")</f>
        <v>41940</v>
      </c>
      <c r="AC90" s="105">
        <f t="shared" si="15"/>
        <v>1.4499999999996959E-3</v>
      </c>
      <c r="AD90" s="105">
        <f t="shared" si="22"/>
        <v>1.4536634900082935E-3</v>
      </c>
      <c r="AE90" s="105">
        <f t="shared" si="23"/>
        <v>1.3563922970674053E-3</v>
      </c>
    </row>
    <row r="91" spans="28:31" x14ac:dyDescent="0.2">
      <c r="AB91" s="378">
        <f>_xll.qlCalendarAdvance(Calendar,AB90,"1d","mf")</f>
        <v>41941</v>
      </c>
      <c r="AC91" s="105">
        <f t="shared" si="15"/>
        <v>1.4499999999996959E-3</v>
      </c>
      <c r="AD91" s="105">
        <f t="shared" si="22"/>
        <v>1.4532055537572188E-3</v>
      </c>
      <c r="AE91" s="105">
        <f t="shared" si="23"/>
        <v>1.3604638063967568E-3</v>
      </c>
    </row>
    <row r="92" spans="28:31" x14ac:dyDescent="0.2">
      <c r="AB92" s="378">
        <f>_xll.qlCalendarAdvance(Calendar,AB91,"1d","mf")</f>
        <v>41942</v>
      </c>
      <c r="AC92" s="105">
        <f t="shared" si="15"/>
        <v>1.4499999999996959E-3</v>
      </c>
      <c r="AD92" s="105">
        <f t="shared" si="22"/>
        <v>1.452747617506144E-3</v>
      </c>
      <c r="AE92" s="105">
        <f t="shared" si="23"/>
        <v>1.3647623730782396E-3</v>
      </c>
    </row>
    <row r="93" spans="28:31" x14ac:dyDescent="0.2">
      <c r="AB93" s="378">
        <f>_xll.qlCalendarAdvance(Calendar,AB92,"1d","mf")</f>
        <v>41943</v>
      </c>
      <c r="AC93" s="105">
        <f t="shared" si="15"/>
        <v>1.4499999999996959E-3</v>
      </c>
      <c r="AD93" s="105">
        <f t="shared" si="22"/>
        <v>1.4522896812550693E-3</v>
      </c>
      <c r="AE93" s="105">
        <f t="shared" si="23"/>
        <v>1.3692879971118534E-3</v>
      </c>
    </row>
    <row r="94" spans="28:31" x14ac:dyDescent="0.2">
      <c r="AB94" s="378">
        <f>_xll.qlCalendarAdvance(Calendar,AB93,"1d","mf")</f>
        <v>41946</v>
      </c>
      <c r="AC94" s="105">
        <f t="shared" si="15"/>
        <v>1.4499999999996959E-3</v>
      </c>
      <c r="AD94" s="105">
        <f t="shared" ref="AD94:AD96" si="24">$O$32+$O$31*(AB94-SettlementDate)</f>
        <v>1.4509158725018452E-3</v>
      </c>
      <c r="AE94" s="105">
        <f t="shared" ref="AE94:AE96" si="25">$T$32+$T$31*(AB94-SettlementDate)+$T$30*(AB94-SettlementDate)^2</f>
        <v>1.3842272133254836E-3</v>
      </c>
    </row>
    <row r="95" spans="28:31" x14ac:dyDescent="0.2">
      <c r="AB95" s="378">
        <f>_xll.qlCalendarAdvance(Calendar,AB94,"1d","mf")</f>
        <v>41947</v>
      </c>
      <c r="AC95" s="105">
        <f t="shared" ref="AC95:AC96" si="26">$H$32</f>
        <v>1.4499999999996959E-3</v>
      </c>
      <c r="AD95" s="105">
        <f t="shared" si="24"/>
        <v>1.4504579362507705E-3</v>
      </c>
      <c r="AE95" s="105">
        <f t="shared" si="25"/>
        <v>1.389661066767623E-3</v>
      </c>
    </row>
    <row r="96" spans="28:31" x14ac:dyDescent="0.2">
      <c r="AB96" s="378">
        <f>_xll.qlCalendarAdvance(Calendar,AB95,"1d","mf")</f>
        <v>41948</v>
      </c>
      <c r="AC96" s="105">
        <f t="shared" si="26"/>
        <v>1.4499999999996959E-3</v>
      </c>
      <c r="AD96" s="105">
        <f t="shared" si="24"/>
        <v>1.4499999999996959E-3</v>
      </c>
      <c r="AE96" s="105">
        <f t="shared" si="25"/>
        <v>1.395321977561894E-3</v>
      </c>
    </row>
    <row r="97" spans="28:31" x14ac:dyDescent="0.2">
      <c r="AB97" s="378"/>
      <c r="AC97" s="105"/>
      <c r="AD97" s="105"/>
      <c r="AE97" s="105"/>
    </row>
    <row r="98" spans="28:31" x14ac:dyDescent="0.2">
      <c r="AB98" s="378"/>
      <c r="AC98" s="105"/>
      <c r="AD98" s="105"/>
      <c r="AE98" s="105"/>
    </row>
    <row r="99" spans="28:31" x14ac:dyDescent="0.2">
      <c r="AB99" s="378"/>
      <c r="AC99" s="105"/>
      <c r="AD99" s="105"/>
      <c r="AE99" s="105"/>
    </row>
    <row r="100" spans="28:31" x14ac:dyDescent="0.2">
      <c r="AB100" s="378"/>
      <c r="AC100" s="105"/>
      <c r="AD100" s="105"/>
      <c r="AE100" s="105"/>
    </row>
    <row r="101" spans="28:31" x14ac:dyDescent="0.2">
      <c r="AB101" s="378"/>
      <c r="AC101" s="105"/>
      <c r="AD101" s="105"/>
      <c r="AE101" s="105"/>
    </row>
    <row r="102" spans="28:31" x14ac:dyDescent="0.2">
      <c r="AB102" s="378"/>
      <c r="AC102" s="105"/>
      <c r="AD102" s="105"/>
      <c r="AE102" s="105"/>
    </row>
    <row r="103" spans="28:31" x14ac:dyDescent="0.2">
      <c r="AB103" s="378"/>
      <c r="AC103" s="105"/>
      <c r="AD103" s="105"/>
      <c r="AE103" s="105"/>
    </row>
    <row r="104" spans="28:31" x14ac:dyDescent="0.2">
      <c r="AB104" s="378"/>
      <c r="AC104" s="105"/>
      <c r="AD104" s="105"/>
      <c r="AE104" s="105"/>
    </row>
    <row r="105" spans="28:31" x14ac:dyDescent="0.2">
      <c r="AB105" s="378"/>
      <c r="AC105" s="105"/>
      <c r="AD105" s="105"/>
      <c r="AE105" s="105"/>
    </row>
    <row r="106" spans="28:31" x14ac:dyDescent="0.2">
      <c r="AB106" s="378"/>
      <c r="AC106" s="105"/>
      <c r="AD106" s="105"/>
      <c r="AE106" s="105"/>
    </row>
    <row r="107" spans="28:31" x14ac:dyDescent="0.2">
      <c r="AB107" s="378"/>
      <c r="AC107" s="105"/>
      <c r="AD107" s="105"/>
      <c r="AE107" s="105"/>
    </row>
    <row r="108" spans="28:31" x14ac:dyDescent="0.2">
      <c r="AB108" s="378"/>
      <c r="AC108" s="105"/>
      <c r="AD108" s="105"/>
      <c r="AE108" s="105"/>
    </row>
    <row r="109" spans="28:31" x14ac:dyDescent="0.2">
      <c r="AB109" s="378"/>
      <c r="AC109" s="105"/>
      <c r="AD109" s="105"/>
      <c r="AE109" s="105"/>
    </row>
    <row r="110" spans="28:31" x14ac:dyDescent="0.2">
      <c r="AB110" s="378"/>
      <c r="AC110" s="105"/>
      <c r="AD110" s="105"/>
      <c r="AE110" s="105"/>
    </row>
    <row r="111" spans="28:31" x14ac:dyDescent="0.2">
      <c r="AB111" s="378"/>
      <c r="AC111" s="105"/>
      <c r="AD111" s="105"/>
      <c r="AE111" s="105"/>
    </row>
    <row r="112" spans="28:31" x14ac:dyDescent="0.2">
      <c r="AB112" s="378"/>
      <c r="AC112" s="105"/>
      <c r="AD112" s="105"/>
      <c r="AE112" s="105"/>
    </row>
    <row r="113" spans="28:31" x14ac:dyDescent="0.2">
      <c r="AB113" s="378"/>
      <c r="AC113" s="105"/>
      <c r="AD113" s="105"/>
      <c r="AE113" s="105"/>
    </row>
    <row r="114" spans="28:31" x14ac:dyDescent="0.2">
      <c r="AB114" s="378"/>
      <c r="AC114" s="105"/>
      <c r="AD114" s="105"/>
      <c r="AE114" s="105"/>
    </row>
    <row r="115" spans="28:31" x14ac:dyDescent="0.2">
      <c r="AB115" s="378"/>
      <c r="AC115" s="105"/>
      <c r="AD115" s="105"/>
      <c r="AE115" s="105"/>
    </row>
    <row r="116" spans="28:31" x14ac:dyDescent="0.2">
      <c r="AB116" s="378"/>
      <c r="AC116" s="105"/>
      <c r="AD116" s="105"/>
      <c r="AE116" s="105"/>
    </row>
    <row r="117" spans="28:31" x14ac:dyDescent="0.2">
      <c r="AB117" s="378"/>
      <c r="AC117" s="105"/>
      <c r="AD117" s="105"/>
      <c r="AE117" s="105"/>
    </row>
    <row r="118" spans="28:31" x14ac:dyDescent="0.2">
      <c r="AB118" s="378"/>
      <c r="AC118" s="105"/>
      <c r="AD118" s="105"/>
      <c r="AE118" s="105"/>
    </row>
    <row r="119" spans="28:31" x14ac:dyDescent="0.2">
      <c r="AB119" s="378"/>
      <c r="AC119" s="105"/>
      <c r="AD119" s="105"/>
      <c r="AE119" s="105"/>
    </row>
    <row r="120" spans="28:31" x14ac:dyDescent="0.2">
      <c r="AB120" s="378"/>
      <c r="AC120" s="105"/>
      <c r="AD120" s="105"/>
      <c r="AE120" s="105"/>
    </row>
    <row r="121" spans="28:31" x14ac:dyDescent="0.2">
      <c r="AB121" s="378"/>
      <c r="AC121" s="105"/>
      <c r="AD121" s="105"/>
      <c r="AE121" s="105"/>
    </row>
    <row r="122" spans="28:31" x14ac:dyDescent="0.2">
      <c r="AB122" s="378"/>
      <c r="AC122" s="105"/>
      <c r="AD122" s="105"/>
      <c r="AE122" s="105"/>
    </row>
    <row r="123" spans="28:31" x14ac:dyDescent="0.2">
      <c r="AB123" s="378"/>
      <c r="AC123" s="105"/>
      <c r="AD123" s="105"/>
      <c r="AE123" s="105"/>
    </row>
    <row r="124" spans="28:31" x14ac:dyDescent="0.2">
      <c r="AB124" s="378"/>
      <c r="AC124" s="105"/>
      <c r="AD124" s="105"/>
      <c r="AE124" s="105"/>
    </row>
    <row r="125" spans="28:31" x14ac:dyDescent="0.2">
      <c r="AB125" s="378"/>
      <c r="AC125" s="105"/>
      <c r="AD125" s="105"/>
      <c r="AE125" s="105"/>
    </row>
    <row r="126" spans="28:31" x14ac:dyDescent="0.2">
      <c r="AB126" s="378"/>
      <c r="AC126" s="105"/>
      <c r="AD126" s="105"/>
      <c r="AE126" s="105"/>
    </row>
    <row r="127" spans="28:31" x14ac:dyDescent="0.2">
      <c r="AB127" s="378"/>
      <c r="AC127" s="105"/>
      <c r="AD127" s="105"/>
      <c r="AE127" s="105"/>
    </row>
    <row r="128" spans="28:31" x14ac:dyDescent="0.2">
      <c r="AB128" s="378"/>
      <c r="AC128" s="105"/>
      <c r="AD128" s="105"/>
      <c r="AE128" s="105"/>
    </row>
    <row r="129" spans="28:31" x14ac:dyDescent="0.2">
      <c r="AB129" s="378"/>
      <c r="AC129" s="105"/>
      <c r="AD129" s="105"/>
      <c r="AE129" s="105"/>
    </row>
    <row r="130" spans="28:31" x14ac:dyDescent="0.2">
      <c r="AB130" s="378"/>
      <c r="AC130" s="105"/>
      <c r="AD130" s="105"/>
      <c r="AE130" s="105"/>
    </row>
    <row r="131" spans="28:31" x14ac:dyDescent="0.2">
      <c r="AB131" s="378"/>
      <c r="AC131" s="105"/>
      <c r="AD131" s="105"/>
      <c r="AE131" s="105"/>
    </row>
    <row r="132" spans="28:31" x14ac:dyDescent="0.2">
      <c r="AB132" s="378"/>
      <c r="AC132" s="105"/>
      <c r="AD132" s="105"/>
      <c r="AE132" s="105"/>
    </row>
    <row r="133" spans="28:31" x14ac:dyDescent="0.2">
      <c r="AB133" s="378"/>
      <c r="AC133" s="105"/>
      <c r="AD133" s="105"/>
      <c r="AE133" s="105"/>
    </row>
    <row r="134" spans="28:31" x14ac:dyDescent="0.2">
      <c r="AB134" s="378"/>
      <c r="AC134" s="105"/>
      <c r="AD134" s="105"/>
      <c r="AE134" s="105"/>
    </row>
    <row r="135" spans="28:31" x14ac:dyDescent="0.2">
      <c r="AB135" s="378"/>
      <c r="AC135" s="105"/>
      <c r="AD135" s="105"/>
      <c r="AE135" s="105"/>
    </row>
    <row r="136" spans="28:31" x14ac:dyDescent="0.2">
      <c r="AB136" s="378"/>
      <c r="AC136" s="105"/>
      <c r="AD136" s="105"/>
      <c r="AE136" s="105"/>
    </row>
    <row r="137" spans="28:31" x14ac:dyDescent="0.2">
      <c r="AB137" s="378"/>
      <c r="AC137" s="105"/>
      <c r="AD137" s="105"/>
      <c r="AE137" s="105"/>
    </row>
    <row r="138" spans="28:31" x14ac:dyDescent="0.2">
      <c r="AB138" s="378"/>
      <c r="AC138" s="105"/>
      <c r="AD138" s="105"/>
      <c r="AE138" s="105"/>
    </row>
    <row r="139" spans="28:31" x14ac:dyDescent="0.2">
      <c r="AB139" s="378"/>
      <c r="AC139" s="105"/>
      <c r="AD139" s="105"/>
      <c r="AE139" s="105"/>
    </row>
    <row r="140" spans="28:31" x14ac:dyDescent="0.2">
      <c r="AB140" s="378"/>
      <c r="AC140" s="105"/>
      <c r="AD140" s="105"/>
      <c r="AE140" s="105"/>
    </row>
    <row r="141" spans="28:31" x14ac:dyDescent="0.2">
      <c r="AB141" s="378"/>
      <c r="AC141" s="105"/>
      <c r="AD141" s="105"/>
      <c r="AE141" s="105"/>
    </row>
    <row r="142" spans="28:31" x14ac:dyDescent="0.2">
      <c r="AB142" s="378"/>
      <c r="AC142" s="105"/>
      <c r="AD142" s="105"/>
      <c r="AE142" s="105"/>
    </row>
    <row r="143" spans="28:31" x14ac:dyDescent="0.2">
      <c r="AB143" s="378"/>
      <c r="AC143" s="105"/>
      <c r="AD143" s="105"/>
      <c r="AE143" s="105"/>
    </row>
  </sheetData>
  <dataValidations count="1">
    <dataValidation type="list" allowBlank="1" showInputMessage="1" showErrorMessage="1" sqref="G30:J30 O30:P30">
      <formula1>"TRUE,FALSE"</formula1>
    </dataValidation>
  </dataValidations>
  <pageMargins left="0.75" right="0.75" top="1" bottom="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M10"/>
  <sheetViews>
    <sheetView topLeftCell="D1" workbookViewId="0">
      <selection activeCell="L6" sqref="A1:L6"/>
    </sheetView>
  </sheetViews>
  <sheetFormatPr defaultRowHeight="11.25" outlineLevelCol="1" x14ac:dyDescent="0.2"/>
  <cols>
    <col min="1" max="1" width="6.6640625" style="195" hidden="1" customWidth="1" outlineLevel="1"/>
    <col min="2" max="3" width="7" style="225" hidden="1" customWidth="1" outlineLevel="1"/>
    <col min="4" max="4" width="6" style="225" customWidth="1" collapsed="1"/>
    <col min="5" max="5" width="31.1640625" style="195" bestFit="1" customWidth="1"/>
    <col min="6" max="6" width="22.5" style="195" bestFit="1" customWidth="1"/>
    <col min="7" max="8" width="9.33203125" style="225" bestFit="1" customWidth="1"/>
    <col min="9" max="10" width="10.5" style="225" bestFit="1" customWidth="1"/>
    <col min="11" max="12" width="20.1640625" style="225" bestFit="1" customWidth="1"/>
    <col min="13" max="13" width="3.1640625" style="195" bestFit="1" customWidth="1"/>
    <col min="14" max="16384" width="9.33203125" style="195"/>
  </cols>
  <sheetData>
    <row r="1" spans="2:13" ht="22.5" x14ac:dyDescent="0.2">
      <c r="B1" s="521" t="s">
        <v>103</v>
      </c>
      <c r="C1" s="522"/>
      <c r="D1" s="522"/>
      <c r="E1" s="193" t="s">
        <v>104</v>
      </c>
      <c r="F1" s="193" t="s">
        <v>105</v>
      </c>
      <c r="G1" s="193" t="s">
        <v>106</v>
      </c>
      <c r="H1" s="193" t="s">
        <v>107</v>
      </c>
      <c r="I1" s="193" t="s">
        <v>108</v>
      </c>
      <c r="J1" s="193" t="s">
        <v>109</v>
      </c>
      <c r="K1" s="193" t="s">
        <v>110</v>
      </c>
      <c r="L1" s="194" t="s">
        <v>111</v>
      </c>
    </row>
    <row r="2" spans="2:13" x14ac:dyDescent="0.2">
      <c r="B2" s="196"/>
      <c r="C2" s="197" t="s">
        <v>32</v>
      </c>
      <c r="D2" s="198" t="s">
        <v>112</v>
      </c>
      <c r="E2" s="265" t="str">
        <f>Contribution!$D$40</f>
        <v>EUR1YD_SYNTH1Y_Quote#0000</v>
      </c>
      <c r="F2" s="265" t="str">
        <f>_xll.qlDepositRateHelper(,E2,$F$10,)</f>
        <v>obj_003ad#0000</v>
      </c>
      <c r="G2" s="199">
        <f>_xll.qlRateHelperQuoteValue(F2,InterestRatesTrigger)</f>
        <v>4.8900000000000002E-3</v>
      </c>
      <c r="H2" s="200" t="b">
        <v>1</v>
      </c>
      <c r="I2" s="200">
        <v>70</v>
      </c>
      <c r="J2" s="200">
        <v>1</v>
      </c>
      <c r="K2" s="201">
        <f>_xll.qlRateHelperEarliestDate($F2,InterestRatesTrigger)</f>
        <v>41856</v>
      </c>
      <c r="L2" s="202">
        <f>_xll.qlRateHelperLatestDate($F2,InterestRatesTrigger)</f>
        <v>42221</v>
      </c>
    </row>
    <row r="3" spans="2:13" ht="11.25" customHeight="1" x14ac:dyDescent="0.2">
      <c r="B3" s="203">
        <v>12</v>
      </c>
      <c r="C3" s="204" t="s">
        <v>113</v>
      </c>
      <c r="D3" s="204" t="s">
        <v>114</v>
      </c>
      <c r="E3" s="266" t="s">
        <v>115</v>
      </c>
      <c r="F3" s="266" t="str">
        <f>_xll.qlFraRateHelper(,E3,B3&amp;"M",$F$10)</f>
        <v>obj_003b4#0000</v>
      </c>
      <c r="G3" s="205">
        <f>_xll.qlRateHelperQuoteValue(F3,InterestRatesTrigger)</f>
        <v>5.3600000000000002E-3</v>
      </c>
      <c r="H3" s="206" t="b">
        <v>1</v>
      </c>
      <c r="I3" s="206">
        <v>70</v>
      </c>
      <c r="J3" s="206">
        <v>1</v>
      </c>
      <c r="K3" s="207">
        <f>_xll.qlRateHelperEarliestDate($F3,InterestRatesTrigger)</f>
        <v>42221</v>
      </c>
      <c r="L3" s="208">
        <f>_xll.qlRateHelperLatestDate($F3,InterestRatesTrigger)</f>
        <v>42587</v>
      </c>
      <c r="M3" s="209"/>
    </row>
    <row r="4" spans="2:13" x14ac:dyDescent="0.2">
      <c r="B4" s="210" t="s">
        <v>116</v>
      </c>
      <c r="C4" s="211" t="s">
        <v>117</v>
      </c>
      <c r="D4" s="212" t="s">
        <v>118</v>
      </c>
      <c r="E4" s="267" t="s">
        <v>119</v>
      </c>
      <c r="F4" s="267" t="str">
        <f>_xll.qlSwapRateHelper2(,E4,D4,Calendar,"annual","mf","30/360 (Bond Basis)",$F$10,0,"0D",OisCurve)</f>
        <v>obj_003ba#0000</v>
      </c>
      <c r="G4" s="213">
        <f>_xll.qlRateHelperQuoteValue(F4,InterestRatesTrigger)</f>
        <v>5.8200000000000005E-3</v>
      </c>
      <c r="H4" s="214" t="b">
        <v>1</v>
      </c>
      <c r="I4" s="214">
        <v>50</v>
      </c>
      <c r="J4" s="214">
        <v>1</v>
      </c>
      <c r="K4" s="215">
        <f>_xll.qlRateHelperEarliestDate($F4,InterestRatesTrigger)</f>
        <v>41856</v>
      </c>
      <c r="L4" s="216">
        <f>_xll.qlRateHelperLatestDate($F4,InterestRatesTrigger)</f>
        <v>42954</v>
      </c>
    </row>
    <row r="5" spans="2:13" x14ac:dyDescent="0.2">
      <c r="B5" s="217" t="s">
        <v>116</v>
      </c>
      <c r="C5" s="218" t="s">
        <v>117</v>
      </c>
      <c r="D5" s="219" t="s">
        <v>120</v>
      </c>
      <c r="E5" s="268" t="s">
        <v>121</v>
      </c>
      <c r="F5" s="268" t="str">
        <f>_xll.qlSwapRateHelper2(,E5,D5,Calendar,"annual","mf","30/360 (Bond Basis)",$F$10,0,"0D",OisCurve)</f>
        <v>obj_003b7#0000</v>
      </c>
      <c r="G5" s="220">
        <f>_xll.qlRateHelperQuoteValue(F5,InterestRatesTrigger)</f>
        <v>6.94E-3</v>
      </c>
      <c r="H5" s="221" t="b">
        <v>1</v>
      </c>
      <c r="I5" s="221">
        <v>50</v>
      </c>
      <c r="J5" s="221">
        <v>1</v>
      </c>
      <c r="K5" s="222">
        <f>_xll.qlRateHelperEarliestDate($F5,InterestRatesTrigger)</f>
        <v>41856</v>
      </c>
      <c r="L5" s="223">
        <f>_xll.qlRateHelperLatestDate($F5,InterestRatesTrigger)</f>
        <v>43318</v>
      </c>
    </row>
    <row r="6" spans="2:13" x14ac:dyDescent="0.2">
      <c r="B6" s="224" t="s">
        <v>116</v>
      </c>
      <c r="C6" s="197" t="s">
        <v>117</v>
      </c>
      <c r="D6" s="198" t="s">
        <v>122</v>
      </c>
      <c r="E6" s="265" t="s">
        <v>123</v>
      </c>
      <c r="F6" s="265" t="str">
        <f>_xll.qlSwapRateHelper2(,E6,D6,Calendar,"annual","mf","30/360 (Bond Basis)",$F$10,0,"0D",OisCurve)</f>
        <v>obj_003a8#0000</v>
      </c>
      <c r="G6" s="199">
        <f>_xll.qlRateHelperQuoteValue(F6,InterestRatesTrigger)</f>
        <v>8.320000000000001E-3</v>
      </c>
      <c r="H6" s="200" t="b">
        <v>1</v>
      </c>
      <c r="I6" s="200">
        <v>50</v>
      </c>
      <c r="J6" s="200">
        <v>1</v>
      </c>
      <c r="K6" s="201">
        <f>_xll.qlRateHelperEarliestDate($F6,InterestRatesTrigger)</f>
        <v>41856</v>
      </c>
      <c r="L6" s="202">
        <f>_xll.qlRateHelperLatestDate($F6,InterestRatesTrigger)</f>
        <v>43682</v>
      </c>
    </row>
    <row r="10" spans="2:13" x14ac:dyDescent="0.2">
      <c r="F10" s="195" t="str">
        <f>_xll.qlEuribor(,IborTenor,,,EvaluationDate)</f>
        <v>obj_00393#0000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1:AD127"/>
  <sheetViews>
    <sheetView topLeftCell="C1" zoomScaleNormal="100" workbookViewId="0">
      <selection activeCell="F48" sqref="F48"/>
    </sheetView>
  </sheetViews>
  <sheetFormatPr defaultRowHeight="11.25" outlineLevelCol="1" x14ac:dyDescent="0.2"/>
  <cols>
    <col min="1" max="1" width="17.6640625" style="225" bestFit="1" customWidth="1"/>
    <col min="2" max="2" width="9.33203125" style="225" bestFit="1" customWidth="1"/>
    <col min="3" max="4" width="20.1640625" style="225" bestFit="1" customWidth="1"/>
    <col min="5" max="5" width="11.6640625" style="195" bestFit="1" customWidth="1"/>
    <col min="6" max="6" width="7.33203125" style="195" customWidth="1"/>
    <col min="7" max="7" width="20.1640625" style="195" customWidth="1" outlineLevel="1"/>
    <col min="8" max="8" width="17.6640625" style="195" customWidth="1" outlineLevel="1"/>
    <col min="9" max="10" width="20.1640625" style="195" customWidth="1"/>
    <col min="11" max="12" width="9.33203125" style="195" bestFit="1" customWidth="1"/>
    <col min="13" max="13" width="10.5" style="195" bestFit="1" customWidth="1"/>
    <col min="14" max="14" width="9.33203125" style="195" customWidth="1"/>
    <col min="15" max="15" width="17.6640625" style="195" bestFit="1" customWidth="1"/>
    <col min="16" max="16" width="9.33203125" style="195"/>
    <col min="17" max="17" width="2.83203125" style="195" customWidth="1"/>
    <col min="18" max="18" width="27.5" style="195" bestFit="1" customWidth="1"/>
    <col min="19" max="19" width="20.1640625" style="195" hidden="1" customWidth="1"/>
    <col min="20" max="20" width="20.1640625" style="195" bestFit="1" customWidth="1"/>
    <col min="21" max="21" width="20.1640625" style="195" customWidth="1"/>
    <col min="22" max="22" width="20.1640625" style="195" hidden="1" customWidth="1"/>
    <col min="23" max="23" width="10" style="195" bestFit="1" customWidth="1"/>
    <col min="24" max="24" width="9.33203125" style="195" customWidth="1"/>
    <col min="25" max="25" width="10" style="195" bestFit="1" customWidth="1"/>
    <col min="26" max="26" width="9.33203125" style="195"/>
    <col min="27" max="27" width="2.83203125" style="195" customWidth="1"/>
    <col min="28" max="16384" width="9.33203125" style="195"/>
  </cols>
  <sheetData>
    <row r="1" spans="1:30" ht="22.5" x14ac:dyDescent="0.2">
      <c r="A1" s="226" t="s">
        <v>124</v>
      </c>
      <c r="B1" s="193" t="s">
        <v>125</v>
      </c>
      <c r="C1" s="193" t="s">
        <v>110</v>
      </c>
      <c r="D1" s="194" t="s">
        <v>111</v>
      </c>
      <c r="E1" s="227" t="s">
        <v>125</v>
      </c>
      <c r="F1" s="227"/>
      <c r="G1" s="227" t="s">
        <v>126</v>
      </c>
      <c r="H1" s="227"/>
      <c r="I1" s="227" t="s">
        <v>127</v>
      </c>
      <c r="J1" s="227" t="s">
        <v>128</v>
      </c>
      <c r="K1" s="227" t="s">
        <v>129</v>
      </c>
      <c r="L1" s="227" t="s">
        <v>45</v>
      </c>
      <c r="M1" s="227" t="s">
        <v>130</v>
      </c>
      <c r="N1" s="227" t="s">
        <v>131</v>
      </c>
    </row>
    <row r="2" spans="1:30" x14ac:dyDescent="0.2">
      <c r="A2" s="228"/>
      <c r="B2" s="229"/>
      <c r="C2" s="230"/>
      <c r="D2" s="231">
        <f>SettlementDate</f>
        <v>41856</v>
      </c>
      <c r="E2" s="232">
        <f t="array" ref="E2:E127">_xll.qlPiecewiseYieldCurveData(YieldCurve,InterestRatesTrigger)</f>
        <v>1</v>
      </c>
      <c r="F2" s="195">
        <v>0</v>
      </c>
      <c r="G2" s="233">
        <f>_xll.qlInterestRateIndexFixingDate(IborIndex,I2)</f>
        <v>41852</v>
      </c>
      <c r="H2" s="195" t="str">
        <f>_xll.qlMakeDatedOIS(,I2,J2,OvernightIndex,0,"Act/360",0)</f>
        <v>obj_00422#0000</v>
      </c>
      <c r="I2" s="233">
        <f>_xll.qlCalendarAdvance(Calendar,$D$2,F2&amp;"M","mf")</f>
        <v>41856</v>
      </c>
      <c r="J2" s="233">
        <f>_xll.qlInterestRateIndexMaturity(IborIndex,I2)</f>
        <v>42221</v>
      </c>
      <c r="K2" s="232">
        <f>_xll.qlIndexFixing(IborIndex,G2,TRUE,InterestRatesTrigger)</f>
        <v>4.8900000000000063E-3</v>
      </c>
      <c r="L2" s="232">
        <f>_xll.qlOvernightIndexedSwapFairRate(H2,Contribution!$P$25)</f>
        <v>5.6000000000125979E-4</v>
      </c>
      <c r="M2" s="209">
        <f>ROUND(K2-L2,6)</f>
        <v>4.3299999999999996E-3</v>
      </c>
      <c r="N2" s="232"/>
      <c r="O2" s="195" t="str">
        <f>_xll.qlSimpleQuote(,,,,EvaluationDate)</f>
        <v>obj_00383#0000</v>
      </c>
      <c r="P2" s="232">
        <f>_xll.qlSimpleQuoteSetValue(O2,M2)</f>
        <v>0</v>
      </c>
      <c r="AB2" s="209"/>
      <c r="AC2" s="209"/>
      <c r="AD2" s="369"/>
    </row>
    <row r="3" spans="1:30" x14ac:dyDescent="0.2">
      <c r="A3" s="234" t="str">
        <f>RateHelpersFra!F2</f>
        <v>obj_003ad#0000</v>
      </c>
      <c r="B3" s="235">
        <f>_xll.qlRateHelperRate($A3,InterestRatesTrigger)</f>
        <v>4.8900000000000002E-3</v>
      </c>
      <c r="C3" s="236">
        <f>_xll.qlRateHelperEarliestDate($A3)</f>
        <v>41856</v>
      </c>
      <c r="D3" s="231">
        <f>_xll.qlRateHelperLatestDate($A3)</f>
        <v>42221</v>
      </c>
      <c r="E3" s="232">
        <v>0.99506654300200792</v>
      </c>
      <c r="F3" s="195">
        <v>12</v>
      </c>
      <c r="G3" s="233">
        <f>_xll.qlInterestRateIndexFixingDate(IborIndex,I3)</f>
        <v>42219</v>
      </c>
      <c r="H3" s="195" t="str">
        <f>_xll.qlMakeDatedOIS(,I3,J3,OvernightIndex,0,"Act/360",0)</f>
        <v>obj_00408#0000</v>
      </c>
      <c r="I3" s="233">
        <f>_xll.qlCalendarAdvance(Calendar,$D$2,F3&amp;"M","mf")</f>
        <v>42221</v>
      </c>
      <c r="J3" s="233">
        <f>_xll.qlInterestRateIndexMaturity(IborIndex,I3)</f>
        <v>42587</v>
      </c>
      <c r="K3" s="232">
        <f>_xll.qlIndexFixing(IborIndex,G3,TRUE,InterestRatesTrigger)</f>
        <v>5.3600000000000826E-3</v>
      </c>
      <c r="L3" s="232">
        <f>_xll.qlOvernightIndexedSwapFairRate(H3,Contribution!$P$25)</f>
        <v>8.1975285673060864E-4</v>
      </c>
      <c r="M3" s="209">
        <f>ROUND(K3-L3,6)</f>
        <v>4.5399999999999998E-3</v>
      </c>
      <c r="N3" s="232"/>
      <c r="O3" s="195" t="str">
        <f>_xll.qlSimpleQuote(,,,,EvaluationDate)</f>
        <v>obj_00396#0000</v>
      </c>
      <c r="P3" s="232">
        <f>_xll.qlSimpleQuoteSetValue(O3,M3)</f>
        <v>0</v>
      </c>
      <c r="AB3" s="209"/>
      <c r="AC3" s="209"/>
      <c r="AD3" s="369"/>
    </row>
    <row r="4" spans="1:30" x14ac:dyDescent="0.2">
      <c r="A4" s="234" t="str">
        <f>RateHelpersFra!F3</f>
        <v>obj_003b4#0000</v>
      </c>
      <c r="B4" s="235">
        <f>_xll.qlRateHelperRate($A4,InterestRatesTrigger)</f>
        <v>5.3600000000000002E-3</v>
      </c>
      <c r="C4" s="236">
        <f>_xll.qlRateHelperEarliestDate($A4)</f>
        <v>42221</v>
      </c>
      <c r="D4" s="231">
        <f>_xll.qlRateHelperLatestDate($A4)</f>
        <v>42587</v>
      </c>
      <c r="E4" s="232">
        <v>0.98967348230576302</v>
      </c>
      <c r="F4" s="195">
        <v>24</v>
      </c>
      <c r="G4" s="233">
        <f>_xll.qlInterestRateIndexFixingDate(IborIndex,I4)</f>
        <v>42585</v>
      </c>
      <c r="H4" s="195" t="str">
        <f>_xll.qlMakeDatedOIS(,I4,J4,OvernightIndex,0,"Act/360",0)</f>
        <v>obj_00417#0000</v>
      </c>
      <c r="I4" s="233">
        <f>_xll.qlCalendarAdvance(Calendar,$D$2,F4&amp;"M","mf")</f>
        <v>42587</v>
      </c>
      <c r="J4" s="233">
        <f>_xll.qlInterestRateIndexMaturity(IborIndex,I4)</f>
        <v>42954</v>
      </c>
      <c r="K4" s="232">
        <f>_xll.qlIndexFixing(IborIndex,G4,TRUE,InterestRatesTrigger)</f>
        <v>6.9536088593760868E-3</v>
      </c>
      <c r="L4" s="232">
        <f>_xll.qlOvernightIndexedSwapFairRate(H4,Contribution!$P$25)</f>
        <v>2.3985903811910053E-3</v>
      </c>
      <c r="M4" s="209">
        <f>ROUND(K4-L4,6)</f>
        <v>4.555E-3</v>
      </c>
      <c r="N4" s="232"/>
      <c r="O4" s="195" t="str">
        <f>_xll.qlSimpleQuote(,,,,EvaluationDate)</f>
        <v>obj_0038e#0000</v>
      </c>
      <c r="P4" s="232">
        <f>_xll.qlSimpleQuoteSetValue(O4,M4)</f>
        <v>0</v>
      </c>
      <c r="AB4" s="209"/>
      <c r="AC4" s="209"/>
      <c r="AD4" s="369"/>
    </row>
    <row r="5" spans="1:30" x14ac:dyDescent="0.2">
      <c r="A5" s="234" t="str">
        <f>RateHelpersFra!F4</f>
        <v>obj_003ba#0000</v>
      </c>
      <c r="B5" s="235">
        <f>_xll.qlRateHelperRate($A5,InterestRatesTrigger)</f>
        <v>5.8200000000000005E-3</v>
      </c>
      <c r="C5" s="236">
        <f>_xll.qlRateHelperEarliestDate($A5)</f>
        <v>41856</v>
      </c>
      <c r="D5" s="231">
        <f>_xll.qlRateHelperLatestDate($A5)</f>
        <v>42954</v>
      </c>
      <c r="E5" s="232">
        <v>0.98270724954455624</v>
      </c>
      <c r="F5" s="195">
        <v>36</v>
      </c>
      <c r="G5" s="233">
        <f>_xll.qlInterestRateIndexFixingDate(IborIndex,I5)</f>
        <v>42950</v>
      </c>
      <c r="H5" s="195" t="str">
        <f>_xll.qlMakeDatedOIS(,I5,J5,OvernightIndex,0,"Act/360",0)</f>
        <v>obj_00420#0000</v>
      </c>
      <c r="I5" s="233">
        <f>_xll.qlCalendarAdvance(Calendar,$D$2,F5&amp;"M","mf")</f>
        <v>42954</v>
      </c>
      <c r="J5" s="233">
        <f>_xll.qlInterestRateIndexMaturity(IborIndex,I5)</f>
        <v>43319</v>
      </c>
      <c r="K5" s="232">
        <f>_xll.qlIndexFixing(IborIndex,G5,TRUE,InterestRatesTrigger)</f>
        <v>1.0203625051710671E-2</v>
      </c>
      <c r="L5" s="232">
        <f>_xll.qlOvernightIndexedSwapFairRate(H5,Contribution!$P$25)</f>
        <v>5.2221192383722194E-3</v>
      </c>
      <c r="M5" s="209">
        <f>ROUND(K5-L5,6)</f>
        <v>4.9820000000000003E-3</v>
      </c>
      <c r="N5" s="232"/>
      <c r="O5" s="195" t="str">
        <f>_xll.qlSimpleQuote(,,,,EvaluationDate)</f>
        <v>obj_00387#0000</v>
      </c>
      <c r="P5" s="232">
        <f>_xll.qlSimpleQuoteSetValue(O5,M5)</f>
        <v>0</v>
      </c>
      <c r="AB5" s="209"/>
      <c r="AC5" s="209"/>
      <c r="AD5" s="369"/>
    </row>
    <row r="6" spans="1:30" x14ac:dyDescent="0.2">
      <c r="A6" s="234" t="str">
        <f>RateHelpersFra!F5</f>
        <v>obj_003b7#0000</v>
      </c>
      <c r="B6" s="235">
        <f>_xll.qlRateHelperRate($A6,InterestRatesTrigger)</f>
        <v>6.94E-3</v>
      </c>
      <c r="C6" s="236">
        <f>_xll.qlRateHelperEarliestDate($A6)</f>
        <v>41856</v>
      </c>
      <c r="D6" s="231">
        <f>_xll.qlRateHelperLatestDate($A6)</f>
        <v>43318</v>
      </c>
      <c r="E6" s="232">
        <v>0.97267782318258855</v>
      </c>
      <c r="F6" s="195">
        <v>48</v>
      </c>
      <c r="G6" s="233">
        <f>_xll.qlInterestRateIndexFixingDate(IborIndex,I6)</f>
        <v>43314</v>
      </c>
      <c r="H6" s="195" t="str">
        <f>_xll.qlMakeDatedOIS(,I6,J6,OvernightIndex,0,"Act/360",0)</f>
        <v>obj_00430#0000</v>
      </c>
      <c r="I6" s="233">
        <f>_xll.qlCalendarAdvance(Calendar,$D$2,F6&amp;"M","mf")</f>
        <v>43318</v>
      </c>
      <c r="J6" s="233">
        <f>_xll.qlInterestRateIndexMaturity(IborIndex,I6)</f>
        <v>43683</v>
      </c>
      <c r="K6" s="232">
        <f>_xll.qlIndexFixing(IborIndex,G6,TRUE,InterestRatesTrigger)</f>
        <v>1.3749160499389727E-2</v>
      </c>
      <c r="L6" s="232">
        <f>_xll.qlOvernightIndexedSwapFairRate(H6,Contribution!$P$25)</f>
        <v>8.739617153593577E-3</v>
      </c>
      <c r="M6" s="209">
        <f>ROUND(K6-L6,6)</f>
        <v>5.0099999999999997E-3</v>
      </c>
      <c r="N6" s="232"/>
      <c r="O6" s="195" t="str">
        <f>_xll.qlSimpleQuote(,,,,EvaluationDate)</f>
        <v>obj_00391#0000</v>
      </c>
      <c r="P6" s="232">
        <f>_xll.qlSimpleQuoteSetValue(O6,M6)</f>
        <v>0</v>
      </c>
      <c r="AB6" s="209"/>
      <c r="AC6" s="209"/>
      <c r="AD6" s="369"/>
    </row>
    <row r="7" spans="1:30" x14ac:dyDescent="0.2">
      <c r="A7" s="234" t="str">
        <f>RateHelpersFra!F6</f>
        <v>obj_003a8#0000</v>
      </c>
      <c r="B7" s="235">
        <f>_xll.qlRateHelperRate($A7,InterestRatesTrigger)</f>
        <v>8.320000000000001E-3</v>
      </c>
      <c r="C7" s="236">
        <f>_xll.qlRateHelperEarliestDate($A7)</f>
        <v>41856</v>
      </c>
      <c r="D7" s="231">
        <f>_xll.qlRateHelperLatestDate($A7)</f>
        <v>43682</v>
      </c>
      <c r="E7" s="232">
        <v>0.95934334055391901</v>
      </c>
      <c r="G7" s="233"/>
      <c r="I7" s="233"/>
      <c r="J7" s="233"/>
      <c r="K7" s="232"/>
      <c r="L7" s="232"/>
      <c r="M7" s="209"/>
      <c r="AB7" s="209"/>
      <c r="AC7" s="209"/>
      <c r="AD7" s="369"/>
    </row>
    <row r="8" spans="1:30" x14ac:dyDescent="0.2">
      <c r="A8" s="234"/>
      <c r="B8" s="235"/>
      <c r="C8" s="236"/>
      <c r="D8" s="231"/>
      <c r="E8" s="232" t="e">
        <v>#N/A</v>
      </c>
      <c r="F8" s="374">
        <v>0</v>
      </c>
      <c r="G8" s="375">
        <f>_xll.qlInterestRateIndexFixingDate(IborIndex,I8)</f>
        <v>41852</v>
      </c>
      <c r="H8" s="374" t="str">
        <f>_xll.qlMakeDatedOIS(,I8,J8,OvernightIndex,0,"Act/360",0)</f>
        <v>obj_00436#0000</v>
      </c>
      <c r="I8" s="375">
        <f>_xll.qlCalendarAdvance(Calendar,$D$2,F8&amp;"M","mf")</f>
        <v>41856</v>
      </c>
      <c r="J8" s="375">
        <f>_xll.qlInterestRateIndexMaturity(IborIndex,I8)</f>
        <v>42221</v>
      </c>
      <c r="K8" s="374"/>
      <c r="L8" s="376">
        <f>_xll.qlOvernightIndexedSwapFairRate(H8,_xll.ohTrigger($P$2:$P$6))</f>
        <v>5.6000000000125979E-4</v>
      </c>
      <c r="M8" s="377">
        <f>_xll.qlInterpolationInterpolate(BasisInterpolator,I8,,L8)</f>
        <v>4.3299999999999996E-3</v>
      </c>
      <c r="N8" s="376">
        <f>L8+M8</f>
        <v>4.8900000000012597E-3</v>
      </c>
      <c r="AB8" s="209"/>
      <c r="AC8" s="209"/>
      <c r="AD8" s="369"/>
    </row>
    <row r="9" spans="1:30" x14ac:dyDescent="0.2">
      <c r="A9" s="234"/>
      <c r="B9" s="235"/>
      <c r="C9" s="236"/>
      <c r="D9" s="231"/>
      <c r="E9" s="232" t="e">
        <v>#N/A</v>
      </c>
      <c r="F9" s="195">
        <v>1</v>
      </c>
      <c r="G9" s="233">
        <f>_xll.qlInterestRateIndexFixingDate(IborIndex,I9)</f>
        <v>41885</v>
      </c>
      <c r="H9" s="195" t="str">
        <f>_xll.qlMakeDatedOIS(,I9,J9,OvernightIndex,0,"Act/360",0)</f>
        <v>obj_00433#0000</v>
      </c>
      <c r="I9" s="233">
        <f>_xll.qlCalendarAdvance(Calendar,$D$2,F9&amp;"M","mf")</f>
        <v>41887</v>
      </c>
      <c r="J9" s="233">
        <f>_xll.qlInterestRateIndexMaturity(IborIndex,I9)</f>
        <v>42254</v>
      </c>
      <c r="L9" s="232">
        <f>_xll.qlOvernightIndexedSwapFairRate(H9,_xll.ohTrigger($P$2:$P$6))</f>
        <v>5.3986179201685844E-4</v>
      </c>
      <c r="M9" s="209">
        <f>_xll.qlInterpolationInterpolate(BasisInterpolator,I9,,L9)</f>
        <v>4.3552948272580832E-3</v>
      </c>
      <c r="N9" s="232">
        <f>L9+M9</f>
        <v>4.8951566192749416E-3</v>
      </c>
      <c r="O9" s="369"/>
      <c r="AB9" s="209"/>
      <c r="AC9" s="209"/>
      <c r="AD9" s="369"/>
    </row>
    <row r="10" spans="1:30" x14ac:dyDescent="0.2">
      <c r="A10" s="234"/>
      <c r="B10" s="235"/>
      <c r="C10" s="236"/>
      <c r="D10" s="231"/>
      <c r="E10" s="232" t="e">
        <v>#N/A</v>
      </c>
      <c r="F10" s="195">
        <v>2</v>
      </c>
      <c r="G10" s="233">
        <f>_xll.qlInterestRateIndexFixingDate(IborIndex,I10)</f>
        <v>41914</v>
      </c>
      <c r="H10" s="195" t="str">
        <f>_xll.qlMakeDatedOIS(,I10,J10,OvernightIndex,0,"Act/360",0)</f>
        <v>obj_00428#0000</v>
      </c>
      <c r="I10" s="233">
        <f>_xll.qlCalendarAdvance(Calendar,$D$2,F10&amp;"M","mf")</f>
        <v>41918</v>
      </c>
      <c r="J10" s="233">
        <f>_xll.qlInterestRateIndexMaturity(IborIndex,I10)</f>
        <v>42283</v>
      </c>
      <c r="L10" s="232">
        <f>_xll.qlOvernightIndexedSwapFairRate(H10,_xll.ohTrigger($P$2:$P$6))</f>
        <v>5.2044932144811517E-4</v>
      </c>
      <c r="M10" s="209">
        <f>_xll.qlInterpolationInterpolate(BasisInterpolator,I10,,L10)</f>
        <v>4.3802644729884158E-3</v>
      </c>
      <c r="N10" s="232">
        <f t="shared" ref="N10:N56" si="0">L10+M10</f>
        <v>4.9007137944365314E-3</v>
      </c>
      <c r="O10" s="369"/>
      <c r="AB10" s="209"/>
      <c r="AC10" s="209"/>
      <c r="AD10" s="369"/>
    </row>
    <row r="11" spans="1:30" x14ac:dyDescent="0.2">
      <c r="A11" s="234"/>
      <c r="B11" s="235"/>
      <c r="C11" s="236"/>
      <c r="D11" s="231"/>
      <c r="E11" s="232" t="e">
        <v>#N/A</v>
      </c>
      <c r="F11" s="195">
        <v>3</v>
      </c>
      <c r="G11" s="233">
        <f>_xll.qlInterestRateIndexFixingDate(IborIndex,I11)</f>
        <v>41946</v>
      </c>
      <c r="H11" s="195" t="str">
        <f>_xll.qlMakeDatedOIS(,I11,J11,OvernightIndex,0,"Act/360",0)</f>
        <v>obj_0040d#0000</v>
      </c>
      <c r="I11" s="233">
        <f>_xll.qlCalendarAdvance(Calendar,$D$2,F11&amp;"M","mf")</f>
        <v>41948</v>
      </c>
      <c r="J11" s="233">
        <f>_xll.qlInterestRateIndexMaturity(IborIndex,I11)</f>
        <v>42313</v>
      </c>
      <c r="L11" s="232">
        <f>_xll.qlOvernightIndexedSwapFairRate(H11,_xll.ohTrigger($P$2:$P$6))</f>
        <v>5.1729535265217447E-4</v>
      </c>
      <c r="M11" s="209">
        <f>_xll.qlInterpolationInterpolate(BasisInterpolator,I11,,L11)</f>
        <v>4.4038127432278196E-3</v>
      </c>
      <c r="N11" s="232">
        <f t="shared" si="0"/>
        <v>4.9211080958799936E-3</v>
      </c>
      <c r="O11" s="369"/>
      <c r="AB11" s="209"/>
      <c r="AC11" s="209"/>
      <c r="AD11" s="369"/>
    </row>
    <row r="12" spans="1:30" x14ac:dyDescent="0.2">
      <c r="A12" s="234"/>
      <c r="B12" s="235"/>
      <c r="C12" s="236"/>
      <c r="D12" s="231"/>
      <c r="E12" s="232" t="e">
        <v>#N/A</v>
      </c>
      <c r="F12" s="195">
        <v>4</v>
      </c>
      <c r="G12" s="233">
        <f>_xll.qlInterestRateIndexFixingDate(IborIndex,I12)</f>
        <v>41976</v>
      </c>
      <c r="H12" s="195" t="str">
        <f>_xll.qlMakeDatedOIS(,I12,J12,OvernightIndex,0,"Act/360",0)</f>
        <v>obj_0041e#0000</v>
      </c>
      <c r="I12" s="233">
        <f>_xll.qlCalendarAdvance(Calendar,$D$2,F12&amp;"M","mf")</f>
        <v>41978</v>
      </c>
      <c r="J12" s="233">
        <f>_xll.qlInterestRateIndexMaturity(IborIndex,I12)</f>
        <v>42345</v>
      </c>
      <c r="L12" s="232">
        <f>_xll.qlOvernightIndexedSwapFairRate(H12,_xll.ohTrigger($P$2:$P$6))</f>
        <v>5.1115068348425469E-4</v>
      </c>
      <c r="M12" s="209">
        <f>_xll.qlInterpolationInterpolate(BasisInterpolator,I12,,L12)</f>
        <v>4.4264572159949051E-3</v>
      </c>
      <c r="N12" s="232">
        <f t="shared" si="0"/>
        <v>4.9376078994791597E-3</v>
      </c>
      <c r="O12" s="369"/>
      <c r="AB12" s="209"/>
      <c r="AC12" s="209"/>
      <c r="AD12" s="369"/>
    </row>
    <row r="13" spans="1:30" x14ac:dyDescent="0.2">
      <c r="A13" s="234"/>
      <c r="B13" s="235"/>
      <c r="C13" s="236"/>
      <c r="D13" s="231"/>
      <c r="E13" s="232" t="e">
        <v>#N/A</v>
      </c>
      <c r="F13" s="195">
        <v>5</v>
      </c>
      <c r="G13" s="233">
        <f>_xll.qlInterestRateIndexFixingDate(IborIndex,I13)</f>
        <v>42004</v>
      </c>
      <c r="H13" s="195" t="str">
        <f>_xll.qlMakeDatedOIS(,I13,J13,OvernightIndex,0,"Act/360",0)</f>
        <v>obj_00414#0000</v>
      </c>
      <c r="I13" s="233">
        <f>_xll.qlCalendarAdvance(Calendar,$D$2,F13&amp;"M","mf")</f>
        <v>42009</v>
      </c>
      <c r="J13" s="233">
        <f>_xll.qlInterestRateIndexMaturity(IborIndex,I13)</f>
        <v>42374</v>
      </c>
      <c r="L13" s="232">
        <f>_xll.qlOvernightIndexedSwapFairRate(H13,_xll.ohTrigger($P$2:$P$6))</f>
        <v>5.1181862976941038E-4</v>
      </c>
      <c r="M13" s="209">
        <f>_xll.qlInterpolationInterpolate(BasisInterpolator,I13,,L13)</f>
        <v>4.4485939587592255E-3</v>
      </c>
      <c r="N13" s="232">
        <f t="shared" si="0"/>
        <v>4.9604125885286355E-3</v>
      </c>
      <c r="O13" s="369"/>
      <c r="AB13" s="209"/>
      <c r="AC13" s="209"/>
      <c r="AD13" s="369"/>
    </row>
    <row r="14" spans="1:30" x14ac:dyDescent="0.2">
      <c r="A14" s="234"/>
      <c r="B14" s="235"/>
      <c r="C14" s="236"/>
      <c r="D14" s="231"/>
      <c r="E14" s="232" t="e">
        <v>#N/A</v>
      </c>
      <c r="F14" s="195">
        <v>6</v>
      </c>
      <c r="G14" s="233">
        <f>_xll.qlInterestRateIndexFixingDate(IborIndex,I14)</f>
        <v>42038</v>
      </c>
      <c r="H14" s="195" t="str">
        <f>_xll.qlMakeDatedOIS(,I14,J14,OvernightIndex,0,"Act/360",0)</f>
        <v>obj_0040b#0000</v>
      </c>
      <c r="I14" s="233">
        <f>_xll.qlCalendarAdvance(Calendar,$D$2,F14&amp;"M","mf")</f>
        <v>42040</v>
      </c>
      <c r="J14" s="233">
        <f>_xll.qlInterestRateIndexMaturity(IborIndex,I14)</f>
        <v>42405</v>
      </c>
      <c r="L14" s="232">
        <f>_xll.qlOvernightIndexedSwapFairRate(H14,_xll.ohTrigger($P$2:$P$6))</f>
        <v>5.2470365863355802E-4</v>
      </c>
      <c r="M14" s="209">
        <f>_xll.qlInterpolationInterpolate(BasisInterpolator,I14,,L14)</f>
        <v>4.4691257733381912E-3</v>
      </c>
      <c r="N14" s="232">
        <f t="shared" si="0"/>
        <v>4.9938294319717491E-3</v>
      </c>
      <c r="O14" s="369"/>
      <c r="AB14" s="209"/>
      <c r="AC14" s="209"/>
      <c r="AD14" s="369"/>
    </row>
    <row r="15" spans="1:30" x14ac:dyDescent="0.2">
      <c r="A15" s="234"/>
      <c r="B15" s="235"/>
      <c r="C15" s="236"/>
      <c r="D15" s="231"/>
      <c r="E15" s="232" t="e">
        <v>#N/A</v>
      </c>
      <c r="F15" s="195">
        <v>7</v>
      </c>
      <c r="G15" s="233">
        <f>_xll.qlInterestRateIndexFixingDate(IborIndex,I15)</f>
        <v>42066</v>
      </c>
      <c r="H15" s="195" t="str">
        <f>_xll.qlMakeDatedOIS(,I15,J15,OvernightIndex,0,"Act/360",0)</f>
        <v>obj_00421#0000</v>
      </c>
      <c r="I15" s="233">
        <f>_xll.qlCalendarAdvance(Calendar,$D$2,F15&amp;"M","mf")</f>
        <v>42068</v>
      </c>
      <c r="J15" s="233">
        <f>_xll.qlInterestRateIndexMaturity(IborIndex,I15)</f>
        <v>42436</v>
      </c>
      <c r="L15" s="232">
        <f>_xll.qlOvernightIndexedSwapFairRate(H15,_xll.ohTrigger($P$2:$P$6))</f>
        <v>5.3000922128773012E-4</v>
      </c>
      <c r="M15" s="209">
        <f>_xll.qlInterpolationInterpolate(BasisInterpolator,I15,,L15)</f>
        <v>4.4860206837916469E-3</v>
      </c>
      <c r="N15" s="232">
        <f t="shared" si="0"/>
        <v>5.0160299050793769E-3</v>
      </c>
      <c r="O15" s="369"/>
      <c r="AB15" s="209"/>
      <c r="AC15" s="209"/>
      <c r="AD15" s="369"/>
    </row>
    <row r="16" spans="1:30" x14ac:dyDescent="0.2">
      <c r="A16" s="234"/>
      <c r="B16" s="235"/>
      <c r="C16" s="236"/>
      <c r="D16" s="231"/>
      <c r="E16" s="232" t="e">
        <v>#N/A</v>
      </c>
      <c r="F16" s="195">
        <v>8</v>
      </c>
      <c r="G16" s="233">
        <f>_xll.qlInterestRateIndexFixingDate(IborIndex,I16)</f>
        <v>42095</v>
      </c>
      <c r="H16" s="195" t="str">
        <f>_xll.qlMakeDatedOIS(,I16,J16,OvernightIndex,0,"Act/360",0)</f>
        <v>obj_00435#0000</v>
      </c>
      <c r="I16" s="233">
        <f>_xll.qlCalendarAdvance(Calendar,$D$2,F16&amp;"M","mf")</f>
        <v>42101</v>
      </c>
      <c r="J16" s="233">
        <f>_xll.qlInterestRateIndexMaturity(IborIndex,I16)</f>
        <v>42467</v>
      </c>
      <c r="L16" s="232">
        <f>_xll.qlOvernightIndexedSwapFairRate(H16,_xll.ohTrigger($P$2:$P$6))</f>
        <v>5.5865794928450143E-4</v>
      </c>
      <c r="M16" s="209">
        <f>_xll.qlInterpolationInterpolate(BasisInterpolator,I16,,L16)</f>
        <v>4.5035851196260131E-3</v>
      </c>
      <c r="N16" s="232">
        <f t="shared" si="0"/>
        <v>5.0622430689105146E-3</v>
      </c>
      <c r="O16" s="369"/>
      <c r="AB16" s="209"/>
      <c r="AC16" s="209"/>
      <c r="AD16" s="369"/>
    </row>
    <row r="17" spans="1:30" x14ac:dyDescent="0.2">
      <c r="A17" s="234"/>
      <c r="B17" s="235"/>
      <c r="C17" s="236"/>
      <c r="D17" s="231"/>
      <c r="E17" s="232" t="e">
        <v>#N/A</v>
      </c>
      <c r="F17" s="195">
        <v>9</v>
      </c>
      <c r="G17" s="233">
        <f>_xll.qlInterestRateIndexFixingDate(IborIndex,I17)</f>
        <v>42124</v>
      </c>
      <c r="H17" s="195" t="str">
        <f>_xll.qlMakeDatedOIS(,I17,J17,OvernightIndex,0,"Act/360",0)</f>
        <v>obj_0040c#0000</v>
      </c>
      <c r="I17" s="233">
        <f>_xll.qlCalendarAdvance(Calendar,$D$2,F17&amp;"M","mf")</f>
        <v>42129</v>
      </c>
      <c r="J17" s="233">
        <f>_xll.qlInterestRateIndexMaturity(IborIndex,I17)</f>
        <v>42495</v>
      </c>
      <c r="L17" s="232">
        <f>_xll.qlOvernightIndexedSwapFairRate(H17,_xll.ohTrigger($P$2:$P$6))</f>
        <v>6.0257096547723177E-4</v>
      </c>
      <c r="M17" s="209">
        <f>_xll.qlInterpolationInterpolate(BasisInterpolator,I17,,L17)</f>
        <v>4.5162199785106103E-3</v>
      </c>
      <c r="N17" s="232">
        <f t="shared" si="0"/>
        <v>5.1187909439878426E-3</v>
      </c>
      <c r="O17" s="369"/>
      <c r="AB17" s="209"/>
      <c r="AC17" s="209"/>
      <c r="AD17" s="369"/>
    </row>
    <row r="18" spans="1:30" x14ac:dyDescent="0.2">
      <c r="A18" s="234"/>
      <c r="B18" s="235"/>
      <c r="C18" s="236"/>
      <c r="D18" s="231"/>
      <c r="E18" s="232" t="e">
        <v>#N/A</v>
      </c>
      <c r="F18" s="195">
        <v>10</v>
      </c>
      <c r="G18" s="233">
        <f>_xll.qlInterestRateIndexFixingDate(IborIndex,I18)</f>
        <v>42158</v>
      </c>
      <c r="H18" s="195" t="str">
        <f>_xll.qlMakeDatedOIS(,I18,J18,OvernightIndex,0,"Act/360",0)</f>
        <v>obj_00437#0000</v>
      </c>
      <c r="I18" s="233">
        <f>_xll.qlCalendarAdvance(Calendar,$D$2,F18&amp;"M","mf")</f>
        <v>42160</v>
      </c>
      <c r="J18" s="233">
        <f>_xll.qlInterestRateIndexMaturity(IborIndex,I18)</f>
        <v>42527</v>
      </c>
      <c r="L18" s="232">
        <f>_xll.qlOvernightIndexedSwapFairRate(H18,_xll.ohTrigger($P$2:$P$6))</f>
        <v>6.637324524390116E-4</v>
      </c>
      <c r="M18" s="209">
        <f>_xll.qlInterpolationInterpolate(BasisInterpolator,I18,,L18)</f>
        <v>4.5274734606328103E-3</v>
      </c>
      <c r="N18" s="232">
        <f t="shared" si="0"/>
        <v>5.1912059130718221E-3</v>
      </c>
      <c r="O18" s="369"/>
      <c r="AB18" s="209"/>
      <c r="AC18" s="209"/>
      <c r="AD18" s="369"/>
    </row>
    <row r="19" spans="1:30" x14ac:dyDescent="0.2">
      <c r="A19" s="234"/>
      <c r="B19" s="235"/>
      <c r="C19" s="236"/>
      <c r="D19" s="231"/>
      <c r="E19" s="232" t="e">
        <v>#N/A</v>
      </c>
      <c r="F19" s="195">
        <v>11</v>
      </c>
      <c r="G19" s="233">
        <f>_xll.qlInterestRateIndexFixingDate(IborIndex,I19)</f>
        <v>42187</v>
      </c>
      <c r="H19" s="195" t="str">
        <f>_xll.qlMakeDatedOIS(,I19,J19,OvernightIndex,0,"Act/360",0)</f>
        <v>obj_0040f#0000</v>
      </c>
      <c r="I19" s="233">
        <f>_xll.qlCalendarAdvance(Calendar,$D$2,F19&amp;"M","mf")</f>
        <v>42191</v>
      </c>
      <c r="J19" s="233">
        <f>_xll.qlInterestRateIndexMaturity(IborIndex,I19)</f>
        <v>42557</v>
      </c>
      <c r="L19" s="232">
        <f>_xll.qlOvernightIndexedSwapFairRate(H19,_xll.ohTrigger($P$2:$P$6))</f>
        <v>7.3543206762526189E-4</v>
      </c>
      <c r="M19" s="209">
        <f>_xll.qlInterpolationInterpolate(BasisInterpolator,I19,,L19)</f>
        <v>4.5355380658377038E-3</v>
      </c>
      <c r="N19" s="232">
        <f t="shared" si="0"/>
        <v>5.2709701334629653E-3</v>
      </c>
      <c r="O19" s="369"/>
      <c r="AB19" s="209"/>
      <c r="AC19" s="209"/>
      <c r="AD19" s="369"/>
    </row>
    <row r="20" spans="1:30" x14ac:dyDescent="0.2">
      <c r="A20" s="234"/>
      <c r="B20" s="235"/>
      <c r="C20" s="236"/>
      <c r="D20" s="231"/>
      <c r="E20" s="232" t="e">
        <v>#N/A</v>
      </c>
      <c r="F20" s="370">
        <v>12</v>
      </c>
      <c r="G20" s="371">
        <f>_xll.qlInterestRateIndexFixingDate(IborIndex,I20)</f>
        <v>42219</v>
      </c>
      <c r="H20" s="370" t="str">
        <f>_xll.qlMakeDatedOIS(,I20,J20,OvernightIndex,0,"Act/360",0)</f>
        <v>obj_00419#0000</v>
      </c>
      <c r="I20" s="371">
        <f>_xll.qlCalendarAdvance(Calendar,$D$2,F20&amp;"M","mf")</f>
        <v>42221</v>
      </c>
      <c r="J20" s="371">
        <f>_xll.qlInterestRateIndexMaturity(IborIndex,I20)</f>
        <v>42587</v>
      </c>
      <c r="K20" s="370"/>
      <c r="L20" s="372">
        <f>_xll.qlOvernightIndexedSwapFairRate(H20,_xll.ohTrigger($P$2:$P$6))</f>
        <v>8.1975285673060864E-4</v>
      </c>
      <c r="M20" s="373">
        <f>_xll.qlInterpolationInterpolate(BasisInterpolator,I20,,L20)</f>
        <v>4.5399999999999998E-3</v>
      </c>
      <c r="N20" s="372">
        <f t="shared" ref="N20" si="1">L20+M20</f>
        <v>5.3597528567306081E-3</v>
      </c>
      <c r="O20" s="369"/>
      <c r="AB20" s="209"/>
      <c r="AC20" s="209"/>
      <c r="AD20" s="369"/>
    </row>
    <row r="21" spans="1:30" x14ac:dyDescent="0.2">
      <c r="A21" s="234"/>
      <c r="B21" s="235"/>
      <c r="C21" s="236"/>
      <c r="D21" s="231"/>
      <c r="E21" s="232" t="e">
        <v>#N/A</v>
      </c>
      <c r="F21" s="195">
        <v>13</v>
      </c>
      <c r="G21" s="233">
        <f>_xll.qlInterestRateIndexFixingDate(IborIndex,I21)</f>
        <v>42250</v>
      </c>
      <c r="H21" s="195" t="str">
        <f>_xll.qlMakeDatedOIS(,I21,J21,OvernightIndex,0,"Act/360",0)</f>
        <v>obj_0041b#0000</v>
      </c>
      <c r="I21" s="233">
        <f>_xll.qlCalendarAdvance(Calendar,$D$2,F21&amp;"M","mf")</f>
        <v>42254</v>
      </c>
      <c r="J21" s="233">
        <f>_xll.qlInterestRateIndexMaturity(IborIndex,I21)</f>
        <v>42620</v>
      </c>
      <c r="L21" s="232">
        <f>_xll.qlOvernightIndexedSwapFairRate(H21,_xll.ohTrigger($P$2:$P$6))</f>
        <v>9.1874675766097889E-4</v>
      </c>
      <c r="M21" s="209">
        <f>_xll.qlInterpolationInterpolate(BasisInterpolator,I21,,L21)</f>
        <v>4.542486133369026E-3</v>
      </c>
      <c r="N21" s="232">
        <f t="shared" si="0"/>
        <v>5.4612328910300049E-3</v>
      </c>
      <c r="O21" s="369"/>
      <c r="AB21" s="209"/>
      <c r="AC21" s="209"/>
      <c r="AD21" s="369"/>
    </row>
    <row r="22" spans="1:30" x14ac:dyDescent="0.2">
      <c r="A22" s="234"/>
      <c r="B22" s="235"/>
      <c r="C22" s="236"/>
      <c r="D22" s="231"/>
      <c r="E22" s="232" t="e">
        <v>#N/A</v>
      </c>
      <c r="F22" s="195">
        <v>14</v>
      </c>
      <c r="G22" s="233">
        <f>_xll.qlInterestRateIndexFixingDate(IborIndex,I22)</f>
        <v>42278</v>
      </c>
      <c r="H22" s="195" t="str">
        <f>_xll.qlMakeDatedOIS(,I22,J22,OvernightIndex,0,"Act/360",0)</f>
        <v>obj_00424#0000</v>
      </c>
      <c r="I22" s="233">
        <f>_xll.qlCalendarAdvance(Calendar,$D$2,F22&amp;"M","mf")</f>
        <v>42282</v>
      </c>
      <c r="J22" s="233">
        <f>_xll.qlInterestRateIndexMaturity(IborIndex,I22)</f>
        <v>42648</v>
      </c>
      <c r="L22" s="232">
        <f>_xll.qlOvernightIndexedSwapFairRate(H22,_xll.ohTrigger($P$2:$P$6))</f>
        <v>1.0071139137339377E-3</v>
      </c>
      <c r="M22" s="209">
        <f>_xll.qlInterpolationInterpolate(BasisInterpolator,I22,,L22)</f>
        <v>4.5439076357153968E-3</v>
      </c>
      <c r="N22" s="232">
        <f t="shared" si="0"/>
        <v>5.5510215494493347E-3</v>
      </c>
      <c r="O22" s="369"/>
      <c r="AB22" s="209"/>
      <c r="AC22" s="209"/>
      <c r="AD22" s="369"/>
    </row>
    <row r="23" spans="1:30" x14ac:dyDescent="0.2">
      <c r="A23" s="234"/>
      <c r="B23" s="235"/>
      <c r="C23" s="236"/>
      <c r="D23" s="231"/>
      <c r="E23" s="232" t="e">
        <v>#N/A</v>
      </c>
      <c r="F23" s="195">
        <v>15</v>
      </c>
      <c r="G23" s="233">
        <f>_xll.qlInterestRateIndexFixingDate(IborIndex,I23)</f>
        <v>42311</v>
      </c>
      <c r="H23" s="195" t="str">
        <f>_xll.qlMakeDatedOIS(,I23,J23,OvernightIndex,0,"Act/360",0)</f>
        <v>obj_00425#0000</v>
      </c>
      <c r="I23" s="233">
        <f>_xll.qlCalendarAdvance(Calendar,$D$2,F23&amp;"M","mf")</f>
        <v>42313</v>
      </c>
      <c r="J23" s="233">
        <f>_xll.qlInterestRateIndexMaturity(IborIndex,I23)</f>
        <v>42681</v>
      </c>
      <c r="L23" s="232">
        <f>_xll.qlOvernightIndexedSwapFairRate(H23,_xll.ohTrigger($P$2:$P$6))</f>
        <v>1.1151269036892588E-3</v>
      </c>
      <c r="M23" s="209">
        <f>_xll.qlInterpolationInterpolate(BasisInterpolator,I23,,L23)</f>
        <v>4.5449100577214536E-3</v>
      </c>
      <c r="N23" s="232">
        <f t="shared" si="0"/>
        <v>5.6600369614107126E-3</v>
      </c>
      <c r="O23" s="369"/>
      <c r="AB23" s="209"/>
      <c r="AC23" s="209"/>
      <c r="AD23" s="369"/>
    </row>
    <row r="24" spans="1:30" x14ac:dyDescent="0.2">
      <c r="A24" s="234"/>
      <c r="B24" s="235"/>
      <c r="C24" s="236"/>
      <c r="D24" s="231"/>
      <c r="E24" s="232" t="e">
        <v>#N/A</v>
      </c>
      <c r="F24" s="195">
        <v>16</v>
      </c>
      <c r="G24" s="233">
        <f>_xll.qlInterestRateIndexFixingDate(IborIndex,I24)</f>
        <v>42341</v>
      </c>
      <c r="H24" s="195" t="str">
        <f>_xll.qlMakeDatedOIS(,I24,J24,OvernightIndex,0,"Act/360",0)</f>
        <v>obj_00418#0000</v>
      </c>
      <c r="I24" s="233">
        <f>_xll.qlCalendarAdvance(Calendar,$D$2,F24&amp;"M","mf")</f>
        <v>42345</v>
      </c>
      <c r="J24" s="233">
        <f>_xll.qlInterestRateIndexMaturity(IborIndex,I24)</f>
        <v>42711</v>
      </c>
      <c r="L24" s="232">
        <f>_xll.qlOvernightIndexedSwapFairRate(H24,_xll.ohTrigger($P$2:$P$6))</f>
        <v>1.2268647852062503E-3</v>
      </c>
      <c r="M24" s="209">
        <f>_xll.qlInterpolationInterpolate(BasisInterpolator,I24,,L24)</f>
        <v>4.5454952283189394E-3</v>
      </c>
      <c r="N24" s="232">
        <f t="shared" si="0"/>
        <v>5.7723600135251895E-3</v>
      </c>
      <c r="O24" s="369"/>
      <c r="AB24" s="209"/>
      <c r="AC24" s="209"/>
      <c r="AD24" s="369"/>
    </row>
    <row r="25" spans="1:30" x14ac:dyDescent="0.2">
      <c r="A25" s="234"/>
      <c r="B25" s="235"/>
      <c r="C25" s="236"/>
      <c r="D25" s="231"/>
      <c r="E25" s="232" t="e">
        <v>#N/A</v>
      </c>
      <c r="F25" s="195">
        <v>17</v>
      </c>
      <c r="G25" s="233">
        <f>_xll.qlInterestRateIndexFixingDate(IborIndex,I25)</f>
        <v>42369</v>
      </c>
      <c r="H25" s="195" t="str">
        <f>_xll.qlMakeDatedOIS(,I25,J25,OvernightIndex,0,"Act/360",0)</f>
        <v>obj_00423#0000</v>
      </c>
      <c r="I25" s="233">
        <f>_xll.qlCalendarAdvance(Calendar,$D$2,F25&amp;"M","mf")</f>
        <v>42374</v>
      </c>
      <c r="J25" s="233">
        <f>_xll.qlInterestRateIndexMaturity(IborIndex,I25)</f>
        <v>42740</v>
      </c>
      <c r="L25" s="232">
        <f>_xll.qlOvernightIndexedSwapFairRate(H25,_xll.ohTrigger($P$2:$P$6))</f>
        <v>1.339279541548107E-3</v>
      </c>
      <c r="M25" s="209">
        <f>_xll.qlInterpolationInterpolate(BasisInterpolator,I25,,L25)</f>
        <v>4.5457909085412605E-3</v>
      </c>
      <c r="N25" s="232">
        <f t="shared" si="0"/>
        <v>5.8850704500893677E-3</v>
      </c>
      <c r="O25" s="369"/>
      <c r="AB25" s="209"/>
      <c r="AC25" s="209"/>
      <c r="AD25" s="369"/>
    </row>
    <row r="26" spans="1:30" x14ac:dyDescent="0.2">
      <c r="A26" s="234"/>
      <c r="B26" s="235"/>
      <c r="C26" s="236"/>
      <c r="D26" s="231"/>
      <c r="E26" s="232" t="e">
        <v>#N/A</v>
      </c>
      <c r="F26" s="195">
        <v>18</v>
      </c>
      <c r="G26" s="233">
        <f>_xll.qlInterestRateIndexFixingDate(IborIndex,I26)</f>
        <v>42403</v>
      </c>
      <c r="H26" s="195" t="str">
        <f>_xll.qlMakeDatedOIS(,I26,J26,OvernightIndex,0,"Act/360",0)</f>
        <v>obj_0041c#0000</v>
      </c>
      <c r="I26" s="233">
        <f>_xll.qlCalendarAdvance(Calendar,$D$2,F26&amp;"M","mf")</f>
        <v>42405</v>
      </c>
      <c r="J26" s="233">
        <f>_xll.qlInterestRateIndexMaturity(IborIndex,I26)</f>
        <v>42772</v>
      </c>
      <c r="L26" s="232">
        <f>_xll.qlOvernightIndexedSwapFairRate(H26,_xll.ohTrigger($P$2:$P$6))</f>
        <v>1.4698799193462121E-3</v>
      </c>
      <c r="M26" s="209">
        <f>_xll.qlInterpolationInterpolate(BasisInterpolator,I26,,L26)</f>
        <v>4.5460283778255232E-3</v>
      </c>
      <c r="N26" s="232">
        <f t="shared" si="0"/>
        <v>6.0159082971717355E-3</v>
      </c>
      <c r="O26" s="369"/>
      <c r="AB26" s="209"/>
      <c r="AC26" s="209"/>
      <c r="AD26" s="369"/>
    </row>
    <row r="27" spans="1:30" x14ac:dyDescent="0.2">
      <c r="A27" s="234"/>
      <c r="B27" s="235"/>
      <c r="C27" s="236"/>
      <c r="D27" s="231"/>
      <c r="E27" s="232" t="e">
        <v>#N/A</v>
      </c>
      <c r="F27" s="195">
        <v>19</v>
      </c>
      <c r="G27" s="233">
        <f>_xll.qlInterestRateIndexFixingDate(IborIndex,I27)</f>
        <v>42432</v>
      </c>
      <c r="H27" s="195" t="str">
        <f>_xll.qlMakeDatedOIS(,I27,J27,OvernightIndex,0,"Act/360",0)</f>
        <v>obj_0041f#0000</v>
      </c>
      <c r="I27" s="233">
        <f>_xll.qlCalendarAdvance(Calendar,$D$2,F27&amp;"M","mf")</f>
        <v>42436</v>
      </c>
      <c r="J27" s="233">
        <f>_xll.qlInterestRateIndexMaturity(IborIndex,I27)</f>
        <v>42801</v>
      </c>
      <c r="L27" s="232">
        <f>_xll.qlOvernightIndexedSwapFairRate(H27,_xll.ohTrigger($P$2:$P$6))</f>
        <v>1.6015945263625337E-3</v>
      </c>
      <c r="M27" s="209">
        <f>_xll.qlInterpolationInterpolate(BasisInterpolator,I27,,L27)</f>
        <v>4.5463564372498532E-3</v>
      </c>
      <c r="N27" s="232">
        <f t="shared" si="0"/>
        <v>6.147950963612387E-3</v>
      </c>
      <c r="O27" s="369"/>
      <c r="AB27" s="209"/>
      <c r="AC27" s="209"/>
      <c r="AD27" s="369"/>
    </row>
    <row r="28" spans="1:30" x14ac:dyDescent="0.2">
      <c r="A28" s="234"/>
      <c r="B28" s="235"/>
      <c r="C28" s="236"/>
      <c r="D28" s="231"/>
      <c r="E28" s="232" t="e">
        <v>#N/A</v>
      </c>
      <c r="F28" s="195">
        <v>20</v>
      </c>
      <c r="G28" s="233">
        <f>_xll.qlInterestRateIndexFixingDate(IborIndex,I28)</f>
        <v>42461</v>
      </c>
      <c r="H28" s="195" t="str">
        <f>_xll.qlMakeDatedOIS(,I28,J28,OvernightIndex,0,"Act/360",0)</f>
        <v>obj_003fd#0000</v>
      </c>
      <c r="I28" s="233">
        <f>_xll.qlCalendarAdvance(Calendar,$D$2,F28&amp;"M","mf")</f>
        <v>42465</v>
      </c>
      <c r="J28" s="233">
        <f>_xll.qlInterestRateIndexMaturity(IborIndex,I28)</f>
        <v>42830</v>
      </c>
      <c r="L28" s="232">
        <f>_xll.qlOvernightIndexedSwapFairRate(H28,_xll.ohTrigger($P$2:$P$6))</f>
        <v>1.7369302008069742E-3</v>
      </c>
      <c r="M28" s="209">
        <f>_xll.qlInterpolationInterpolate(BasisInterpolator,I28,,L28)</f>
        <v>4.5469008868578541E-3</v>
      </c>
      <c r="N28" s="232">
        <f t="shared" si="0"/>
        <v>6.2838310876648287E-3</v>
      </c>
      <c r="O28" s="369"/>
      <c r="AB28" s="209"/>
      <c r="AC28" s="209"/>
      <c r="AD28" s="369"/>
    </row>
    <row r="29" spans="1:30" x14ac:dyDescent="0.2">
      <c r="A29" s="234"/>
      <c r="B29" s="235"/>
      <c r="C29" s="236"/>
      <c r="D29" s="231"/>
      <c r="E29" s="232" t="e">
        <v>#N/A</v>
      </c>
      <c r="F29" s="195">
        <v>21</v>
      </c>
      <c r="G29" s="233">
        <f>_xll.qlInterestRateIndexFixingDate(IborIndex,I29)</f>
        <v>42493</v>
      </c>
      <c r="H29" s="195" t="str">
        <f>_xll.qlMakeDatedOIS(,I29,J29,OvernightIndex,0,"Act/360",0)</f>
        <v>obj_0040a#0000</v>
      </c>
      <c r="I29" s="233">
        <f>_xll.qlCalendarAdvance(Calendar,$D$2,F29&amp;"M","mf")</f>
        <v>42495</v>
      </c>
      <c r="J29" s="233">
        <f>_xll.qlInterestRateIndexMaturity(IborIndex,I29)</f>
        <v>42860</v>
      </c>
      <c r="L29" s="232">
        <f>_xll.qlOvernightIndexedSwapFairRate(H29,_xll.ohTrigger($P$2:$P$6))</f>
        <v>1.884790250507981E-3</v>
      </c>
      <c r="M29" s="209">
        <f>_xll.qlInterpolationInterpolate(BasisInterpolator,I29,,L29)</f>
        <v>4.547862248146314E-3</v>
      </c>
      <c r="N29" s="232">
        <f t="shared" si="0"/>
        <v>6.4326524986542954E-3</v>
      </c>
      <c r="O29" s="369"/>
      <c r="AB29" s="209"/>
      <c r="AC29" s="209"/>
      <c r="AD29" s="369"/>
    </row>
    <row r="30" spans="1:30" x14ac:dyDescent="0.2">
      <c r="A30" s="234"/>
      <c r="B30" s="235"/>
      <c r="C30" s="236"/>
      <c r="D30" s="231"/>
      <c r="E30" s="232" t="e">
        <v>#N/A</v>
      </c>
      <c r="F30" s="195">
        <v>22</v>
      </c>
      <c r="G30" s="233">
        <f>_xll.qlInterestRateIndexFixingDate(IborIndex,I30)</f>
        <v>42523</v>
      </c>
      <c r="H30" s="195" t="str">
        <f>_xll.qlMakeDatedOIS(,I30,J30,OvernightIndex,0,"Act/360",0)</f>
        <v>obj_0041a#0000</v>
      </c>
      <c r="I30" s="233">
        <f>_xll.qlCalendarAdvance(Calendar,$D$2,F30&amp;"M","mf")</f>
        <v>42527</v>
      </c>
      <c r="J30" s="233">
        <f>_xll.qlInterestRateIndexMaturity(IborIndex,I30)</f>
        <v>42892</v>
      </c>
      <c r="L30" s="232">
        <f>_xll.qlOvernightIndexedSwapFairRate(H30,_xll.ohTrigger($P$2:$P$6))</f>
        <v>2.0515165067010537E-3</v>
      </c>
      <c r="M30" s="209">
        <f>_xll.qlInterpolationInterpolate(BasisInterpolator,I30,,L30)</f>
        <v>4.5495113294071457E-3</v>
      </c>
      <c r="N30" s="232">
        <f t="shared" si="0"/>
        <v>6.6010278361081989E-3</v>
      </c>
      <c r="O30" s="369"/>
      <c r="AB30" s="209"/>
      <c r="AC30" s="209"/>
      <c r="AD30" s="369"/>
    </row>
    <row r="31" spans="1:30" x14ac:dyDescent="0.2">
      <c r="A31" s="234"/>
      <c r="B31" s="235"/>
      <c r="C31" s="236"/>
      <c r="D31" s="231"/>
      <c r="E31" s="232" t="e">
        <v>#N/A</v>
      </c>
      <c r="F31" s="195">
        <v>23</v>
      </c>
      <c r="G31" s="233">
        <f>_xll.qlInterestRateIndexFixingDate(IborIndex,I31)</f>
        <v>42552</v>
      </c>
      <c r="H31" s="195" t="str">
        <f>_xll.qlMakeDatedOIS(,I31,J31,OvernightIndex,0,"Act/360",0)</f>
        <v>obj_0040e#0000</v>
      </c>
      <c r="I31" s="233">
        <f>_xll.qlCalendarAdvance(Calendar,$D$2,F31&amp;"M","mf")</f>
        <v>42556</v>
      </c>
      <c r="J31" s="233">
        <f>_xll.qlInterestRateIndexMaturity(IborIndex,I31)</f>
        <v>42921</v>
      </c>
      <c r="L31" s="232">
        <f>_xll.qlOvernightIndexedSwapFairRate(H31,_xll.ohTrigger($P$2:$P$6))</f>
        <v>2.21125909815546E-3</v>
      </c>
      <c r="M31" s="209">
        <f>_xll.qlInterpolationInterpolate(BasisInterpolator,I31,,L31)</f>
        <v>4.5517199935449582E-3</v>
      </c>
      <c r="N31" s="232">
        <f t="shared" si="0"/>
        <v>6.7629790917004187E-3</v>
      </c>
      <c r="O31" s="369"/>
      <c r="AB31" s="209"/>
      <c r="AC31" s="209"/>
      <c r="AD31" s="369"/>
    </row>
    <row r="32" spans="1:30" x14ac:dyDescent="0.2">
      <c r="A32" s="234"/>
      <c r="B32" s="235"/>
      <c r="C32" s="236"/>
      <c r="D32" s="231"/>
      <c r="E32" s="232" t="e">
        <v>#N/A</v>
      </c>
      <c r="F32" s="374">
        <v>24</v>
      </c>
      <c r="G32" s="375">
        <f>_xll.qlInterestRateIndexFixingDate(IborIndex,I32)</f>
        <v>42585</v>
      </c>
      <c r="H32" s="374" t="str">
        <f>_xll.qlMakeDatedOIS(,I32,J32,OvernightIndex,0,"Act/360",0)</f>
        <v>obj_00432#0000</v>
      </c>
      <c r="I32" s="375">
        <f>_xll.qlCalendarAdvance(Calendar,$D$2,F32&amp;"M","mf")</f>
        <v>42587</v>
      </c>
      <c r="J32" s="375">
        <f>_xll.qlInterestRateIndexMaturity(IborIndex,I32)</f>
        <v>42954</v>
      </c>
      <c r="K32" s="374"/>
      <c r="L32" s="376">
        <f>_xll.qlOvernightIndexedSwapFairRate(H32,_xll.ohTrigger($P$2:$P$6))</f>
        <v>2.3985903811910053E-3</v>
      </c>
      <c r="M32" s="377">
        <f>_xll.qlInterpolationInterpolate(BasisInterpolator,I32,,L32)</f>
        <v>4.555E-3</v>
      </c>
      <c r="N32" s="376">
        <f t="shared" ref="N32" si="2">L32+M32</f>
        <v>6.9535903811910049E-3</v>
      </c>
      <c r="O32" s="369"/>
      <c r="AB32" s="209"/>
      <c r="AC32" s="209"/>
      <c r="AD32" s="369"/>
    </row>
    <row r="33" spans="1:30" x14ac:dyDescent="0.2">
      <c r="A33" s="234"/>
      <c r="B33" s="235"/>
      <c r="C33" s="236"/>
      <c r="D33" s="231"/>
      <c r="E33" s="232" t="e">
        <v>#N/A</v>
      </c>
      <c r="F33" s="195">
        <v>25</v>
      </c>
      <c r="G33" s="233">
        <f>_xll.qlInterestRateIndexFixingDate(IborIndex,I33)</f>
        <v>42614</v>
      </c>
      <c r="H33" s="195" t="str">
        <f>_xll.qlMakeDatedOIS(,I33,J33,OvernightIndex,0,"Act/360",0)</f>
        <v>obj_00434#0000</v>
      </c>
      <c r="I33" s="233">
        <f>_xll.qlCalendarAdvance(Calendar,$D$2,F33&amp;"M","mf")</f>
        <v>42618</v>
      </c>
      <c r="J33" s="233">
        <f>_xll.qlInterestRateIndexMaturity(IborIndex,I33)</f>
        <v>42983</v>
      </c>
      <c r="L33" s="232">
        <f>_xll.qlOvernightIndexedSwapFairRate(H33,_xll.ohTrigger($P$2:$P$6))</f>
        <v>2.5832579085911613E-3</v>
      </c>
      <c r="M33" s="209">
        <f>_xll.qlInterpolationInterpolate(BasisInterpolator,I33,,L33)</f>
        <v>4.5662667251215759E-3</v>
      </c>
      <c r="N33" s="232">
        <f t="shared" si="0"/>
        <v>7.1495246337127377E-3</v>
      </c>
      <c r="O33" s="369"/>
      <c r="AB33" s="209"/>
      <c r="AC33" s="209"/>
      <c r="AD33" s="369"/>
    </row>
    <row r="34" spans="1:30" x14ac:dyDescent="0.2">
      <c r="A34" s="234"/>
      <c r="B34" s="235"/>
      <c r="C34" s="236"/>
      <c r="D34" s="231"/>
      <c r="E34" s="232" t="e">
        <v>#N/A</v>
      </c>
      <c r="F34" s="195">
        <v>26</v>
      </c>
      <c r="G34" s="233">
        <f>_xll.qlInterestRateIndexFixingDate(IborIndex,I34)</f>
        <v>42646</v>
      </c>
      <c r="H34" s="195" t="str">
        <f>_xll.qlMakeDatedOIS(,I34,J34,OvernightIndex,0,"Act/360",0)</f>
        <v>obj_0042c#0000</v>
      </c>
      <c r="I34" s="233">
        <f>_xll.qlCalendarAdvance(Calendar,$D$2,F34&amp;"M","mf")</f>
        <v>42648</v>
      </c>
      <c r="J34" s="233">
        <f>_xll.qlInterestRateIndexMaturity(IborIndex,I34)</f>
        <v>43013</v>
      </c>
      <c r="L34" s="232">
        <f>_xll.qlOvernightIndexedSwapFairRate(H34,_xll.ohTrigger($P$2:$P$6))</f>
        <v>2.7784578681944389E-3</v>
      </c>
      <c r="M34" s="209">
        <f>_xll.qlInterpolationInterpolate(BasisInterpolator,I34,,L34)</f>
        <v>4.5897313584118806E-3</v>
      </c>
      <c r="N34" s="232">
        <f t="shared" si="0"/>
        <v>7.3681892266063195E-3</v>
      </c>
      <c r="O34" s="369"/>
      <c r="AB34" s="209"/>
      <c r="AC34" s="209"/>
      <c r="AD34" s="369"/>
    </row>
    <row r="35" spans="1:30" x14ac:dyDescent="0.2">
      <c r="A35" s="234"/>
      <c r="B35" s="235"/>
      <c r="C35" s="236"/>
      <c r="D35" s="231"/>
      <c r="E35" s="232" t="e">
        <v>#N/A</v>
      </c>
      <c r="F35" s="195">
        <v>27</v>
      </c>
      <c r="G35" s="233">
        <f>_xll.qlInterestRateIndexFixingDate(IborIndex,I35)</f>
        <v>42677</v>
      </c>
      <c r="H35" s="195" t="str">
        <f>_xll.qlMakeDatedOIS(,I35,J35,OvernightIndex,0,"Act/360",0)</f>
        <v>obj_0042e#0000</v>
      </c>
      <c r="I35" s="233">
        <f>_xll.qlCalendarAdvance(Calendar,$D$2,F35&amp;"M","mf")</f>
        <v>42681</v>
      </c>
      <c r="J35" s="233">
        <f>_xll.qlInterestRateIndexMaturity(IborIndex,I35)</f>
        <v>43046</v>
      </c>
      <c r="L35" s="232">
        <f>_xll.qlOvernightIndexedSwapFairRate(H35,_xll.ohTrigger($P$2:$P$6))</f>
        <v>3.0039660712981712E-3</v>
      </c>
      <c r="M35" s="209">
        <f>_xll.qlInterpolationInterpolate(BasisInterpolator,I35,,L35)</f>
        <v>4.6269498931215125E-3</v>
      </c>
      <c r="N35" s="232">
        <f t="shared" si="0"/>
        <v>7.6309159644196833E-3</v>
      </c>
      <c r="O35" s="369"/>
      <c r="AB35" s="209"/>
      <c r="AC35" s="209"/>
      <c r="AD35" s="369"/>
    </row>
    <row r="36" spans="1:30" x14ac:dyDescent="0.2">
      <c r="A36" s="234"/>
      <c r="B36" s="235"/>
      <c r="C36" s="236"/>
      <c r="D36" s="231"/>
      <c r="E36" s="232" t="e">
        <v>#N/A</v>
      </c>
      <c r="F36" s="195">
        <v>28</v>
      </c>
      <c r="G36" s="233">
        <f>_xll.qlInterestRateIndexFixingDate(IborIndex,I36)</f>
        <v>42705</v>
      </c>
      <c r="H36" s="195" t="str">
        <f>_xll.qlMakeDatedOIS(,I36,J36,OvernightIndex,0,"Act/360",0)</f>
        <v>obj_00439#0000</v>
      </c>
      <c r="I36" s="233">
        <f>_xll.qlCalendarAdvance(Calendar,$D$2,F36&amp;"M","mf")</f>
        <v>42709</v>
      </c>
      <c r="J36" s="233">
        <f>_xll.qlInterestRateIndexMaturity(IborIndex,I36)</f>
        <v>43074</v>
      </c>
      <c r="L36" s="232">
        <f>_xll.qlOvernightIndexedSwapFairRate(H36,_xll.ohTrigger($P$2:$P$6))</f>
        <v>3.203721850748192E-3</v>
      </c>
      <c r="M36" s="209">
        <f>_xll.qlInterpolationInterpolate(BasisInterpolator,I36,,L36)</f>
        <v>4.6656239319676739E-3</v>
      </c>
      <c r="N36" s="232">
        <f t="shared" si="0"/>
        <v>7.8693457827158659E-3</v>
      </c>
      <c r="O36" s="369"/>
      <c r="AB36" s="209"/>
      <c r="AC36" s="209"/>
      <c r="AD36" s="369"/>
    </row>
    <row r="37" spans="1:30" x14ac:dyDescent="0.2">
      <c r="A37" s="234"/>
      <c r="B37" s="235"/>
      <c r="C37" s="236"/>
      <c r="D37" s="231"/>
      <c r="E37" s="232" t="e">
        <v>#N/A</v>
      </c>
      <c r="F37" s="195">
        <v>29</v>
      </c>
      <c r="G37" s="233">
        <f>_xll.qlInterestRateIndexFixingDate(IborIndex,I37)</f>
        <v>42738</v>
      </c>
      <c r="H37" s="195" t="str">
        <f>_xll.qlMakeDatedOIS(,I37,J37,OvernightIndex,0,"Act/360",0)</f>
        <v>obj_00415#0000</v>
      </c>
      <c r="I37" s="233">
        <f>_xll.qlCalendarAdvance(Calendar,$D$2,F37&amp;"M","mf")</f>
        <v>42740</v>
      </c>
      <c r="J37" s="233">
        <f>_xll.qlInterestRateIndexMaturity(IborIndex,I37)</f>
        <v>43105</v>
      </c>
      <c r="L37" s="232">
        <f>_xll.qlOvernightIndexedSwapFairRate(H37,_xll.ohTrigger($P$2:$P$6))</f>
        <v>3.4334069687226715E-3</v>
      </c>
      <c r="M37" s="209">
        <f>_xll.qlInterpolationInterpolate(BasisInterpolator,I37,,L37)</f>
        <v>4.7135736995517008E-3</v>
      </c>
      <c r="N37" s="232">
        <f t="shared" si="0"/>
        <v>8.1469806682743715E-3</v>
      </c>
      <c r="O37" s="369"/>
      <c r="AB37" s="209"/>
      <c r="AC37" s="209"/>
      <c r="AD37" s="369"/>
    </row>
    <row r="38" spans="1:30" x14ac:dyDescent="0.2">
      <c r="A38" s="234"/>
      <c r="B38" s="235"/>
      <c r="C38" s="236"/>
      <c r="D38" s="231"/>
      <c r="E38" s="232" t="e">
        <v>#N/A</v>
      </c>
      <c r="F38" s="195">
        <v>30</v>
      </c>
      <c r="G38" s="233">
        <f>_xll.qlInterestRateIndexFixingDate(IborIndex,I38)</f>
        <v>42768</v>
      </c>
      <c r="H38" s="195" t="str">
        <f>_xll.qlMakeDatedOIS(,I38,J38,OvernightIndex,0,"Act/360",0)</f>
        <v>obj_00429#0000</v>
      </c>
      <c r="I38" s="233">
        <f>_xll.qlCalendarAdvance(Calendar,$D$2,F38&amp;"M","mf")</f>
        <v>42772</v>
      </c>
      <c r="J38" s="233">
        <f>_xll.qlInterestRateIndexMaturity(IborIndex,I38)</f>
        <v>43137</v>
      </c>
      <c r="L38" s="232">
        <f>_xll.qlOvernightIndexedSwapFairRate(H38,_xll.ohTrigger($P$2:$P$6))</f>
        <v>3.6793713044855209E-3</v>
      </c>
      <c r="M38" s="209">
        <f>_xll.qlInterpolationInterpolate(BasisInterpolator,I38,,L38)</f>
        <v>4.7660393138441856E-3</v>
      </c>
      <c r="N38" s="232">
        <f t="shared" si="0"/>
        <v>8.4454106183297073E-3</v>
      </c>
      <c r="O38" s="369"/>
      <c r="AB38" s="209"/>
      <c r="AC38" s="209"/>
      <c r="AD38" s="369"/>
    </row>
    <row r="39" spans="1:30" x14ac:dyDescent="0.2">
      <c r="A39" s="234"/>
      <c r="B39" s="235"/>
      <c r="C39" s="236"/>
      <c r="D39" s="231"/>
      <c r="E39" s="232" t="e">
        <v>#N/A</v>
      </c>
      <c r="F39" s="195">
        <v>31</v>
      </c>
      <c r="G39" s="233">
        <f>_xll.qlInterestRateIndexFixingDate(IborIndex,I39)</f>
        <v>42796</v>
      </c>
      <c r="H39" s="195" t="str">
        <f>_xll.qlMakeDatedOIS(,I39,J39,OvernightIndex,0,"Act/360",0)</f>
        <v>obj_00410#0000</v>
      </c>
      <c r="I39" s="233">
        <f>_xll.qlCalendarAdvance(Calendar,$D$2,F39&amp;"M","mf")</f>
        <v>42800</v>
      </c>
      <c r="J39" s="233">
        <f>_xll.qlInterestRateIndexMaturity(IborIndex,I39)</f>
        <v>43165</v>
      </c>
      <c r="L39" s="232">
        <f>_xll.qlOvernightIndexedSwapFairRate(H39,_xll.ohTrigger($P$2:$P$6))</f>
        <v>3.9015409545429618E-3</v>
      </c>
      <c r="M39" s="209">
        <f>_xll.qlInterpolationInterpolate(BasisInterpolator,I39,,L39)</f>
        <v>4.8121811978007467E-3</v>
      </c>
      <c r="N39" s="232">
        <f t="shared" si="0"/>
        <v>8.713722152343709E-3</v>
      </c>
      <c r="O39" s="369"/>
      <c r="AB39" s="209"/>
      <c r="AC39" s="209"/>
      <c r="AD39" s="369"/>
    </row>
    <row r="40" spans="1:30" x14ac:dyDescent="0.2">
      <c r="A40" s="234"/>
      <c r="B40" s="235"/>
      <c r="C40" s="236"/>
      <c r="D40" s="231"/>
      <c r="E40" s="232" t="e">
        <v>#N/A</v>
      </c>
      <c r="F40" s="195">
        <v>32</v>
      </c>
      <c r="G40" s="233">
        <f>_xll.qlInterestRateIndexFixingDate(IborIndex,I40)</f>
        <v>42828</v>
      </c>
      <c r="H40" s="195" t="str">
        <f>_xll.qlMakeDatedOIS(,I40,J40,OvernightIndex,0,"Act/360",0)</f>
        <v>obj_0041d#0000</v>
      </c>
      <c r="I40" s="233">
        <f>_xll.qlCalendarAdvance(Calendar,$D$2,F40&amp;"M","mf")</f>
        <v>42830</v>
      </c>
      <c r="J40" s="233">
        <f>_xll.qlInterestRateIndexMaturity(IborIndex,I40)</f>
        <v>43195</v>
      </c>
      <c r="L40" s="232">
        <f>_xll.qlOvernightIndexedSwapFairRate(H40,_xll.ohTrigger($P$2:$P$6))</f>
        <v>4.1463271411260622E-3</v>
      </c>
      <c r="M40" s="209">
        <f>_xll.qlInterpolationInterpolate(BasisInterpolator,I40,,L40)</f>
        <v>4.8595675144488121E-3</v>
      </c>
      <c r="N40" s="232">
        <f t="shared" si="0"/>
        <v>9.0058946555748743E-3</v>
      </c>
      <c r="O40" s="369"/>
      <c r="AB40" s="209"/>
      <c r="AC40" s="209"/>
      <c r="AD40" s="369"/>
    </row>
    <row r="41" spans="1:30" x14ac:dyDescent="0.2">
      <c r="A41" s="234"/>
      <c r="B41" s="235"/>
      <c r="C41" s="236"/>
      <c r="D41" s="231"/>
      <c r="E41" s="232" t="e">
        <v>#N/A</v>
      </c>
      <c r="F41" s="195">
        <v>33</v>
      </c>
      <c r="G41" s="233">
        <f>_xll.qlInterestRateIndexFixingDate(IborIndex,I41)</f>
        <v>42858</v>
      </c>
      <c r="H41" s="195" t="str">
        <f>_xll.qlMakeDatedOIS(,I41,J41,OvernightIndex,0,"Act/360",0)</f>
        <v>obj_00431#0000</v>
      </c>
      <c r="I41" s="233">
        <f>_xll.qlCalendarAdvance(Calendar,$D$2,F41&amp;"M","mf")</f>
        <v>42860</v>
      </c>
      <c r="J41" s="233">
        <f>_xll.qlInterestRateIndexMaturity(IborIndex,I41)</f>
        <v>43227</v>
      </c>
      <c r="L41" s="232">
        <f>_xll.qlOvernightIndexedSwapFairRate(H41,_xll.ohTrigger($P$2:$P$6))</f>
        <v>4.4065424931772667E-3</v>
      </c>
      <c r="M41" s="209">
        <f>_xll.qlInterpolationInterpolate(BasisInterpolator,I41,,L41)</f>
        <v>4.9025110440295136E-3</v>
      </c>
      <c r="N41" s="232">
        <f t="shared" si="0"/>
        <v>9.3090535372067802E-3</v>
      </c>
      <c r="O41" s="369"/>
      <c r="AB41" s="209"/>
      <c r="AC41" s="209"/>
      <c r="AD41" s="369"/>
    </row>
    <row r="42" spans="1:30" x14ac:dyDescent="0.2">
      <c r="A42" s="234"/>
      <c r="B42" s="235"/>
      <c r="C42" s="236"/>
      <c r="D42" s="231"/>
      <c r="E42" s="232" t="e">
        <v>#N/A</v>
      </c>
      <c r="F42" s="195">
        <v>34</v>
      </c>
      <c r="G42" s="233">
        <f>_xll.qlInterestRateIndexFixingDate(IborIndex,I42)</f>
        <v>42887</v>
      </c>
      <c r="H42" s="195" t="str">
        <f>_xll.qlMakeDatedOIS(,I42,J42,OvernightIndex,0,"Act/360",0)</f>
        <v>obj_00409#0000</v>
      </c>
      <c r="I42" s="233">
        <f>_xll.qlCalendarAdvance(Calendar,$D$2,F42&amp;"M","mf")</f>
        <v>42891</v>
      </c>
      <c r="J42" s="233">
        <f>_xll.qlInterestRateIndexMaturity(IborIndex,I42)</f>
        <v>43256</v>
      </c>
      <c r="L42" s="232">
        <f>_xll.qlOvernightIndexedSwapFairRate(H42,_xll.ohTrigger($P$2:$P$6))</f>
        <v>4.6636768891195092E-3</v>
      </c>
      <c r="M42" s="209">
        <f>_xll.qlInterpolationInterpolate(BasisInterpolator,I42,,L42)</f>
        <v>4.9396975646393958E-3</v>
      </c>
      <c r="N42" s="232">
        <f t="shared" si="0"/>
        <v>9.603374453758905E-3</v>
      </c>
      <c r="O42" s="369"/>
      <c r="AB42" s="209"/>
      <c r="AC42" s="209"/>
      <c r="AD42" s="369"/>
    </row>
    <row r="43" spans="1:30" x14ac:dyDescent="0.2">
      <c r="A43" s="234"/>
      <c r="B43" s="235"/>
      <c r="C43" s="236"/>
      <c r="D43" s="231"/>
      <c r="E43" s="232" t="e">
        <v>#N/A</v>
      </c>
      <c r="F43" s="195">
        <v>35</v>
      </c>
      <c r="G43" s="233">
        <f>_xll.qlInterestRateIndexFixingDate(IborIndex,I43)</f>
        <v>42919</v>
      </c>
      <c r="H43" s="195" t="str">
        <f>_xll.qlMakeDatedOIS(,I43,J43,OvernightIndex,0,"Act/360",0)</f>
        <v>obj_00427#0000</v>
      </c>
      <c r="I43" s="233">
        <f>_xll.qlCalendarAdvance(Calendar,$D$2,F43&amp;"M","mf")</f>
        <v>42921</v>
      </c>
      <c r="J43" s="233">
        <f>_xll.qlInterestRateIndexMaturity(IborIndex,I43)</f>
        <v>43286</v>
      </c>
      <c r="L43" s="232">
        <f>_xll.qlOvernightIndexedSwapFairRate(H43,_xll.ohTrigger($P$2:$P$6))</f>
        <v>4.9268045083980935E-3</v>
      </c>
      <c r="M43" s="209">
        <f>_xll.qlInterpolationInterpolate(BasisInterpolator,I43,,L43)</f>
        <v>4.9662882052832341E-3</v>
      </c>
      <c r="N43" s="232">
        <f t="shared" si="0"/>
        <v>9.8930927136813285E-3</v>
      </c>
      <c r="O43" s="369"/>
      <c r="AB43" s="209"/>
      <c r="AC43" s="209"/>
      <c r="AD43" s="369"/>
    </row>
    <row r="44" spans="1:30" x14ac:dyDescent="0.2">
      <c r="A44" s="234"/>
      <c r="B44" s="235"/>
      <c r="C44" s="236"/>
      <c r="D44" s="231"/>
      <c r="E44" s="232" t="e">
        <v>#N/A</v>
      </c>
      <c r="F44" s="374">
        <v>36</v>
      </c>
      <c r="G44" s="375">
        <f>_xll.qlInterestRateIndexFixingDate(IborIndex,I44)</f>
        <v>42950</v>
      </c>
      <c r="H44" s="374" t="str">
        <f>_xll.qlMakeDatedOIS(,I44,J44,OvernightIndex,0,"Act/360",0)</f>
        <v>obj_00411#0000</v>
      </c>
      <c r="I44" s="375">
        <f>_xll.qlCalendarAdvance(Calendar,$D$2,F44&amp;"M","mf")</f>
        <v>42954</v>
      </c>
      <c r="J44" s="375">
        <f>_xll.qlInterestRateIndexMaturity(IborIndex,I44)</f>
        <v>43319</v>
      </c>
      <c r="K44" s="374"/>
      <c r="L44" s="376">
        <f>_xll.qlOvernightIndexedSwapFairRate(H44,_xll.ohTrigger($P$2:$P$6))</f>
        <v>5.2221192383722194E-3</v>
      </c>
      <c r="M44" s="377">
        <f>_xll.qlInterpolationInterpolate(BasisInterpolator,I44,,L44)</f>
        <v>4.9820000000000003E-3</v>
      </c>
      <c r="N44" s="376">
        <f t="shared" ref="N44" si="3">L44+M44</f>
        <v>1.0204119238372219E-2</v>
      </c>
      <c r="O44" s="369"/>
      <c r="AB44" s="209"/>
      <c r="AC44" s="209"/>
      <c r="AD44" s="369"/>
    </row>
    <row r="45" spans="1:30" x14ac:dyDescent="0.2">
      <c r="A45" s="234"/>
      <c r="B45" s="235"/>
      <c r="C45" s="236"/>
      <c r="D45" s="231"/>
      <c r="E45" s="209" t="e">
        <v>#N/A</v>
      </c>
      <c r="F45" s="195">
        <v>37</v>
      </c>
      <c r="G45" s="233">
        <f>_xll.qlInterestRateIndexFixingDate(IborIndex,I45)</f>
        <v>42979</v>
      </c>
      <c r="H45" s="195" t="str">
        <f>_xll.qlMakeDatedOIS(,I45,J45,OvernightIndex,0,"Act/360",0)</f>
        <v>obj_00438#0000</v>
      </c>
      <c r="I45" s="233">
        <f>_xll.qlCalendarAdvance(Calendar,$D$2,F45&amp;"M","mf")</f>
        <v>42983</v>
      </c>
      <c r="J45" s="233">
        <f>_xll.qlInterestRateIndexMaturity(IborIndex,I45)</f>
        <v>43348</v>
      </c>
      <c r="L45" s="232">
        <f>_xll.qlOvernightIndexedSwapFairRate(H45,_xll.ohTrigger($P$2:$P$6))</f>
        <v>5.4862496204748125E-3</v>
      </c>
      <c r="M45" s="209">
        <f>_xll.qlInterpolationInterpolate(BasisInterpolator,I45,,L45)</f>
        <v>4.9881732888307807E-3</v>
      </c>
      <c r="N45" s="232">
        <f t="shared" si="0"/>
        <v>1.0474422909305593E-2</v>
      </c>
      <c r="O45" s="369"/>
      <c r="AB45" s="209"/>
      <c r="AC45" s="209"/>
      <c r="AD45" s="369"/>
    </row>
    <row r="46" spans="1:30" x14ac:dyDescent="0.2">
      <c r="A46" s="234"/>
      <c r="B46" s="235"/>
      <c r="C46" s="236"/>
      <c r="D46" s="231"/>
      <c r="E46" s="209" t="e">
        <v>#N/A</v>
      </c>
      <c r="F46" s="195">
        <v>38</v>
      </c>
      <c r="G46" s="233">
        <f>_xll.qlInterestRateIndexFixingDate(IborIndex,I46)</f>
        <v>43011</v>
      </c>
      <c r="H46" s="195" t="str">
        <f>_xll.qlMakeDatedOIS(,I46,J46,OvernightIndex,0,"Act/360",0)</f>
        <v>obj_0042a#0000</v>
      </c>
      <c r="I46" s="233">
        <f>_xll.qlCalendarAdvance(Calendar,$D$2,F46&amp;"M","mf")</f>
        <v>43013</v>
      </c>
      <c r="J46" s="233">
        <f>_xll.qlInterestRateIndexMaturity(IborIndex,I46)</f>
        <v>43378</v>
      </c>
      <c r="L46" s="232">
        <f>_xll.qlOvernightIndexedSwapFairRate(H46,_xll.ohTrigger($P$2:$P$6))</f>
        <v>5.7636361346149493E-3</v>
      </c>
      <c r="M46" s="209">
        <f>_xll.qlInterpolationInterpolate(BasisInterpolator,I46,,L46)</f>
        <v>4.9935277320418379E-3</v>
      </c>
      <c r="N46" s="232">
        <f t="shared" si="0"/>
        <v>1.0757163866656788E-2</v>
      </c>
      <c r="O46" s="369"/>
      <c r="AB46" s="209"/>
      <c r="AC46" s="209"/>
      <c r="AD46" s="369"/>
    </row>
    <row r="47" spans="1:30" x14ac:dyDescent="0.2">
      <c r="A47" s="234"/>
      <c r="B47" s="235"/>
      <c r="C47" s="236"/>
      <c r="D47" s="231"/>
      <c r="E47" s="209" t="e">
        <v>#N/A</v>
      </c>
      <c r="F47" s="195">
        <v>39</v>
      </c>
      <c r="G47" s="233">
        <f>_xll.qlInterestRateIndexFixingDate(IborIndex,I47)</f>
        <v>43041</v>
      </c>
      <c r="H47" s="195" t="str">
        <f>_xll.qlMakeDatedOIS(,I47,J47,OvernightIndex,0,"Act/360",0)</f>
        <v>obj_00412#0000</v>
      </c>
      <c r="I47" s="233">
        <f>_xll.qlCalendarAdvance(Calendar,$D$2,F47&amp;"M","mf")</f>
        <v>43045</v>
      </c>
      <c r="J47" s="233">
        <f>_xll.qlInterestRateIndexMaturity(IborIndex,I47)</f>
        <v>43410</v>
      </c>
      <c r="L47" s="232">
        <f>_xll.qlOvernightIndexedSwapFairRate(H47,_xll.ohTrigger($P$2:$P$6))</f>
        <v>6.0637600849826126E-3</v>
      </c>
      <c r="M47" s="209">
        <f>_xll.qlInterpolationInterpolate(BasisInterpolator,I47,,L47)</f>
        <v>4.9981875E-3</v>
      </c>
      <c r="N47" s="232">
        <f t="shared" si="0"/>
        <v>1.1061947584982613E-2</v>
      </c>
      <c r="O47" s="369"/>
      <c r="AB47" s="209"/>
      <c r="AC47" s="209"/>
      <c r="AD47" s="369"/>
    </row>
    <row r="48" spans="1:30" x14ac:dyDescent="0.2">
      <c r="A48" s="234"/>
      <c r="B48" s="235"/>
      <c r="C48" s="236"/>
      <c r="D48" s="231"/>
      <c r="E48" s="209" t="e">
        <v>#N/A</v>
      </c>
      <c r="F48" s="195">
        <v>40</v>
      </c>
      <c r="G48" s="233">
        <f>_xll.qlInterestRateIndexFixingDate(IborIndex,I48)</f>
        <v>43070</v>
      </c>
      <c r="H48" s="195" t="str">
        <f>_xll.qlMakeDatedOIS(,I48,J48,OvernightIndex,0,"Act/360",0)</f>
        <v>obj_00413#0000</v>
      </c>
      <c r="I48" s="233">
        <f>_xll.qlCalendarAdvance(Calendar,$D$2,F48&amp;"M","mf")</f>
        <v>43074</v>
      </c>
      <c r="J48" s="233">
        <f>_xll.qlInterestRateIndexMaturity(IborIndex,I48)</f>
        <v>43439</v>
      </c>
      <c r="L48" s="232">
        <f>_xll.qlOvernightIndexedSwapFairRate(H48,_xll.ohTrigger($P$2:$P$6))</f>
        <v>6.3391711732956688E-3</v>
      </c>
      <c r="M48" s="209">
        <f>_xll.qlInterpolationInterpolate(BasisInterpolator,I48,,L48)</f>
        <v>5.0015661988054207E-3</v>
      </c>
      <c r="N48" s="232">
        <f t="shared" si="0"/>
        <v>1.134073737210109E-2</v>
      </c>
      <c r="O48" s="369"/>
      <c r="AB48" s="209"/>
      <c r="AC48" s="209"/>
      <c r="AD48" s="369"/>
    </row>
    <row r="49" spans="1:30" x14ac:dyDescent="0.2">
      <c r="A49" s="234"/>
      <c r="B49" s="235"/>
      <c r="C49" s="236"/>
      <c r="D49" s="231"/>
      <c r="E49" s="209" t="e">
        <v>#N/A</v>
      </c>
      <c r="F49" s="195">
        <v>41</v>
      </c>
      <c r="G49" s="233">
        <f>_xll.qlInterestRateIndexFixingDate(IborIndex,I49)</f>
        <v>43103</v>
      </c>
      <c r="H49" s="195" t="str">
        <f>_xll.qlMakeDatedOIS(,I49,J49,OvernightIndex,0,"Act/360",0)</f>
        <v>obj_0043a#0000</v>
      </c>
      <c r="I49" s="233">
        <f>_xll.qlCalendarAdvance(Calendar,$D$2,F49&amp;"M","mf")</f>
        <v>43105</v>
      </c>
      <c r="J49" s="233">
        <f>_xll.qlInterestRateIndexMaturity(IborIndex,I49)</f>
        <v>43472</v>
      </c>
      <c r="L49" s="232">
        <f>_xll.qlOvernightIndexedSwapFairRate(H49,_xll.ohTrigger($P$2:$P$6))</f>
        <v>6.6467568589442952E-3</v>
      </c>
      <c r="M49" s="209">
        <f>_xll.qlInterpolationInterpolate(BasisInterpolator,I49,,L49)</f>
        <v>5.0043896146647095E-3</v>
      </c>
      <c r="N49" s="232">
        <f t="shared" si="0"/>
        <v>1.1651146473609004E-2</v>
      </c>
      <c r="O49" s="369"/>
      <c r="AB49" s="209"/>
      <c r="AC49" s="209"/>
      <c r="AD49" s="369"/>
    </row>
    <row r="50" spans="1:30" x14ac:dyDescent="0.2">
      <c r="A50" s="234"/>
      <c r="B50" s="235"/>
      <c r="C50" s="236"/>
      <c r="D50" s="231"/>
      <c r="E50" s="209" t="e">
        <v>#N/A</v>
      </c>
      <c r="F50" s="195">
        <v>42</v>
      </c>
      <c r="G50" s="233">
        <f>_xll.qlInterestRateIndexFixingDate(IborIndex,I50)</f>
        <v>43132</v>
      </c>
      <c r="H50" s="195" t="str">
        <f>_xll.qlMakeDatedOIS(,I50,J50,OvernightIndex,0,"Act/360",0)</f>
        <v>obj_0042f#0000</v>
      </c>
      <c r="I50" s="233">
        <f>_xll.qlCalendarAdvance(Calendar,$D$2,F50&amp;"M","mf")</f>
        <v>43136</v>
      </c>
      <c r="J50" s="233">
        <f>_xll.qlInterestRateIndexMaturity(IborIndex,I50)</f>
        <v>43501</v>
      </c>
      <c r="L50" s="232">
        <f>_xll.qlOvernightIndexedSwapFairRate(H50,_xll.ohTrigger($P$2:$P$6))</f>
        <v>6.9373414170755847E-3</v>
      </c>
      <c r="M50" s="209">
        <f>_xll.qlInterpolationInterpolate(BasisInterpolator,I50,,L50)</f>
        <v>5.0064999999999997E-3</v>
      </c>
      <c r="N50" s="232">
        <f t="shared" si="0"/>
        <v>1.1943841417075584E-2</v>
      </c>
      <c r="O50" s="369"/>
      <c r="AB50" s="209"/>
      <c r="AC50" s="209"/>
      <c r="AD50" s="369"/>
    </row>
    <row r="51" spans="1:30" x14ac:dyDescent="0.2">
      <c r="A51" s="234"/>
      <c r="B51" s="235"/>
      <c r="C51" s="236"/>
      <c r="D51" s="231"/>
      <c r="E51" s="209" t="e">
        <v>#N/A</v>
      </c>
      <c r="F51" s="195">
        <v>43</v>
      </c>
      <c r="G51" s="233">
        <f>_xll.qlInterestRateIndexFixingDate(IborIndex,I51)</f>
        <v>43160</v>
      </c>
      <c r="H51" s="195" t="str">
        <f>_xll.qlMakeDatedOIS(,I51,J51,OvernightIndex,0,"Act/360",0)</f>
        <v>obj_00416#0000</v>
      </c>
      <c r="I51" s="233">
        <f>_xll.qlCalendarAdvance(Calendar,$D$2,F51&amp;"M","mf")</f>
        <v>43164</v>
      </c>
      <c r="J51" s="233">
        <f>_xll.qlInterestRateIndexMaturity(IborIndex,I51)</f>
        <v>43529</v>
      </c>
      <c r="L51" s="232">
        <f>_xll.qlOvernightIndexedSwapFairRate(H51,_xll.ohTrigger($P$2:$P$6))</f>
        <v>7.2109888662461865E-3</v>
      </c>
      <c r="M51" s="209">
        <f>_xll.qlInterpolationInterpolate(BasisInterpolator,I51,,L51)</f>
        <v>5.0078796085571229E-3</v>
      </c>
      <c r="N51" s="232">
        <f t="shared" si="0"/>
        <v>1.2218868474803309E-2</v>
      </c>
      <c r="O51" s="369"/>
    </row>
    <row r="52" spans="1:30" x14ac:dyDescent="0.2">
      <c r="A52" s="234"/>
      <c r="B52" s="235"/>
      <c r="C52" s="236"/>
      <c r="D52" s="231"/>
      <c r="E52" s="209" t="e">
        <v>#N/A</v>
      </c>
      <c r="F52" s="195">
        <v>44</v>
      </c>
      <c r="G52" s="233">
        <f>_xll.qlInterestRateIndexFixingDate(IborIndex,I52)</f>
        <v>43193</v>
      </c>
      <c r="H52" s="195" t="str">
        <f>_xll.qlMakeDatedOIS(,I52,J52,OvernightIndex,0,"Act/360",0)</f>
        <v>obj_0042b#0000</v>
      </c>
      <c r="I52" s="233">
        <f>_xll.qlCalendarAdvance(Calendar,$D$2,F52&amp;"M","mf")</f>
        <v>43195</v>
      </c>
      <c r="J52" s="233">
        <f>_xll.qlInterestRateIndexMaturity(IborIndex,I52)</f>
        <v>43560</v>
      </c>
      <c r="L52" s="232">
        <f>_xll.qlOvernightIndexedSwapFairRate(H52,_xll.ohTrigger($P$2:$P$6))</f>
        <v>7.5160016962095809E-3</v>
      </c>
      <c r="M52" s="209">
        <f>_xll.qlInterpolationInterpolate(BasisInterpolator,I52,,L52)</f>
        <v>5.0089196382125901E-3</v>
      </c>
      <c r="N52" s="232">
        <f t="shared" si="0"/>
        <v>1.2524921334422172E-2</v>
      </c>
      <c r="O52" s="369"/>
    </row>
    <row r="53" spans="1:30" x14ac:dyDescent="0.2">
      <c r="A53" s="234"/>
      <c r="B53" s="235"/>
      <c r="C53" s="236"/>
      <c r="D53" s="231"/>
      <c r="E53" s="209" t="e">
        <v>#N/A</v>
      </c>
      <c r="F53" s="195">
        <v>45</v>
      </c>
      <c r="G53" s="233">
        <f>_xll.qlInterestRateIndexFixingDate(IborIndex,I53)</f>
        <v>43223</v>
      </c>
      <c r="H53" s="195" t="str">
        <f>_xll.qlMakeDatedOIS(,I53,J53,OvernightIndex,0,"Act/360",0)</f>
        <v>obj_0042d#0000</v>
      </c>
      <c r="I53" s="233">
        <f>_xll.qlCalendarAdvance(Calendar,$D$2,F53&amp;"M","mf")</f>
        <v>43227</v>
      </c>
      <c r="J53" s="233">
        <f>_xll.qlInterestRateIndexMaturity(IborIndex,I53)</f>
        <v>43592</v>
      </c>
      <c r="L53" s="232">
        <f>_xll.qlOvernightIndexedSwapFairRate(H53,_xll.ohTrigger($P$2:$P$6))</f>
        <v>7.8326948751470307E-3</v>
      </c>
      <c r="M53" s="209">
        <f>_xll.qlInterpolationInterpolate(BasisInterpolator,I53,,L53)</f>
        <v>5.0095625000000001E-3</v>
      </c>
      <c r="N53" s="232">
        <f t="shared" si="0"/>
        <v>1.2842257375147031E-2</v>
      </c>
      <c r="O53" s="369"/>
    </row>
    <row r="54" spans="1:30" x14ac:dyDescent="0.2">
      <c r="A54" s="234"/>
      <c r="B54" s="235"/>
      <c r="C54" s="236"/>
      <c r="D54" s="231"/>
      <c r="E54" s="209" t="e">
        <v>#N/A</v>
      </c>
      <c r="F54" s="195">
        <v>46</v>
      </c>
      <c r="G54" s="233">
        <f>_xll.qlInterestRateIndexFixingDate(IborIndex,I54)</f>
        <v>43252</v>
      </c>
      <c r="H54" s="195" t="str">
        <f>_xll.qlMakeDatedOIS(,I54,J54,OvernightIndex,0,"Act/360",0)</f>
        <v>obj_00426#0000</v>
      </c>
      <c r="I54" s="233">
        <f>_xll.qlCalendarAdvance(Calendar,$D$2,F54&amp;"M","mf")</f>
        <v>43256</v>
      </c>
      <c r="J54" s="233">
        <f>_xll.qlInterestRateIndexMaturity(IborIndex,I54)</f>
        <v>43621</v>
      </c>
      <c r="L54" s="232">
        <f>_xll.qlOvernightIndexedSwapFairRate(H54,_xll.ohTrigger($P$2:$P$6))</f>
        <v>8.1209460308218767E-3</v>
      </c>
      <c r="M54" s="209">
        <f>_xll.qlInterpolationInterpolate(BasisInterpolator,I54,,L54)</f>
        <v>5.0098616341393174E-3</v>
      </c>
      <c r="N54" s="232">
        <f t="shared" si="0"/>
        <v>1.3130807664961195E-2</v>
      </c>
      <c r="O54" s="369"/>
    </row>
    <row r="55" spans="1:30" x14ac:dyDescent="0.2">
      <c r="A55" s="234"/>
      <c r="B55" s="235"/>
      <c r="C55" s="236"/>
      <c r="D55" s="231"/>
      <c r="E55" s="209" t="e">
        <v>#N/A</v>
      </c>
      <c r="F55" s="195">
        <v>47</v>
      </c>
      <c r="G55" s="233">
        <f>_xll.qlInterestRateIndexFixingDate(IborIndex,I55)</f>
        <v>43284</v>
      </c>
      <c r="H55" s="195" t="str">
        <f>_xll.qlMakeDatedOIS(,I55,J55,OvernightIndex,0,"Act/360",0)</f>
        <v>obj_0043b#0000</v>
      </c>
      <c r="I55" s="233">
        <f>_xll.qlCalendarAdvance(Calendar,$D$2,F55&amp;"M","mf")</f>
        <v>43286</v>
      </c>
      <c r="J55" s="233">
        <f>_xll.qlInterestRateIndexMaturity(IborIndex,I55)</f>
        <v>43651</v>
      </c>
      <c r="L55" s="232">
        <f>_xll.qlOvernightIndexedSwapFairRate(H55,_xll.ohTrigger($P$2:$P$6))</f>
        <v>8.4200212242531228E-3</v>
      </c>
      <c r="M55" s="209">
        <f>_xll.qlInterpolationInterpolate(BasisInterpolator,I55,,L55)</f>
        <v>5.0099809759133508E-3</v>
      </c>
      <c r="N55" s="232">
        <f t="shared" si="0"/>
        <v>1.3430002200166474E-2</v>
      </c>
      <c r="O55" s="369"/>
    </row>
    <row r="56" spans="1:30" x14ac:dyDescent="0.2">
      <c r="A56" s="234"/>
      <c r="B56" s="235"/>
      <c r="C56" s="236"/>
      <c r="D56" s="231"/>
      <c r="E56" s="209" t="e">
        <v>#N/A</v>
      </c>
      <c r="F56" s="374">
        <v>48</v>
      </c>
      <c r="G56" s="375">
        <f>_xll.qlInterestRateIndexFixingDate(IborIndex,I56)</f>
        <v>43314</v>
      </c>
      <c r="H56" s="374" t="str">
        <f>_xll.qlMakeDatedOIS(,I56,J56,OvernightIndex,0,"Act/360",0)</f>
        <v>obj_00407#0000</v>
      </c>
      <c r="I56" s="375">
        <f>_xll.qlCalendarAdvance(Calendar,$D$2,F56&amp;"M","mf")</f>
        <v>43318</v>
      </c>
      <c r="J56" s="375">
        <f>_xll.qlInterestRateIndexMaturity(IborIndex,I56)</f>
        <v>43683</v>
      </c>
      <c r="K56" s="374"/>
      <c r="L56" s="376">
        <f>_xll.qlOvernightIndexedSwapFairRate(H56,_xll.ohTrigger($P$2:$P$6))</f>
        <v>8.739617153593577E-3</v>
      </c>
      <c r="M56" s="377">
        <f>_xll.qlInterpolationInterpolate(BasisInterpolator,I56,,L56)</f>
        <v>5.0099999999999997E-3</v>
      </c>
      <c r="N56" s="376">
        <f t="shared" si="0"/>
        <v>1.3749617153593578E-2</v>
      </c>
      <c r="O56" s="369"/>
    </row>
    <row r="57" spans="1:30" x14ac:dyDescent="0.2">
      <c r="A57" s="234"/>
      <c r="B57" s="235"/>
      <c r="C57" s="236"/>
      <c r="D57" s="231"/>
      <c r="E57" s="209" t="e">
        <v>#N/A</v>
      </c>
    </row>
    <row r="58" spans="1:30" x14ac:dyDescent="0.2">
      <c r="A58" s="234"/>
      <c r="B58" s="235"/>
      <c r="C58" s="236"/>
      <c r="D58" s="231"/>
      <c r="E58" s="209" t="e">
        <v>#N/A</v>
      </c>
    </row>
    <row r="59" spans="1:30" x14ac:dyDescent="0.2">
      <c r="A59" s="234"/>
      <c r="B59" s="235"/>
      <c r="C59" s="236"/>
      <c r="D59" s="231"/>
      <c r="E59" s="209" t="e">
        <v>#N/A</v>
      </c>
    </row>
    <row r="60" spans="1:30" x14ac:dyDescent="0.2">
      <c r="A60" s="234"/>
      <c r="B60" s="235"/>
      <c r="C60" s="236"/>
      <c r="D60" s="231"/>
      <c r="E60" s="209" t="e">
        <v>#N/A</v>
      </c>
    </row>
    <row r="61" spans="1:30" x14ac:dyDescent="0.2">
      <c r="A61" s="234"/>
      <c r="B61" s="235"/>
      <c r="C61" s="236"/>
      <c r="D61" s="231"/>
      <c r="E61" s="209" t="e">
        <v>#N/A</v>
      </c>
    </row>
    <row r="62" spans="1:30" x14ac:dyDescent="0.2">
      <c r="A62" s="234"/>
      <c r="B62" s="235"/>
      <c r="C62" s="236"/>
      <c r="D62" s="231"/>
      <c r="E62" s="209" t="e">
        <v>#N/A</v>
      </c>
    </row>
    <row r="63" spans="1:30" x14ac:dyDescent="0.2">
      <c r="A63" s="234"/>
      <c r="B63" s="235"/>
      <c r="C63" s="236"/>
      <c r="D63" s="231"/>
      <c r="E63" s="209" t="e">
        <v>#N/A</v>
      </c>
    </row>
    <row r="64" spans="1:30" x14ac:dyDescent="0.2">
      <c r="A64" s="234"/>
      <c r="B64" s="235"/>
      <c r="C64" s="236"/>
      <c r="D64" s="231"/>
      <c r="E64" s="209" t="e">
        <v>#N/A</v>
      </c>
    </row>
    <row r="65" spans="1:5" x14ac:dyDescent="0.2">
      <c r="A65" s="234"/>
      <c r="B65" s="235"/>
      <c r="C65" s="236"/>
      <c r="D65" s="231"/>
      <c r="E65" s="209" t="e">
        <v>#N/A</v>
      </c>
    </row>
    <row r="66" spans="1:5" x14ac:dyDescent="0.2">
      <c r="A66" s="234"/>
      <c r="B66" s="235"/>
      <c r="C66" s="236"/>
      <c r="D66" s="231"/>
      <c r="E66" s="209" t="e">
        <v>#N/A</v>
      </c>
    </row>
    <row r="67" spans="1:5" x14ac:dyDescent="0.2">
      <c r="A67" s="234"/>
      <c r="B67" s="235"/>
      <c r="C67" s="236"/>
      <c r="D67" s="231"/>
      <c r="E67" s="209" t="e">
        <v>#N/A</v>
      </c>
    </row>
    <row r="68" spans="1:5" x14ac:dyDescent="0.2">
      <c r="A68" s="234"/>
      <c r="B68" s="235"/>
      <c r="C68" s="236"/>
      <c r="D68" s="231"/>
      <c r="E68" s="209" t="e">
        <v>#N/A</v>
      </c>
    </row>
    <row r="69" spans="1:5" x14ac:dyDescent="0.2">
      <c r="A69" s="234"/>
      <c r="B69" s="235"/>
      <c r="C69" s="236"/>
      <c r="D69" s="231"/>
      <c r="E69" s="209" t="e">
        <v>#N/A</v>
      </c>
    </row>
    <row r="70" spans="1:5" x14ac:dyDescent="0.2">
      <c r="A70" s="234"/>
      <c r="B70" s="235"/>
      <c r="C70" s="236"/>
      <c r="D70" s="231"/>
      <c r="E70" s="209" t="e">
        <v>#N/A</v>
      </c>
    </row>
    <row r="71" spans="1:5" x14ac:dyDescent="0.2">
      <c r="A71" s="234"/>
      <c r="B71" s="235"/>
      <c r="C71" s="236"/>
      <c r="D71" s="231"/>
      <c r="E71" s="209" t="e">
        <v>#N/A</v>
      </c>
    </row>
    <row r="72" spans="1:5" x14ac:dyDescent="0.2">
      <c r="A72" s="234"/>
      <c r="B72" s="235"/>
      <c r="C72" s="236"/>
      <c r="D72" s="231"/>
      <c r="E72" s="209" t="e">
        <v>#N/A</v>
      </c>
    </row>
    <row r="73" spans="1:5" x14ac:dyDescent="0.2">
      <c r="A73" s="234"/>
      <c r="B73" s="235"/>
      <c r="C73" s="236"/>
      <c r="D73" s="231"/>
      <c r="E73" s="209" t="e">
        <v>#N/A</v>
      </c>
    </row>
    <row r="74" spans="1:5" x14ac:dyDescent="0.2">
      <c r="A74" s="234"/>
      <c r="B74" s="235"/>
      <c r="C74" s="236"/>
      <c r="D74" s="231"/>
      <c r="E74" s="209" t="e">
        <v>#N/A</v>
      </c>
    </row>
    <row r="75" spans="1:5" x14ac:dyDescent="0.2">
      <c r="A75" s="234"/>
      <c r="B75" s="235"/>
      <c r="C75" s="236"/>
      <c r="D75" s="231"/>
      <c r="E75" s="209" t="e">
        <v>#N/A</v>
      </c>
    </row>
    <row r="76" spans="1:5" x14ac:dyDescent="0.2">
      <c r="A76" s="234"/>
      <c r="B76" s="235"/>
      <c r="C76" s="236"/>
      <c r="D76" s="231"/>
      <c r="E76" s="209" t="e">
        <v>#N/A</v>
      </c>
    </row>
    <row r="77" spans="1:5" x14ac:dyDescent="0.2">
      <c r="A77" s="234"/>
      <c r="B77" s="235"/>
      <c r="C77" s="236"/>
      <c r="D77" s="231"/>
      <c r="E77" s="209" t="e">
        <v>#N/A</v>
      </c>
    </row>
    <row r="78" spans="1:5" x14ac:dyDescent="0.2">
      <c r="A78" s="234"/>
      <c r="B78" s="235"/>
      <c r="C78" s="236"/>
      <c r="D78" s="231"/>
      <c r="E78" s="209" t="e">
        <v>#N/A</v>
      </c>
    </row>
    <row r="79" spans="1:5" x14ac:dyDescent="0.2">
      <c r="A79" s="234"/>
      <c r="B79" s="235"/>
      <c r="C79" s="236"/>
      <c r="D79" s="231"/>
      <c r="E79" s="209" t="e">
        <v>#N/A</v>
      </c>
    </row>
    <row r="80" spans="1:5" x14ac:dyDescent="0.2">
      <c r="A80" s="234"/>
      <c r="B80" s="235"/>
      <c r="C80" s="236"/>
      <c r="D80" s="231"/>
      <c r="E80" s="209" t="e">
        <v>#N/A</v>
      </c>
    </row>
    <row r="81" spans="1:5" x14ac:dyDescent="0.2">
      <c r="A81" s="234"/>
      <c r="B81" s="235"/>
      <c r="C81" s="236"/>
      <c r="D81" s="231"/>
      <c r="E81" s="209" t="e">
        <v>#N/A</v>
      </c>
    </row>
    <row r="82" spans="1:5" x14ac:dyDescent="0.2">
      <c r="A82" s="234"/>
      <c r="B82" s="235"/>
      <c r="C82" s="236"/>
      <c r="D82" s="231"/>
      <c r="E82" s="209" t="e">
        <v>#N/A</v>
      </c>
    </row>
    <row r="83" spans="1:5" x14ac:dyDescent="0.2">
      <c r="A83" s="234"/>
      <c r="B83" s="235"/>
      <c r="C83" s="236"/>
      <c r="D83" s="231"/>
      <c r="E83" s="209" t="e">
        <v>#N/A</v>
      </c>
    </row>
    <row r="84" spans="1:5" x14ac:dyDescent="0.2">
      <c r="A84" s="234"/>
      <c r="B84" s="235"/>
      <c r="C84" s="236"/>
      <c r="D84" s="231"/>
      <c r="E84" s="209" t="e">
        <v>#N/A</v>
      </c>
    </row>
    <row r="85" spans="1:5" x14ac:dyDescent="0.2">
      <c r="A85" s="234"/>
      <c r="B85" s="235"/>
      <c r="C85" s="236"/>
      <c r="D85" s="231"/>
      <c r="E85" s="209" t="e">
        <v>#N/A</v>
      </c>
    </row>
    <row r="86" spans="1:5" x14ac:dyDescent="0.2">
      <c r="A86" s="234"/>
      <c r="B86" s="235"/>
      <c r="C86" s="236"/>
      <c r="D86" s="231"/>
      <c r="E86" s="209" t="e">
        <v>#N/A</v>
      </c>
    </row>
    <row r="87" spans="1:5" x14ac:dyDescent="0.2">
      <c r="A87" s="234"/>
      <c r="B87" s="235"/>
      <c r="C87" s="236"/>
      <c r="D87" s="231"/>
      <c r="E87" s="209" t="e">
        <v>#N/A</v>
      </c>
    </row>
    <row r="88" spans="1:5" x14ac:dyDescent="0.2">
      <c r="A88" s="234"/>
      <c r="B88" s="235"/>
      <c r="C88" s="236"/>
      <c r="D88" s="231"/>
      <c r="E88" s="209" t="e">
        <v>#N/A</v>
      </c>
    </row>
    <row r="89" spans="1:5" x14ac:dyDescent="0.2">
      <c r="A89" s="234"/>
      <c r="B89" s="235"/>
      <c r="C89" s="236"/>
      <c r="D89" s="231"/>
      <c r="E89" s="209" t="e">
        <v>#N/A</v>
      </c>
    </row>
    <row r="90" spans="1:5" x14ac:dyDescent="0.2">
      <c r="A90" s="234"/>
      <c r="B90" s="235"/>
      <c r="C90" s="236"/>
      <c r="D90" s="231"/>
      <c r="E90" s="209" t="e">
        <v>#N/A</v>
      </c>
    </row>
    <row r="91" spans="1:5" x14ac:dyDescent="0.2">
      <c r="A91" s="234"/>
      <c r="B91" s="235"/>
      <c r="C91" s="236"/>
      <c r="D91" s="231"/>
      <c r="E91" s="209" t="e">
        <v>#N/A</v>
      </c>
    </row>
    <row r="92" spans="1:5" x14ac:dyDescent="0.2">
      <c r="A92" s="234"/>
      <c r="B92" s="235"/>
      <c r="C92" s="236"/>
      <c r="D92" s="231"/>
      <c r="E92" s="209" t="e">
        <v>#N/A</v>
      </c>
    </row>
    <row r="93" spans="1:5" x14ac:dyDescent="0.2">
      <c r="A93" s="234"/>
      <c r="B93" s="235"/>
      <c r="C93" s="236"/>
      <c r="D93" s="231"/>
      <c r="E93" s="209" t="e">
        <v>#N/A</v>
      </c>
    </row>
    <row r="94" spans="1:5" x14ac:dyDescent="0.2">
      <c r="A94" s="234"/>
      <c r="B94" s="235"/>
      <c r="C94" s="236"/>
      <c r="D94" s="231"/>
      <c r="E94" s="209" t="e">
        <v>#N/A</v>
      </c>
    </row>
    <row r="95" spans="1:5" x14ac:dyDescent="0.2">
      <c r="A95" s="234"/>
      <c r="B95" s="235"/>
      <c r="C95" s="236"/>
      <c r="D95" s="231"/>
      <c r="E95" s="209" t="e">
        <v>#N/A</v>
      </c>
    </row>
    <row r="96" spans="1:5" x14ac:dyDescent="0.2">
      <c r="A96" s="234"/>
      <c r="B96" s="235"/>
      <c r="C96" s="236"/>
      <c r="D96" s="231"/>
      <c r="E96" s="209" t="e">
        <v>#N/A</v>
      </c>
    </row>
    <row r="97" spans="1:5" x14ac:dyDescent="0.2">
      <c r="A97" s="234"/>
      <c r="B97" s="235"/>
      <c r="C97" s="236"/>
      <c r="D97" s="231"/>
      <c r="E97" s="209" t="e">
        <v>#N/A</v>
      </c>
    </row>
    <row r="98" spans="1:5" x14ac:dyDescent="0.2">
      <c r="A98" s="234"/>
      <c r="B98" s="235"/>
      <c r="C98" s="236"/>
      <c r="D98" s="231"/>
      <c r="E98" s="209" t="e">
        <v>#N/A</v>
      </c>
    </row>
    <row r="99" spans="1:5" x14ac:dyDescent="0.2">
      <c r="A99" s="234"/>
      <c r="B99" s="235"/>
      <c r="C99" s="236"/>
      <c r="D99" s="231"/>
      <c r="E99" s="209" t="e">
        <v>#N/A</v>
      </c>
    </row>
    <row r="100" spans="1:5" x14ac:dyDescent="0.2">
      <c r="A100" s="234"/>
      <c r="B100" s="235"/>
      <c r="C100" s="236"/>
      <c r="D100" s="231"/>
      <c r="E100" s="209" t="e">
        <v>#N/A</v>
      </c>
    </row>
    <row r="101" spans="1:5" x14ac:dyDescent="0.2">
      <c r="A101" s="234"/>
      <c r="B101" s="235"/>
      <c r="C101" s="236"/>
      <c r="D101" s="231"/>
      <c r="E101" s="209" t="e">
        <v>#N/A</v>
      </c>
    </row>
    <row r="102" spans="1:5" x14ac:dyDescent="0.2">
      <c r="A102" s="234"/>
      <c r="B102" s="235"/>
      <c r="C102" s="236"/>
      <c r="D102" s="231"/>
      <c r="E102" s="209" t="e">
        <v>#N/A</v>
      </c>
    </row>
    <row r="103" spans="1:5" x14ac:dyDescent="0.2">
      <c r="A103" s="234"/>
      <c r="B103" s="235"/>
      <c r="C103" s="236"/>
      <c r="D103" s="231"/>
      <c r="E103" s="209" t="e">
        <v>#N/A</v>
      </c>
    </row>
    <row r="104" spans="1:5" x14ac:dyDescent="0.2">
      <c r="A104" s="234"/>
      <c r="B104" s="235"/>
      <c r="C104" s="236"/>
      <c r="D104" s="231"/>
      <c r="E104" s="209" t="e">
        <v>#N/A</v>
      </c>
    </row>
    <row r="105" spans="1:5" x14ac:dyDescent="0.2">
      <c r="A105" s="234"/>
      <c r="B105" s="235"/>
      <c r="C105" s="236"/>
      <c r="D105" s="231"/>
      <c r="E105" s="209" t="e">
        <v>#N/A</v>
      </c>
    </row>
    <row r="106" spans="1:5" x14ac:dyDescent="0.2">
      <c r="A106" s="234"/>
      <c r="B106" s="235"/>
      <c r="C106" s="236"/>
      <c r="D106" s="231"/>
      <c r="E106" s="209" t="e">
        <v>#N/A</v>
      </c>
    </row>
    <row r="107" spans="1:5" x14ac:dyDescent="0.2">
      <c r="A107" s="234"/>
      <c r="B107" s="235"/>
      <c r="C107" s="236"/>
      <c r="D107" s="231"/>
      <c r="E107" s="209" t="e">
        <v>#N/A</v>
      </c>
    </row>
    <row r="108" spans="1:5" x14ac:dyDescent="0.2">
      <c r="A108" s="234"/>
      <c r="B108" s="235"/>
      <c r="C108" s="236"/>
      <c r="D108" s="231"/>
      <c r="E108" s="209" t="e">
        <v>#N/A</v>
      </c>
    </row>
    <row r="109" spans="1:5" x14ac:dyDescent="0.2">
      <c r="A109" s="234"/>
      <c r="B109" s="235"/>
      <c r="C109" s="236"/>
      <c r="D109" s="231"/>
      <c r="E109" s="209" t="e">
        <v>#N/A</v>
      </c>
    </row>
    <row r="110" spans="1:5" x14ac:dyDescent="0.2">
      <c r="A110" s="234"/>
      <c r="B110" s="235"/>
      <c r="C110" s="236"/>
      <c r="D110" s="231"/>
      <c r="E110" s="209" t="e">
        <v>#N/A</v>
      </c>
    </row>
    <row r="111" spans="1:5" x14ac:dyDescent="0.2">
      <c r="A111" s="234"/>
      <c r="B111" s="235"/>
      <c r="C111" s="236"/>
      <c r="D111" s="231"/>
      <c r="E111" s="209" t="e">
        <v>#N/A</v>
      </c>
    </row>
    <row r="112" spans="1:5" x14ac:dyDescent="0.2">
      <c r="A112" s="234"/>
      <c r="B112" s="235"/>
      <c r="C112" s="236"/>
      <c r="D112" s="231"/>
      <c r="E112" s="209" t="e">
        <v>#N/A</v>
      </c>
    </row>
    <row r="113" spans="1:5" x14ac:dyDescent="0.2">
      <c r="A113" s="234"/>
      <c r="B113" s="235"/>
      <c r="C113" s="236"/>
      <c r="D113" s="231"/>
      <c r="E113" s="209" t="e">
        <v>#N/A</v>
      </c>
    </row>
    <row r="114" spans="1:5" x14ac:dyDescent="0.2">
      <c r="A114" s="234"/>
      <c r="B114" s="235"/>
      <c r="C114" s="236"/>
      <c r="D114" s="231"/>
      <c r="E114" s="209" t="e">
        <v>#N/A</v>
      </c>
    </row>
    <row r="115" spans="1:5" x14ac:dyDescent="0.2">
      <c r="A115" s="234"/>
      <c r="B115" s="235"/>
      <c r="C115" s="236"/>
      <c r="D115" s="231"/>
      <c r="E115" s="209" t="e">
        <v>#N/A</v>
      </c>
    </row>
    <row r="116" spans="1:5" x14ac:dyDescent="0.2">
      <c r="A116" s="234"/>
      <c r="B116" s="235"/>
      <c r="C116" s="236"/>
      <c r="D116" s="231"/>
      <c r="E116" s="209" t="e">
        <v>#N/A</v>
      </c>
    </row>
    <row r="117" spans="1:5" x14ac:dyDescent="0.2">
      <c r="A117" s="234"/>
      <c r="B117" s="235"/>
      <c r="C117" s="236"/>
      <c r="D117" s="231"/>
      <c r="E117" s="209" t="e">
        <v>#N/A</v>
      </c>
    </row>
    <row r="118" spans="1:5" x14ac:dyDescent="0.2">
      <c r="A118" s="234"/>
      <c r="B118" s="235"/>
      <c r="C118" s="236"/>
      <c r="D118" s="231"/>
      <c r="E118" s="209" t="e">
        <v>#N/A</v>
      </c>
    </row>
    <row r="119" spans="1:5" x14ac:dyDescent="0.2">
      <c r="A119" s="234"/>
      <c r="B119" s="235"/>
      <c r="C119" s="236"/>
      <c r="D119" s="231"/>
      <c r="E119" s="209" t="e">
        <v>#N/A</v>
      </c>
    </row>
    <row r="120" spans="1:5" x14ac:dyDescent="0.2">
      <c r="A120" s="234"/>
      <c r="B120" s="235"/>
      <c r="C120" s="236"/>
      <c r="D120" s="231"/>
      <c r="E120" s="209" t="e">
        <v>#N/A</v>
      </c>
    </row>
    <row r="121" spans="1:5" x14ac:dyDescent="0.2">
      <c r="A121" s="234"/>
      <c r="B121" s="235"/>
      <c r="C121" s="236"/>
      <c r="D121" s="231"/>
      <c r="E121" s="209" t="e">
        <v>#N/A</v>
      </c>
    </row>
    <row r="122" spans="1:5" x14ac:dyDescent="0.2">
      <c r="A122" s="234"/>
      <c r="B122" s="235"/>
      <c r="C122" s="236"/>
      <c r="D122" s="231"/>
      <c r="E122" s="209" t="e">
        <v>#N/A</v>
      </c>
    </row>
    <row r="123" spans="1:5" x14ac:dyDescent="0.2">
      <c r="A123" s="234"/>
      <c r="B123" s="235"/>
      <c r="C123" s="236"/>
      <c r="D123" s="231"/>
      <c r="E123" s="209" t="e">
        <v>#N/A</v>
      </c>
    </row>
    <row r="124" spans="1:5" x14ac:dyDescent="0.2">
      <c r="A124" s="234"/>
      <c r="B124" s="235"/>
      <c r="C124" s="236"/>
      <c r="D124" s="231"/>
      <c r="E124" s="209" t="e">
        <v>#N/A</v>
      </c>
    </row>
    <row r="125" spans="1:5" x14ac:dyDescent="0.2">
      <c r="A125" s="234"/>
      <c r="B125" s="235"/>
      <c r="C125" s="236"/>
      <c r="D125" s="231"/>
      <c r="E125" s="209" t="e">
        <v>#N/A</v>
      </c>
    </row>
    <row r="126" spans="1:5" x14ac:dyDescent="0.2">
      <c r="A126" s="234"/>
      <c r="B126" s="235"/>
      <c r="C126" s="236"/>
      <c r="D126" s="231"/>
      <c r="E126" s="209" t="e">
        <v>#N/A</v>
      </c>
    </row>
    <row r="127" spans="1:5" x14ac:dyDescent="0.2">
      <c r="A127" s="237"/>
      <c r="B127" s="238"/>
      <c r="C127" s="239"/>
      <c r="D127" s="240"/>
      <c r="E127" s="209" t="e">
        <v>#N/A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autoPageBreaks="0"/>
  </sheetPr>
  <dimension ref="A1:P85"/>
  <sheetViews>
    <sheetView workbookViewId="0"/>
  </sheetViews>
  <sheetFormatPr defaultRowHeight="11.25" x14ac:dyDescent="0.2"/>
  <cols>
    <col min="1" max="1" width="4.33203125" style="167" customWidth="1"/>
    <col min="2" max="2" width="7.83203125" style="167" customWidth="1"/>
    <col min="3" max="3" width="36.6640625" style="167" bestFit="1" customWidth="1"/>
    <col min="4" max="4" width="35.83203125" style="167" customWidth="1"/>
    <col min="5" max="5" width="25.6640625" style="167" customWidth="1"/>
    <col min="6" max="7" width="3.1640625" style="167" customWidth="1"/>
    <col min="8" max="8" width="4.33203125" style="167" customWidth="1"/>
    <col min="9" max="9" width="7.83203125" style="167" customWidth="1"/>
    <col min="10" max="10" width="9.33203125" style="167" bestFit="1" customWidth="1"/>
    <col min="11" max="11" width="3.1640625" style="167" customWidth="1"/>
    <col min="12" max="12" width="9.33203125" style="167" bestFit="1" customWidth="1"/>
    <col min="13" max="13" width="3.1640625" style="167" customWidth="1"/>
    <col min="14" max="14" width="11.6640625" style="167" bestFit="1" customWidth="1"/>
    <col min="15" max="15" width="10.5" style="167" bestFit="1" customWidth="1"/>
    <col min="16" max="16" width="5.83203125" style="167" customWidth="1"/>
    <col min="17" max="16384" width="9.33203125" style="172"/>
  </cols>
  <sheetData>
    <row r="1" spans="1:16" ht="12" thickBot="1" x14ac:dyDescent="0.25">
      <c r="A1" s="164"/>
      <c r="D1" s="165"/>
      <c r="E1" s="165"/>
      <c r="F1" s="166"/>
      <c r="H1" s="168"/>
      <c r="I1" s="169"/>
      <c r="J1" s="169"/>
      <c r="K1" s="170"/>
      <c r="L1" s="170"/>
      <c r="M1" s="170"/>
      <c r="N1" s="169"/>
      <c r="P1" s="171"/>
    </row>
    <row r="2" spans="1:16" ht="12.75" thickBot="1" x14ac:dyDescent="0.3">
      <c r="A2" s="316"/>
      <c r="B2" s="315"/>
      <c r="C2" s="332" t="str">
        <f>Currency&amp;"_015_SyntheticQuotes"&amp;".xml"</f>
        <v>EUR_015_SyntheticQuotes.xml</v>
      </c>
      <c r="D2" s="333" t="str">
        <f>IF(Serialize,_xll.ohObjectSave(D3:D84,SerializationPath&amp;C2,FileOverwrite,Serialize),"---")</f>
        <v>---</v>
      </c>
      <c r="E2" s="273" t="str">
        <f>_xll.ohRangeRetrieveError(D2)</f>
        <v/>
      </c>
      <c r="F2" s="173"/>
      <c r="H2" s="174"/>
      <c r="I2" s="275"/>
      <c r="J2" s="276" t="s">
        <v>82</v>
      </c>
      <c r="K2" s="175"/>
      <c r="L2" s="283" t="s">
        <v>83</v>
      </c>
      <c r="M2" s="175"/>
      <c r="N2" s="275" t="s">
        <v>84</v>
      </c>
      <c r="O2" s="287" t="s">
        <v>85</v>
      </c>
      <c r="P2" s="353">
        <f>_xll.ohTrigger(O3:O7)</f>
        <v>9</v>
      </c>
    </row>
    <row r="3" spans="1:16" x14ac:dyDescent="0.2">
      <c r="A3" s="335">
        <v>1</v>
      </c>
      <c r="B3" s="323" t="s">
        <v>86</v>
      </c>
      <c r="C3" s="324" t="str">
        <f t="shared" ref="C3" si="0">Currency&amp;$B3&amp;"_SYNTH"&amp;Tenor1M&amp;QuoteSuffix</f>
        <v>EURSND_SYNTH1M_Quote</v>
      </c>
      <c r="D3" s="325" t="str">
        <f>_xll.qlSimpleQuote(C3,,RateTickValue,Permanent,EvaluationDate,ObjectOverwrite)</f>
        <v>EURSND_SYNTH1M_Quote#0000</v>
      </c>
      <c r="E3" s="319" t="str">
        <f>_xll.ohRangeRetrieveError(D3)</f>
        <v/>
      </c>
      <c r="F3" s="173"/>
      <c r="H3" s="174"/>
      <c r="I3" s="277" t="s">
        <v>86</v>
      </c>
      <c r="J3" s="278">
        <f>SynthDepo!G34</f>
        <v>8.6937737548538276E-4</v>
      </c>
      <c r="K3" s="178" t="s">
        <v>87</v>
      </c>
      <c r="L3" s="284">
        <v>1.2990526139239887E-3</v>
      </c>
      <c r="M3" s="175"/>
      <c r="N3" s="288">
        <f t="array" ref="N3:N84">QuoteLive</f>
        <v>8.6937737548538276E-4</v>
      </c>
      <c r="O3" s="289">
        <f>_xll.qlSimpleQuoteSetValue(D3,ROUND($N3,6),EvaluationDate)</f>
        <v>0</v>
      </c>
      <c r="P3" s="176"/>
    </row>
    <row r="4" spans="1:16" x14ac:dyDescent="0.2">
      <c r="A4" s="336" t="str">
        <f>_xll.qlPeriodEquivalent(Months1M&amp;"M")</f>
        <v>1M</v>
      </c>
      <c r="B4" s="326" t="s">
        <v>88</v>
      </c>
      <c r="C4" s="179" t="str">
        <f t="shared" ref="C4:C7" si="1">Currency&amp;$B4&amp;"_SYNTH"&amp;Tenor1M&amp;QuoteSuffix</f>
        <v>EURSWD_SYNTH1M_Quote</v>
      </c>
      <c r="D4" s="327" t="str">
        <f>_xll.qlSimpleQuote(C4,,RateTickValue,Permanent,EvaluationDate,ObjectOverwrite)</f>
        <v>EURSWD_SYNTH1M_Quote#0000</v>
      </c>
      <c r="E4" s="320" t="str">
        <f>_xll.ohRangeRetrieveError(D4)</f>
        <v/>
      </c>
      <c r="F4" s="173"/>
      <c r="H4" s="174"/>
      <c r="I4" s="277" t="s">
        <v>88</v>
      </c>
      <c r="J4" s="278">
        <f>SynthDepo!G35</f>
        <v>6.955020589996864E-4</v>
      </c>
      <c r="K4" s="178" t="s">
        <v>87</v>
      </c>
      <c r="L4" s="284">
        <v>1.1762484592441206E-3</v>
      </c>
      <c r="M4" s="175"/>
      <c r="N4" s="288">
        <v>6.955020589996864E-4</v>
      </c>
      <c r="O4" s="289">
        <f>_xll.qlSimpleQuoteSetValue(D4,ROUND($N4,6),EvaluationDate)</f>
        <v>0</v>
      </c>
      <c r="P4" s="176"/>
    </row>
    <row r="5" spans="1:16" x14ac:dyDescent="0.2">
      <c r="A5" s="337"/>
      <c r="B5" s="326" t="s">
        <v>89</v>
      </c>
      <c r="C5" s="179" t="str">
        <f t="shared" si="1"/>
        <v>EUR2WD_SYNTH1M_Quote</v>
      </c>
      <c r="D5" s="327" t="str">
        <f>_xll.qlSimpleQuote(C5,,RateTickValue,Permanent,EvaluationDate,ObjectOverwrite)</f>
        <v>EUR2WD_SYNTH1M_Quote#0000</v>
      </c>
      <c r="E5" s="320" t="str">
        <f>_xll.ohRangeRetrieveError(D5)</f>
        <v/>
      </c>
      <c r="F5" s="173"/>
      <c r="H5" s="174"/>
      <c r="I5" s="277" t="s">
        <v>89</v>
      </c>
      <c r="J5" s="278">
        <f>SynthDepo!G36</f>
        <v>7.7098062513445667E-4</v>
      </c>
      <c r="K5" s="178" t="s">
        <v>87</v>
      </c>
      <c r="L5" s="284">
        <v>1.1863102747473662E-3</v>
      </c>
      <c r="M5" s="175"/>
      <c r="N5" s="288">
        <v>7.7098062513445667E-4</v>
      </c>
      <c r="O5" s="289">
        <f>_xll.qlSimpleQuoteSetValue(D5,ROUND($N5,6),EvaluationDate)</f>
        <v>0</v>
      </c>
      <c r="P5" s="176"/>
    </row>
    <row r="6" spans="1:16" x14ac:dyDescent="0.2">
      <c r="A6" s="337"/>
      <c r="B6" s="326" t="s">
        <v>90</v>
      </c>
      <c r="C6" s="179" t="str">
        <f t="shared" si="1"/>
        <v>EUR3WD_SYNTH1M_Quote</v>
      </c>
      <c r="D6" s="327" t="str">
        <f>_xll.qlSimpleQuote(C6,,RateTickValue,Permanent,EvaluationDate,ObjectOverwrite)</f>
        <v>EUR3WD_SYNTH1M_Quote#0000</v>
      </c>
      <c r="E6" s="320" t="str">
        <f>_xll.ohRangeRetrieveError(D6)</f>
        <v/>
      </c>
      <c r="F6" s="173"/>
      <c r="H6" s="174"/>
      <c r="I6" s="279" t="s">
        <v>90</v>
      </c>
      <c r="J6" s="280">
        <f>SynthDepo!G37</f>
        <v>7.96459191254625E-4</v>
      </c>
      <c r="K6" s="178" t="s">
        <v>87</v>
      </c>
      <c r="L6" s="285">
        <v>1.1363720928420505E-3</v>
      </c>
      <c r="M6" s="175"/>
      <c r="N6" s="290">
        <v>7.96459191254625E-4</v>
      </c>
      <c r="O6" s="291">
        <f>_xll.qlSimpleQuoteSetValue(D6,ROUND($N6,6),EvaluationDate)</f>
        <v>0</v>
      </c>
      <c r="P6" s="176"/>
    </row>
    <row r="7" spans="1:16" ht="12" thickBot="1" x14ac:dyDescent="0.25">
      <c r="A7" s="338"/>
      <c r="B7" s="334" t="s">
        <v>91</v>
      </c>
      <c r="C7" s="274" t="str">
        <f t="shared" si="1"/>
        <v>EUR1MD_SYNTH1M_Quote</v>
      </c>
      <c r="D7" s="330" t="str">
        <f>_xll.qlSimpleQuote(C7,,RateTickValue,Permanent,EvaluationDate,ObjectOverwrite)</f>
        <v>EUR1MD_SYNTH1M_Quote#0000</v>
      </c>
      <c r="E7" s="331" t="str">
        <f>_xll.ohRangeRetrieveError(D7)</f>
        <v/>
      </c>
      <c r="F7" s="173"/>
      <c r="H7" s="297"/>
      <c r="I7" s="281" t="s">
        <v>91</v>
      </c>
      <c r="J7" s="282">
        <f>SynthDepo!G38</f>
        <v>9.7000000000000005E-4</v>
      </c>
      <c r="K7" s="298" t="s">
        <v>87</v>
      </c>
      <c r="L7" s="286">
        <v>1.1021658586514449E-3</v>
      </c>
      <c r="M7" s="297"/>
      <c r="N7" s="292">
        <v>9.7000000000000005E-4</v>
      </c>
      <c r="O7" s="293">
        <f>_xll.qlSimpleQuoteSetValue(D7,ROUND($N7,6),EvaluationDate)</f>
        <v>0</v>
      </c>
      <c r="P7" s="297"/>
    </row>
    <row r="8" spans="1:16" x14ac:dyDescent="0.2">
      <c r="A8" s="317">
        <v>3</v>
      </c>
      <c r="B8" s="323" t="s">
        <v>86</v>
      </c>
      <c r="C8" s="324" t="str">
        <f t="shared" ref="C8:C14" si="2">Currency&amp;$B8&amp;"_SYNTH"&amp;Tenor3M&amp;QuoteSuffix</f>
        <v>EURSND_SYNTH3M_Quote</v>
      </c>
      <c r="D8" s="325" t="str">
        <f>_xll.qlSimpleQuote(C8,,RateTickValue,Permanent,EvaluationDate,ObjectOverwrite)</f>
        <v>EURSND_SYNTH3M_Quote#0000</v>
      </c>
      <c r="E8" s="319"/>
      <c r="F8" s="181"/>
      <c r="H8" s="184"/>
      <c r="I8" s="299" t="s">
        <v>86</v>
      </c>
      <c r="J8" s="300">
        <f>SynthDepo!H34</f>
        <v>2.317460486661808E-3</v>
      </c>
      <c r="K8" s="185"/>
      <c r="L8" s="301">
        <v>2.8434103207334591E-3</v>
      </c>
      <c r="M8" s="183"/>
      <c r="N8" s="302">
        <v>2.317460486661808E-3</v>
      </c>
      <c r="O8" s="303">
        <f>_xll.qlSimpleQuoteSetValue(D8,ROUND($N8,6),EvaluationDate)</f>
        <v>0</v>
      </c>
      <c r="P8" s="354">
        <f>_xll.ohTrigger(O8:O14)</f>
        <v>9</v>
      </c>
    </row>
    <row r="9" spans="1:16" x14ac:dyDescent="0.2">
      <c r="A9" s="318" t="str">
        <f>_xll.qlPeriodEquivalent(Months3M&amp;"M")</f>
        <v>3M</v>
      </c>
      <c r="B9" s="326" t="s">
        <v>88</v>
      </c>
      <c r="C9" s="179" t="str">
        <f t="shared" si="2"/>
        <v>EURSWD_SYNTH3M_Quote</v>
      </c>
      <c r="D9" s="327" t="str">
        <f>_xll.qlSimpleQuote(C9,,RateTickValue,Permanent,EvaluationDate,ObjectOverwrite)</f>
        <v>EURSWD_SYNTH3M_Quote#0000</v>
      </c>
      <c r="E9" s="320"/>
      <c r="F9" s="181"/>
      <c r="H9" s="184"/>
      <c r="I9" s="294" t="s">
        <v>88</v>
      </c>
      <c r="J9" s="278">
        <f>SynthDepo!H35</f>
        <v>2.1039326329687631E-3</v>
      </c>
      <c r="K9" s="185"/>
      <c r="L9" s="284">
        <v>2.6816512146540595E-3</v>
      </c>
      <c r="M9" s="183"/>
      <c r="N9" s="288">
        <v>2.1039326329687631E-3</v>
      </c>
      <c r="O9" s="289">
        <f>_xll.qlSimpleQuoteSetValue(D9,ROUND($N9,6),EvaluationDate)</f>
        <v>0</v>
      </c>
      <c r="P9" s="176"/>
    </row>
    <row r="10" spans="1:16" x14ac:dyDescent="0.2">
      <c r="A10" s="180"/>
      <c r="B10" s="326" t="s">
        <v>89</v>
      </c>
      <c r="C10" s="179" t="str">
        <f t="shared" si="2"/>
        <v>EUR2WD_SYNTH3M_Quote</v>
      </c>
      <c r="D10" s="327" t="str">
        <f>_xll.qlSimpleQuote(C10,,RateTickValue,Permanent,EvaluationDate,ObjectOverwrite)</f>
        <v>EUR2WD_SYNTH3M_Quote#0000</v>
      </c>
      <c r="E10" s="320"/>
      <c r="F10" s="181"/>
      <c r="H10" s="184"/>
      <c r="I10" s="294" t="s">
        <v>89</v>
      </c>
      <c r="J10" s="278">
        <f>SynthDepo!H36</f>
        <v>2.1365936088689522E-3</v>
      </c>
      <c r="K10" s="185"/>
      <c r="L10" s="284">
        <v>2.6506000221447946E-3</v>
      </c>
      <c r="M10" s="183"/>
      <c r="N10" s="288">
        <v>2.1365936088689522E-3</v>
      </c>
      <c r="O10" s="289">
        <f>_xll.qlSimpleQuoteSetValue(D10,ROUND($N10,6),EvaluationDate)</f>
        <v>0</v>
      </c>
      <c r="P10" s="176"/>
    </row>
    <row r="11" spans="1:16" x14ac:dyDescent="0.2">
      <c r="A11" s="180"/>
      <c r="B11" s="326" t="s">
        <v>90</v>
      </c>
      <c r="C11" s="179" t="str">
        <f t="shared" si="2"/>
        <v>EUR3WD_SYNTH3M_Quote</v>
      </c>
      <c r="D11" s="327" t="str">
        <f>_xll.qlSimpleQuote(C11,,RateTickValue,Permanent,EvaluationDate,ObjectOverwrite)</f>
        <v>EUR3WD_SYNTH3M_Quote#0000</v>
      </c>
      <c r="E11" s="320"/>
      <c r="F11" s="181"/>
      <c r="H11" s="184"/>
      <c r="I11" s="295" t="s">
        <v>90</v>
      </c>
      <c r="J11" s="280">
        <f>SynthDepo!H37</f>
        <v>2.1229631881726847E-3</v>
      </c>
      <c r="K11" s="185"/>
      <c r="L11" s="285">
        <v>2.5642166856129065E-3</v>
      </c>
      <c r="M11" s="183"/>
      <c r="N11" s="290">
        <v>2.1229631881726847E-3</v>
      </c>
      <c r="O11" s="291">
        <f>_xll.qlSimpleQuoteSetValue(D11,ROUND($N11,6),EvaluationDate)</f>
        <v>0</v>
      </c>
      <c r="P11" s="176"/>
    </row>
    <row r="12" spans="1:16" x14ac:dyDescent="0.2">
      <c r="A12" s="180"/>
      <c r="B12" s="326" t="s">
        <v>91</v>
      </c>
      <c r="C12" s="179" t="str">
        <f t="shared" si="2"/>
        <v>EUR1MD_SYNTH3M_Quote</v>
      </c>
      <c r="D12" s="328" t="str">
        <f>_xll.qlSimpleQuote(C12,,RateTickValue,Permanent,EvaluationDate,ObjectOverwrite)</f>
        <v>EUR1MD_SYNTH3M_Quote#0000</v>
      </c>
      <c r="E12" s="321"/>
      <c r="F12" s="181"/>
      <c r="H12" s="184"/>
      <c r="I12" s="294" t="s">
        <v>91</v>
      </c>
      <c r="J12" s="278">
        <f>SynthDepo!H38</f>
        <v>2.2470673073954443E-3</v>
      </c>
      <c r="K12" s="185"/>
      <c r="L12" s="284">
        <v>2.4900112820817597E-3</v>
      </c>
      <c r="M12" s="183"/>
      <c r="N12" s="288">
        <v>2.2470673073954443E-3</v>
      </c>
      <c r="O12" s="289">
        <f>_xll.qlSimpleQuoteSetValue(D12,ROUND($N12,6),EvaluationDate)</f>
        <v>0</v>
      </c>
      <c r="P12" s="176"/>
    </row>
    <row r="13" spans="1:16" x14ac:dyDescent="0.2">
      <c r="A13" s="180"/>
      <c r="B13" s="326" t="s">
        <v>92</v>
      </c>
      <c r="C13" s="179" t="str">
        <f t="shared" si="2"/>
        <v>EUR2MD_SYNTH3M_Quote</v>
      </c>
      <c r="D13" s="328" t="str">
        <f>_xll.qlSimpleQuote(C13,,RateTickValue,Permanent,EvaluationDate,ObjectOverwrite)</f>
        <v>EUR2MD_SYNTH3M_Quote#0000</v>
      </c>
      <c r="E13" s="321"/>
      <c r="F13" s="181"/>
      <c r="H13" s="184"/>
      <c r="I13" s="294" t="s">
        <v>92</v>
      </c>
      <c r="J13" s="278">
        <f>SynthDepo!H39</f>
        <v>2.1618883927454805E-3</v>
      </c>
      <c r="K13" s="185"/>
      <c r="L13" s="284">
        <v>2.2539415818788868E-3</v>
      </c>
      <c r="M13" s="183"/>
      <c r="N13" s="288">
        <v>2.1618883927454805E-3</v>
      </c>
      <c r="O13" s="289">
        <f>_xll.qlSimpleQuoteSetValue(D13,ROUND($N13,6),EvaluationDate)</f>
        <v>0</v>
      </c>
      <c r="P13" s="176"/>
    </row>
    <row r="14" spans="1:16" ht="12" thickBot="1" x14ac:dyDescent="0.25">
      <c r="A14" s="180"/>
      <c r="B14" s="329" t="s">
        <v>93</v>
      </c>
      <c r="C14" s="274" t="str">
        <f t="shared" si="2"/>
        <v>EUR3MD_SYNTH3M_Quote</v>
      </c>
      <c r="D14" s="330" t="str">
        <f>_xll.qlSimpleQuote(C14,,RateTickValue,Permanent,EvaluationDate,ObjectOverwrite)</f>
        <v>EUR3MD_SYNTH3M_Quote#0000</v>
      </c>
      <c r="E14" s="322"/>
      <c r="F14" s="181"/>
      <c r="H14" s="184"/>
      <c r="I14" s="296" t="s">
        <v>93</v>
      </c>
      <c r="J14" s="282">
        <f>SynthDepo!H40</f>
        <v>2.0799999999999998E-3</v>
      </c>
      <c r="K14" s="185"/>
      <c r="L14" s="286">
        <v>2.1318241815896088E-3</v>
      </c>
      <c r="M14" s="183"/>
      <c r="N14" s="292">
        <v>2.0799999999999998E-3</v>
      </c>
      <c r="O14" s="293">
        <f>_xll.qlSimpleQuoteSetValue(D14,ROUND($N14,6),EvaluationDate)</f>
        <v>0</v>
      </c>
      <c r="P14" s="176"/>
    </row>
    <row r="15" spans="1:16" x14ac:dyDescent="0.2">
      <c r="A15" s="335">
        <v>6</v>
      </c>
      <c r="B15" s="339" t="s">
        <v>86</v>
      </c>
      <c r="C15" s="324" t="str">
        <f t="shared" ref="C15:C24" si="3">Currency&amp;$B15&amp;"_SYNTH"&amp;Tenor6M&amp;QuoteSuffix</f>
        <v>EURSND_SYNTH6M_Quote</v>
      </c>
      <c r="D15" s="325" t="str">
        <f>_xll.qlSimpleQuote(C15,,RateTickValue,Permanent,EvaluationDate,ObjectOverwrite)</f>
        <v>EURSND_SYNTH6M_Quote#0000</v>
      </c>
      <c r="E15" s="319" t="str">
        <f>_xll.ohRangeRetrieveError(D15)</f>
        <v/>
      </c>
      <c r="F15" s="181"/>
      <c r="H15" s="184"/>
      <c r="I15" s="299" t="s">
        <v>86</v>
      </c>
      <c r="J15" s="300">
        <f>SynthDepo!I34</f>
        <v>2.993862935380323E-3</v>
      </c>
      <c r="K15" s="185"/>
      <c r="L15" s="301">
        <v>4.2220399232639006E-3</v>
      </c>
      <c r="M15" s="183"/>
      <c r="N15" s="302">
        <v>2.993862935380323E-3</v>
      </c>
      <c r="O15" s="303">
        <f>_xll.qlSimpleQuoteSetValue(D15,ROUND($N15,6),EvaluationDate)</f>
        <v>0</v>
      </c>
      <c r="P15" s="355">
        <f>_xll.ohTrigger(O15:O24)</f>
        <v>9</v>
      </c>
    </row>
    <row r="16" spans="1:16" x14ac:dyDescent="0.2">
      <c r="A16" s="336" t="str">
        <f>_xll.qlPeriodEquivalent(Months6M&amp;"M")</f>
        <v>6M</v>
      </c>
      <c r="B16" s="340" t="s">
        <v>88</v>
      </c>
      <c r="C16" s="179" t="str">
        <f t="shared" si="3"/>
        <v>EURSWD_SYNTH6M_Quote</v>
      </c>
      <c r="D16" s="327" t="str">
        <f>_xll.qlSimpleQuote(C16,,RateTickValue,Permanent,EvaluationDate,ObjectOverwrite)</f>
        <v>EURSWD_SYNTH6M_Quote#0000</v>
      </c>
      <c r="E16" s="320" t="str">
        <f>_xll.ohRangeRetrieveError(D16)</f>
        <v/>
      </c>
      <c r="F16" s="181"/>
      <c r="H16" s="184"/>
      <c r="I16" s="294" t="s">
        <v>88</v>
      </c>
      <c r="J16" s="278">
        <f>SynthDepo!I35</f>
        <v>2.8211793573251426E-3</v>
      </c>
      <c r="K16" s="185"/>
      <c r="L16" s="284">
        <v>4.0713063897154815E-3</v>
      </c>
      <c r="M16" s="183"/>
      <c r="N16" s="288">
        <v>2.8211793573251426E-3</v>
      </c>
      <c r="O16" s="289">
        <f>_xll.qlSimpleQuoteSetValue(D16,ROUND($N16,6),EvaluationDate)</f>
        <v>0</v>
      </c>
      <c r="P16" s="186"/>
    </row>
    <row r="17" spans="1:16" x14ac:dyDescent="0.2">
      <c r="A17" s="342"/>
      <c r="B17" s="340" t="s">
        <v>89</v>
      </c>
      <c r="C17" s="179" t="str">
        <f t="shared" si="3"/>
        <v>EUR2WD_SYNTH6M_Quote</v>
      </c>
      <c r="D17" s="327" t="str">
        <f>_xll.qlSimpleQuote(C17,,RateTickValue,Permanent,EvaluationDate,ObjectOverwrite)</f>
        <v>EUR2WD_SYNTH6M_Quote#0000</v>
      </c>
      <c r="E17" s="320" t="str">
        <f>_xll.ohRangeRetrieveError(D17)</f>
        <v/>
      </c>
      <c r="F17" s="181"/>
      <c r="H17" s="182"/>
      <c r="I17" s="294" t="s">
        <v>89</v>
      </c>
      <c r="J17" s="278">
        <f>SynthDepo!I36</f>
        <v>2.8981550206609759E-3</v>
      </c>
      <c r="K17" s="185"/>
      <c r="L17" s="284">
        <v>4.0512878571078471E-3</v>
      </c>
      <c r="M17" s="183"/>
      <c r="N17" s="288">
        <v>2.8981550206609759E-3</v>
      </c>
      <c r="O17" s="289">
        <f>_xll.qlSimpleQuoteSetValue(D17,ROUND($N17,6),EvaluationDate)</f>
        <v>0</v>
      </c>
      <c r="P17" s="186"/>
    </row>
    <row r="18" spans="1:16" x14ac:dyDescent="0.2">
      <c r="A18" s="343"/>
      <c r="B18" s="340" t="s">
        <v>90</v>
      </c>
      <c r="C18" s="179" t="str">
        <f t="shared" si="3"/>
        <v>EUR3WD_SYNTH6M_Quote</v>
      </c>
      <c r="D18" s="327" t="str">
        <f>_xll.qlSimpleQuote(C18,,RateTickValue,Permanent,EvaluationDate,ObjectOverwrite)</f>
        <v>EUR3WD_SYNTH6M_Quote#0000</v>
      </c>
      <c r="E18" s="320" t="str">
        <f>_xll.ohRangeRetrieveError(D18)</f>
        <v/>
      </c>
      <c r="F18" s="181"/>
      <c r="H18" s="182"/>
      <c r="I18" s="294" t="s">
        <v>90</v>
      </c>
      <c r="J18" s="278">
        <f>SynthDepo!I37</f>
        <v>2.9252456301193715E-3</v>
      </c>
      <c r="K18" s="185"/>
      <c r="L18" s="284">
        <v>3.9739658641147809E-3</v>
      </c>
      <c r="M18" s="183"/>
      <c r="N18" s="288">
        <v>2.9252456301193715E-3</v>
      </c>
      <c r="O18" s="289">
        <f>_xll.qlSimpleQuoteSetValue(D18,ROUND($N18,6),EvaluationDate)</f>
        <v>0</v>
      </c>
      <c r="P18" s="186"/>
    </row>
    <row r="19" spans="1:16" x14ac:dyDescent="0.2">
      <c r="A19" s="343"/>
      <c r="B19" s="340" t="s">
        <v>91</v>
      </c>
      <c r="C19" s="179" t="str">
        <f t="shared" si="3"/>
        <v>EUR1MD_SYNTH6M_Quote</v>
      </c>
      <c r="D19" s="327" t="str">
        <f>_xll.qlSimpleQuote(C19,,RateTickValue,Permanent,EvaluationDate,ObjectOverwrite)</f>
        <v>EUR1MD_SYNTH6M_Quote#0000</v>
      </c>
      <c r="E19" s="320" t="str">
        <f>_xll.ohRangeRetrieveError(D19)</f>
        <v/>
      </c>
      <c r="F19" s="181"/>
      <c r="H19" s="182"/>
      <c r="I19" s="294" t="s">
        <v>91</v>
      </c>
      <c r="J19" s="278">
        <f>SynthDepo!I38</f>
        <v>3.1012887542797426E-3</v>
      </c>
      <c r="K19" s="185"/>
      <c r="L19" s="284">
        <v>3.908514131294321E-3</v>
      </c>
      <c r="M19" s="183"/>
      <c r="N19" s="288">
        <v>3.1012887542797426E-3</v>
      </c>
      <c r="O19" s="289">
        <f>_xll.qlSimpleQuoteSetValue(D19,ROUND($N19,6),EvaluationDate)</f>
        <v>0</v>
      </c>
      <c r="P19" s="186"/>
    </row>
    <row r="20" spans="1:16" x14ac:dyDescent="0.2">
      <c r="A20" s="343"/>
      <c r="B20" s="340" t="s">
        <v>92</v>
      </c>
      <c r="C20" s="179" t="str">
        <f t="shared" si="3"/>
        <v>EUR2MD_SYNTH6M_Quote</v>
      </c>
      <c r="D20" s="327" t="str">
        <f>_xll.qlSimpleQuote(C20,,RateTickValue,Permanent,EvaluationDate,ObjectOverwrite)</f>
        <v>EUR2MD_SYNTH6M_Quote#0000</v>
      </c>
      <c r="E20" s="320" t="str">
        <f>_xll.ohRangeRetrieveError(D20)</f>
        <v/>
      </c>
      <c r="F20" s="181"/>
      <c r="H20" s="182"/>
      <c r="I20" s="294" t="s">
        <v>92</v>
      </c>
      <c r="J20" s="278">
        <f>SynthDepo!I39</f>
        <v>3.1305132202003837E-3</v>
      </c>
      <c r="K20" s="185"/>
      <c r="L20" s="284">
        <v>3.6766611779947174E-3</v>
      </c>
      <c r="M20" s="183"/>
      <c r="N20" s="288">
        <v>3.1305132202003837E-3</v>
      </c>
      <c r="O20" s="289">
        <f>_xll.qlSimpleQuoteSetValue(D20,ROUND($N20,6),EvaluationDate)</f>
        <v>0</v>
      </c>
      <c r="P20" s="186"/>
    </row>
    <row r="21" spans="1:16" x14ac:dyDescent="0.2">
      <c r="A21" s="343"/>
      <c r="B21" s="340" t="s">
        <v>93</v>
      </c>
      <c r="C21" s="179" t="str">
        <f t="shared" si="3"/>
        <v>EUR3MD_SYNTH6M_Quote</v>
      </c>
      <c r="D21" s="327" t="str">
        <f>_xll.qlSimpleQuote(C21,,RateTickValue,Permanent,EvaluationDate,ObjectOverwrite)</f>
        <v>EUR3MD_SYNTH6M_Quote#0000</v>
      </c>
      <c r="E21" s="320" t="str">
        <f>_xll.ohRangeRetrieveError(D21)</f>
        <v/>
      </c>
      <c r="F21" s="181"/>
      <c r="H21" s="182"/>
      <c r="I21" s="294" t="s">
        <v>93</v>
      </c>
      <c r="J21" s="278">
        <f>SynthDepo!I40</f>
        <v>3.0922317271677084E-3</v>
      </c>
      <c r="K21" s="185"/>
      <c r="L21" s="284">
        <v>3.5220817831563404E-3</v>
      </c>
      <c r="M21" s="183"/>
      <c r="N21" s="288">
        <v>3.0922317271677084E-3</v>
      </c>
      <c r="O21" s="289">
        <f>_xll.qlSimpleQuoteSetValue(D21,ROUND($N21,6),EvaluationDate)</f>
        <v>0</v>
      </c>
      <c r="P21" s="186"/>
    </row>
    <row r="22" spans="1:16" x14ac:dyDescent="0.2">
      <c r="A22" s="343"/>
      <c r="B22" s="340" t="s">
        <v>94</v>
      </c>
      <c r="C22" s="179" t="str">
        <f t="shared" si="3"/>
        <v>EUR4MD_SYNTH6M_Quote</v>
      </c>
      <c r="D22" s="327" t="str">
        <f>_xll.qlSimpleQuote(C22,,RateTickValue,Permanent,EvaluationDate,ObjectOverwrite)</f>
        <v>EUR4MD_SYNTH6M_Quote#0000</v>
      </c>
      <c r="E22" s="320" t="str">
        <f>_xll.ohRangeRetrieveError(D22)</f>
        <v/>
      </c>
      <c r="F22" s="181"/>
      <c r="H22" s="182"/>
      <c r="I22" s="294" t="s">
        <v>94</v>
      </c>
      <c r="J22" s="278">
        <f>SynthDepo!I41</f>
        <v>3.096061489716485E-3</v>
      </c>
      <c r="K22" s="185"/>
      <c r="L22" s="284">
        <v>3.3484610346119787E-3</v>
      </c>
      <c r="M22" s="183"/>
      <c r="N22" s="288">
        <v>3.096061489716485E-3</v>
      </c>
      <c r="O22" s="289">
        <f>_xll.qlSimpleQuoteSetValue(D22,ROUND($N22,6),EvaluationDate)</f>
        <v>0</v>
      </c>
      <c r="P22" s="186"/>
    </row>
    <row r="23" spans="1:16" x14ac:dyDescent="0.2">
      <c r="A23" s="343"/>
      <c r="B23" s="340" t="s">
        <v>95</v>
      </c>
      <c r="C23" s="179" t="str">
        <f t="shared" si="3"/>
        <v>EUR5MD_SYNTH6M_Quote</v>
      </c>
      <c r="D23" s="327" t="str">
        <f>_xll.qlSimpleQuote(C23,,RateTickValue,Permanent,EvaluationDate,ObjectOverwrite)</f>
        <v>EUR5MD_SYNTH6M_Quote#0000</v>
      </c>
      <c r="E23" s="320" t="str">
        <f>_xll.ohRangeRetrieveError(D23)</f>
        <v/>
      </c>
      <c r="F23" s="181"/>
      <c r="H23" s="182"/>
      <c r="I23" s="294" t="s">
        <v>95</v>
      </c>
      <c r="J23" s="278">
        <f>SynthDepo!I42</f>
        <v>3.0919035689622671E-3</v>
      </c>
      <c r="K23" s="185"/>
      <c r="L23" s="284">
        <v>3.1771900169376868E-3</v>
      </c>
      <c r="M23" s="183"/>
      <c r="N23" s="288">
        <v>3.0919035689622671E-3</v>
      </c>
      <c r="O23" s="289">
        <f>_xll.qlSimpleQuoteSetValue(D23,ROUND($N23,6),EvaluationDate)</f>
        <v>0</v>
      </c>
      <c r="P23" s="186"/>
    </row>
    <row r="24" spans="1:16" ht="12" thickBot="1" x14ac:dyDescent="0.25">
      <c r="A24" s="344"/>
      <c r="B24" s="334" t="s">
        <v>96</v>
      </c>
      <c r="C24" s="274" t="str">
        <f t="shared" si="3"/>
        <v>EUR6MD_SYNTH6M_Quote</v>
      </c>
      <c r="D24" s="341" t="str">
        <f>_xll.qlSimpleQuote(C24,,RateTickValue,Permanent,EvaluationDate,ObjectOverwrite)</f>
        <v>EUR6MD_SYNTH6M_Quote#0000</v>
      </c>
      <c r="E24" s="320" t="str">
        <f>_xll.ohRangeRetrieveError(D24)</f>
        <v/>
      </c>
      <c r="F24" s="181"/>
      <c r="H24" s="182"/>
      <c r="I24" s="296" t="s">
        <v>96</v>
      </c>
      <c r="J24" s="282">
        <f>SynthDepo!I43</f>
        <v>3.0799999999999907E-3</v>
      </c>
      <c r="K24" s="185"/>
      <c r="L24" s="286">
        <v>3.0678384022315808E-3</v>
      </c>
      <c r="M24" s="183"/>
      <c r="N24" s="292">
        <v>3.0799999999999907E-3</v>
      </c>
      <c r="O24" s="293">
        <f>_xll.qlSimpleQuoteSetValue(D24,ROUND($N24,6),EvaluationDate)</f>
        <v>0</v>
      </c>
      <c r="P24" s="186"/>
    </row>
    <row r="25" spans="1:16" x14ac:dyDescent="0.2">
      <c r="A25" s="335">
        <v>12</v>
      </c>
      <c r="B25" s="323" t="s">
        <v>86</v>
      </c>
      <c r="C25" s="324" t="str">
        <f t="shared" ref="C25:C40" si="4">Currency&amp;$B25&amp;"_SYNTH"&amp;Tenor12M&amp;QuoteSuffix</f>
        <v>EURSND_SYNTH1Y_Quote</v>
      </c>
      <c r="D25" s="325" t="str">
        <f>_xll.qlSimpleQuote(C25,,RateTickValue,Permanent,EvaluationDate,ObjectOverwrite)</f>
        <v>EURSND_SYNTH1Y_Quote#0000</v>
      </c>
      <c r="E25" s="319" t="str">
        <f>_xll.ohRangeRetrieveError(D25)</f>
        <v/>
      </c>
      <c r="F25" s="190"/>
      <c r="H25" s="184"/>
      <c r="I25" s="304" t="s">
        <v>86</v>
      </c>
      <c r="J25" s="300">
        <f>SynthDepo!J34</f>
        <v>4.725307653771901E-3</v>
      </c>
      <c r="K25" s="185"/>
      <c r="L25" s="301">
        <v>5.1093588937015039E-3</v>
      </c>
      <c r="M25" s="183"/>
      <c r="N25" s="302">
        <v>4.725307653771901E-3</v>
      </c>
      <c r="O25" s="303">
        <f>_xll.qlSimpleQuoteSetValue(D25,ROUND($N25,6),EvaluationDate)</f>
        <v>0</v>
      </c>
      <c r="P25" s="355">
        <f>_xll.ohTrigger(O25:O40)</f>
        <v>9</v>
      </c>
    </row>
    <row r="26" spans="1:16" x14ac:dyDescent="0.2">
      <c r="A26" s="336" t="str">
        <f>_xll.qlPeriodEquivalent(Months12M&amp;"M")</f>
        <v>1Y</v>
      </c>
      <c r="B26" s="326" t="s">
        <v>88</v>
      </c>
      <c r="C26" s="179" t="str">
        <f t="shared" si="4"/>
        <v>EURSWD_SYNTH1Y_Quote</v>
      </c>
      <c r="D26" s="327" t="str">
        <f>_xll.qlSimpleQuote(C26,,RateTickValue,Permanent,EvaluationDate,ObjectOverwrite)</f>
        <v>EURSWD_SYNTH1Y_Quote#0000</v>
      </c>
      <c r="E26" s="320" t="str">
        <f>_xll.ohRangeRetrieveError(D26)</f>
        <v/>
      </c>
      <c r="F26" s="190"/>
      <c r="H26" s="184"/>
      <c r="I26" s="305" t="s">
        <v>88</v>
      </c>
      <c r="J26" s="278">
        <f>SynthDepo!J35</f>
        <v>4.5570335467854531E-3</v>
      </c>
      <c r="K26" s="185"/>
      <c r="L26" s="284">
        <v>5.0245427018238776E-3</v>
      </c>
      <c r="M26" s="183"/>
      <c r="N26" s="288">
        <v>4.5570335467854531E-3</v>
      </c>
      <c r="O26" s="289">
        <f>_xll.qlSimpleQuoteSetValue(D26,ROUND($N26,6),EvaluationDate)</f>
        <v>0</v>
      </c>
      <c r="P26" s="186"/>
    </row>
    <row r="27" spans="1:16" x14ac:dyDescent="0.2">
      <c r="A27" s="343"/>
      <c r="B27" s="326" t="s">
        <v>89</v>
      </c>
      <c r="C27" s="179" t="str">
        <f t="shared" si="4"/>
        <v>EUR2WD_SYNTH1Y_Quote</v>
      </c>
      <c r="D27" s="327" t="str">
        <f>_xll.qlSimpleQuote(C27,,RateTickValue,Permanent,EvaluationDate,ObjectOverwrite)</f>
        <v>EUR2WD_SYNTH1Y_Quote#0000</v>
      </c>
      <c r="E27" s="320" t="str">
        <f>_xll.ohRangeRetrieveError(D27)</f>
        <v/>
      </c>
      <c r="F27" s="190"/>
      <c r="H27" s="182"/>
      <c r="I27" s="305" t="s">
        <v>89</v>
      </c>
      <c r="J27" s="278">
        <f>SynthDepo!J36</f>
        <v>4.6390468573360146E-3</v>
      </c>
      <c r="K27" s="185"/>
      <c r="L27" s="284">
        <v>5.0789238072630723E-3</v>
      </c>
      <c r="M27" s="183"/>
      <c r="N27" s="288">
        <v>4.6390468573360146E-3</v>
      </c>
      <c r="O27" s="289">
        <f>_xll.qlSimpleQuoteSetValue(D27,ROUND($N27,6),EvaluationDate)</f>
        <v>0</v>
      </c>
      <c r="P27" s="186"/>
    </row>
    <row r="28" spans="1:16" x14ac:dyDescent="0.2">
      <c r="A28" s="343"/>
      <c r="B28" s="326" t="s">
        <v>90</v>
      </c>
      <c r="C28" s="179" t="str">
        <f t="shared" si="4"/>
        <v>EUR3WD_SYNTH1Y_Quote</v>
      </c>
      <c r="D28" s="327" t="str">
        <f>_xll.qlSimpleQuote(C28,,RateTickValue,Permanent,EvaluationDate,ObjectOverwrite)</f>
        <v>EUR3WD_SYNTH1Y_Quote#0000</v>
      </c>
      <c r="E28" s="320" t="str">
        <f>_xll.ohRangeRetrieveError(D28)</f>
        <v/>
      </c>
      <c r="F28" s="190"/>
      <c r="H28" s="182"/>
      <c r="I28" s="305" t="s">
        <v>90</v>
      </c>
      <c r="J28" s="278">
        <f>SynthDepo!J37</f>
        <v>4.6710601678719736E-3</v>
      </c>
      <c r="K28" s="185"/>
      <c r="L28" s="284">
        <v>5.0733049152937052E-3</v>
      </c>
      <c r="M28" s="183"/>
      <c r="N28" s="288">
        <v>4.6710601678719736E-3</v>
      </c>
      <c r="O28" s="289">
        <f>_xll.qlSimpleQuoteSetValue(D28,ROUND($N28,6),EvaluationDate)</f>
        <v>0</v>
      </c>
      <c r="P28" s="186"/>
    </row>
    <row r="29" spans="1:16" x14ac:dyDescent="0.2">
      <c r="A29" s="343"/>
      <c r="B29" s="326" t="s">
        <v>91</v>
      </c>
      <c r="C29" s="179" t="str">
        <f t="shared" si="4"/>
        <v>EUR1MD_SYNTH1Y_Quote</v>
      </c>
      <c r="D29" s="327" t="str">
        <f>_xll.qlSimpleQuote(C29,,RateTickValue,Permanent,EvaluationDate,ObjectOverwrite)</f>
        <v>EUR1MD_SYNTH1Y_Quote#0000</v>
      </c>
      <c r="E29" s="320" t="str">
        <f>_xll.ohRangeRetrieveError(D29)</f>
        <v/>
      </c>
      <c r="F29" s="190"/>
      <c r="H29" s="182"/>
      <c r="I29" s="306" t="s">
        <v>91</v>
      </c>
      <c r="J29" s="280">
        <f>SynthDepo!J38</f>
        <v>4.8539363257827633E-3</v>
      </c>
      <c r="K29" s="185"/>
      <c r="L29" s="285">
        <v>5.0960806253064622E-3</v>
      </c>
      <c r="M29" s="183"/>
      <c r="N29" s="290">
        <v>4.8539363257827633E-3</v>
      </c>
      <c r="O29" s="291">
        <f>_xll.qlSimpleQuoteSetValue(D29,ROUND($N29,6),EvaluationDate)</f>
        <v>0</v>
      </c>
      <c r="P29" s="186"/>
    </row>
    <row r="30" spans="1:16" x14ac:dyDescent="0.2">
      <c r="A30" s="343"/>
      <c r="B30" s="326" t="s">
        <v>92</v>
      </c>
      <c r="C30" s="179" t="str">
        <f t="shared" si="4"/>
        <v>EUR2MD_SYNTH1Y_Quote</v>
      </c>
      <c r="D30" s="327" t="str">
        <f>_xll.qlSimpleQuote(C30,,RateTickValue,Permanent,EvaluationDate,ObjectOverwrite)</f>
        <v>EUR2MD_SYNTH1Y_Quote#0000</v>
      </c>
      <c r="E30" s="320" t="str">
        <f>_xll.ohRangeRetrieveError(D30)</f>
        <v/>
      </c>
      <c r="F30" s="190"/>
      <c r="H30" s="182"/>
      <c r="I30" s="305" t="s">
        <v>92</v>
      </c>
      <c r="J30" s="278">
        <f>SynthDepo!J39</f>
        <v>4.902852415305874E-3</v>
      </c>
      <c r="K30" s="185"/>
      <c r="L30" s="284">
        <v>5.149591557830107E-3</v>
      </c>
      <c r="M30" s="183"/>
      <c r="N30" s="288">
        <v>4.902852415305874E-3</v>
      </c>
      <c r="O30" s="289">
        <f>_xll.qlSimpleQuoteSetValue(D30,ROUND($N30,6),EvaluationDate)</f>
        <v>0</v>
      </c>
      <c r="P30" s="355"/>
    </row>
    <row r="31" spans="1:16" x14ac:dyDescent="0.2">
      <c r="A31" s="343"/>
      <c r="B31" s="326" t="s">
        <v>93</v>
      </c>
      <c r="C31" s="179" t="str">
        <f t="shared" si="4"/>
        <v>EUR3MD_SYNTH1Y_Quote</v>
      </c>
      <c r="D31" s="327" t="str">
        <f>_xll.qlSimpleQuote(C31,,RateTickValue,Permanent,EvaluationDate,ObjectOverwrite)</f>
        <v>EUR3MD_SYNTH1Y_Quote#0000</v>
      </c>
      <c r="E31" s="320" t="str">
        <f>_xll.ohRangeRetrieveError(D31)</f>
        <v/>
      </c>
      <c r="F31" s="190"/>
      <c r="H31" s="182"/>
      <c r="I31" s="305" t="s">
        <v>93</v>
      </c>
      <c r="J31" s="278">
        <f>SynthDepo!J40</f>
        <v>4.8814808890375013E-3</v>
      </c>
      <c r="K31" s="185"/>
      <c r="L31" s="284">
        <v>5.1963132872277469E-3</v>
      </c>
      <c r="M31" s="183"/>
      <c r="N31" s="288">
        <v>4.8814808890375013E-3</v>
      </c>
      <c r="O31" s="289">
        <f>_xll.qlSimpleQuoteSetValue(D31,ROUND($N31,6),EvaluationDate)</f>
        <v>0</v>
      </c>
      <c r="P31" s="186"/>
    </row>
    <row r="32" spans="1:16" x14ac:dyDescent="0.2">
      <c r="A32" s="343"/>
      <c r="B32" s="326" t="s">
        <v>94</v>
      </c>
      <c r="C32" s="179" t="str">
        <f t="shared" si="4"/>
        <v>EUR4MD_SYNTH1Y_Quote</v>
      </c>
      <c r="D32" s="327" t="str">
        <f>_xll.qlSimpleQuote(C32,,RateTickValue,Permanent,EvaluationDate,ObjectOverwrite)</f>
        <v>EUR4MD_SYNTH1Y_Quote#0000</v>
      </c>
      <c r="E32" s="320" t="str">
        <f>_xll.ohRangeRetrieveError(D32)</f>
        <v/>
      </c>
      <c r="F32" s="190"/>
      <c r="H32" s="182"/>
      <c r="I32" s="305" t="s">
        <v>94</v>
      </c>
      <c r="J32" s="278">
        <f>SynthDepo!J41</f>
        <v>4.9001093627700212E-3</v>
      </c>
      <c r="K32" s="185"/>
      <c r="L32" s="284">
        <v>5.182232320476713E-3</v>
      </c>
      <c r="M32" s="183"/>
      <c r="N32" s="288">
        <v>4.9001093627700212E-3</v>
      </c>
      <c r="O32" s="289">
        <f>_xll.qlSimpleQuoteSetValue(D32,ROUND($N32,6),EvaluationDate)</f>
        <v>0</v>
      </c>
      <c r="P32" s="186"/>
    </row>
    <row r="33" spans="1:16" x14ac:dyDescent="0.2">
      <c r="A33" s="343"/>
      <c r="B33" s="326" t="s">
        <v>95</v>
      </c>
      <c r="C33" s="179" t="str">
        <f t="shared" si="4"/>
        <v>EUR5MD_SYNTH1Y_Quote</v>
      </c>
      <c r="D33" s="327" t="str">
        <f>_xll.qlSimpleQuote(C33,,RateTickValue,Permanent,EvaluationDate,ObjectOverwrite)</f>
        <v>EUR5MD_SYNTH1Y_Quote#0000</v>
      </c>
      <c r="E33" s="320" t="str">
        <f>_xll.ohRangeRetrieveError(D33)</f>
        <v/>
      </c>
      <c r="F33" s="190"/>
      <c r="H33" s="184"/>
      <c r="I33" s="305" t="s">
        <v>95</v>
      </c>
      <c r="J33" s="278">
        <f>SynthDepo!J42</f>
        <v>4.9090254522929809E-3</v>
      </c>
      <c r="K33" s="185"/>
      <c r="L33" s="284">
        <v>5.1265459531722127E-3</v>
      </c>
      <c r="M33" s="183"/>
      <c r="N33" s="288">
        <v>4.9090254522929809E-3</v>
      </c>
      <c r="O33" s="289">
        <f>_xll.qlSimpleQuoteSetValue(D33,ROUND($N33,6),EvaluationDate)</f>
        <v>0</v>
      </c>
      <c r="P33" s="186"/>
    </row>
    <row r="34" spans="1:16" x14ac:dyDescent="0.2">
      <c r="A34" s="343"/>
      <c r="B34" s="326" t="s">
        <v>96</v>
      </c>
      <c r="C34" s="179" t="str">
        <f t="shared" si="4"/>
        <v>EUR6MD_SYNTH1Y_Quote</v>
      </c>
      <c r="D34" s="327" t="str">
        <f>_xll.qlSimpleQuote(C34,,RateTickValue,Permanent,EvaluationDate,ObjectOverwrite)</f>
        <v>EUR6MD_SYNTH1Y_Quote#0000</v>
      </c>
      <c r="E34" s="320" t="str">
        <f>_xll.ohRangeRetrieveError(D34)</f>
        <v/>
      </c>
      <c r="F34" s="190"/>
      <c r="H34" s="184"/>
      <c r="I34" s="305" t="s">
        <v>96</v>
      </c>
      <c r="J34" s="278">
        <f>SynthDepo!J43</f>
        <v>4.9079415418157501E-3</v>
      </c>
      <c r="K34" s="185"/>
      <c r="L34" s="284">
        <v>5.0732676830278463E-3</v>
      </c>
      <c r="M34" s="183"/>
      <c r="N34" s="288">
        <v>4.9079415418157501E-3</v>
      </c>
      <c r="O34" s="289">
        <f>_xll.qlSimpleQuoteSetValue(D34,ROUND($N34,6),EvaluationDate)</f>
        <v>0</v>
      </c>
      <c r="P34" s="186"/>
    </row>
    <row r="35" spans="1:16" x14ac:dyDescent="0.2">
      <c r="A35" s="343"/>
      <c r="B35" s="326" t="s">
        <v>97</v>
      </c>
      <c r="C35" s="179" t="str">
        <f t="shared" si="4"/>
        <v>EUR7MD_SYNTH1Y_Quote</v>
      </c>
      <c r="D35" s="327" t="str">
        <f>_xll.qlSimpleQuote(C35,,RateTickValue,Permanent,EvaluationDate,ObjectOverwrite)</f>
        <v>EUR7MD_SYNTH1Y_Quote#0000</v>
      </c>
      <c r="E35" s="320" t="str">
        <f>_xll.ohRangeRetrieveError(D35)</f>
        <v/>
      </c>
      <c r="F35" s="190"/>
      <c r="H35" s="184"/>
      <c r="I35" s="305" t="s">
        <v>97</v>
      </c>
      <c r="J35" s="278">
        <f>SynthDepo!J44</f>
        <v>4.9359947839665895E-3</v>
      </c>
      <c r="K35" s="185"/>
      <c r="L35" s="284">
        <v>5.0383840149423979E-3</v>
      </c>
      <c r="M35" s="183"/>
      <c r="N35" s="288">
        <v>4.9359947839665895E-3</v>
      </c>
      <c r="O35" s="289">
        <f>_xll.qlSimpleQuoteSetValue(D35,ROUND($N35,6),EvaluationDate)</f>
        <v>0</v>
      </c>
      <c r="P35" s="186"/>
    </row>
    <row r="36" spans="1:16" x14ac:dyDescent="0.2">
      <c r="A36" s="343"/>
      <c r="B36" s="326" t="s">
        <v>98</v>
      </c>
      <c r="C36" s="179" t="str">
        <f t="shared" si="4"/>
        <v>EUR8MD_SYNTH1Y_Quote</v>
      </c>
      <c r="D36" s="327" t="str">
        <f>_xll.qlSimpleQuote(C36,,RateTickValue,Permanent,EvaluationDate,ObjectOverwrite)</f>
        <v>EUR8MD_SYNTH1Y_Quote#0000</v>
      </c>
      <c r="E36" s="320" t="str">
        <f>_xll.ohRangeRetrieveError(D36)</f>
        <v/>
      </c>
      <c r="F36" s="190"/>
      <c r="H36" s="184"/>
      <c r="I36" s="305" t="s">
        <v>98</v>
      </c>
      <c r="J36" s="278">
        <f>SynthDepo!J45</f>
        <v>4.9354861050721725E-3</v>
      </c>
      <c r="K36" s="185"/>
      <c r="L36" s="284">
        <v>5.0135003466961862E-3</v>
      </c>
      <c r="M36" s="183"/>
      <c r="N36" s="288">
        <v>4.9354861050721725E-3</v>
      </c>
      <c r="O36" s="289">
        <f>_xll.qlSimpleQuoteSetValue(D36,ROUND($N36,6),EvaluationDate)</f>
        <v>0</v>
      </c>
      <c r="P36" s="186"/>
    </row>
    <row r="37" spans="1:16" x14ac:dyDescent="0.2">
      <c r="A37" s="347"/>
      <c r="B37" s="326" t="s">
        <v>99</v>
      </c>
      <c r="C37" s="179" t="str">
        <f t="shared" si="4"/>
        <v>EUR9MD_SYNTH1Y_Quote</v>
      </c>
      <c r="D37" s="327" t="str">
        <f>_xll.qlSimpleQuote(C37,,RateTickValue,Permanent,EvaluationDate,ObjectOverwrite)</f>
        <v>EUR9MD_SYNTH1Y_Quote#0000</v>
      </c>
      <c r="E37" s="320" t="str">
        <f>_xll.ohRangeRetrieveError(D37)</f>
        <v/>
      </c>
      <c r="F37" s="190"/>
      <c r="H37" s="184"/>
      <c r="I37" s="305" t="s">
        <v>99</v>
      </c>
      <c r="J37" s="278">
        <f>SynthDepo!J46</f>
        <v>4.923539347221069E-3</v>
      </c>
      <c r="K37" s="185"/>
      <c r="L37" s="284">
        <v>4.9810247755534866E-3</v>
      </c>
      <c r="M37" s="183"/>
      <c r="N37" s="288">
        <v>4.923539347221069E-3</v>
      </c>
      <c r="O37" s="289">
        <f>_xll.qlSimpleQuoteSetValue(D37,ROUND($N37,6),EvaluationDate)</f>
        <v>0</v>
      </c>
      <c r="P37" s="186"/>
    </row>
    <row r="38" spans="1:16" x14ac:dyDescent="0.2">
      <c r="A38" s="348"/>
      <c r="B38" s="326" t="s">
        <v>100</v>
      </c>
      <c r="C38" s="179" t="str">
        <f t="shared" si="4"/>
        <v>EUR10MD_SYNTH1Y_Quote</v>
      </c>
      <c r="D38" s="327" t="str">
        <f>_xll.qlSimpleQuote(C38,,RateTickValue,Permanent,EvaluationDate,ObjectOverwrite)</f>
        <v>EUR10MD_SYNTH1Y_Quote#0000</v>
      </c>
      <c r="E38" s="320" t="str">
        <f>_xll.ohRangeRetrieveError(D38)</f>
        <v/>
      </c>
      <c r="F38" s="190"/>
      <c r="H38" s="184"/>
      <c r="I38" s="305" t="s">
        <v>100</v>
      </c>
      <c r="J38" s="278">
        <f>SynthDepo!J47</f>
        <v>4.9124554367441092E-3</v>
      </c>
      <c r="K38" s="185"/>
      <c r="L38" s="284">
        <v>4.9561411074682312E-3</v>
      </c>
      <c r="M38" s="183"/>
      <c r="N38" s="288">
        <v>4.9124554367441092E-3</v>
      </c>
      <c r="O38" s="289">
        <f>_xll.qlSimpleQuoteSetValue(D38,ROUND($N38,6),EvaluationDate)</f>
        <v>0</v>
      </c>
      <c r="P38" s="186"/>
    </row>
    <row r="39" spans="1:16" x14ac:dyDescent="0.2">
      <c r="A39" s="343"/>
      <c r="B39" s="326" t="s">
        <v>101</v>
      </c>
      <c r="C39" s="179" t="str">
        <f t="shared" si="4"/>
        <v>EUR11MD_SYNTH1Y_Quote</v>
      </c>
      <c r="D39" s="327" t="str">
        <f>_xll.qlSimpleQuote(C39,,RateTickValue,Permanent,EvaluationDate,ObjectOverwrite)</f>
        <v>EUR11MD_SYNTH1Y_Quote#0000</v>
      </c>
      <c r="E39" s="320" t="str">
        <f>_xll.ohRangeRetrieveError(D39)</f>
        <v/>
      </c>
      <c r="F39" s="190"/>
      <c r="H39" s="184"/>
      <c r="I39" s="305" t="s">
        <v>101</v>
      </c>
      <c r="J39" s="278">
        <f>SynthDepo!J48</f>
        <v>4.9013715262672813E-3</v>
      </c>
      <c r="K39" s="185"/>
      <c r="L39" s="284">
        <v>4.9304547404206223E-3</v>
      </c>
      <c r="M39" s="183"/>
      <c r="N39" s="288">
        <v>4.9013715262672813E-3</v>
      </c>
      <c r="O39" s="289">
        <f>_xll.qlSimpleQuoteSetValue(D39,ROUND($N39,6),EvaluationDate)</f>
        <v>0</v>
      </c>
      <c r="P39" s="186"/>
    </row>
    <row r="40" spans="1:16" ht="12" thickBot="1" x14ac:dyDescent="0.25">
      <c r="A40" s="349"/>
      <c r="B40" s="346" t="s">
        <v>102</v>
      </c>
      <c r="C40" s="179" t="str">
        <f t="shared" si="4"/>
        <v>EUR1YD_SYNTH1Y_Quote</v>
      </c>
      <c r="D40" s="327" t="str">
        <f>_xll.qlSimpleQuote(C40,,RateTickValue,Permanent,EvaluationDate,ObjectOverwrite)</f>
        <v>EUR1YD_SYNTH1Y_Quote#0000</v>
      </c>
      <c r="E40" s="320" t="str">
        <f>_xll.ohRangeRetrieveError(D40)</f>
        <v/>
      </c>
      <c r="F40" s="190"/>
      <c r="H40" s="184"/>
      <c r="I40" s="350" t="s">
        <v>102</v>
      </c>
      <c r="J40" s="282">
        <f>SynthDepo!J49</f>
        <v>4.8900000000000002E-3</v>
      </c>
      <c r="K40" s="185"/>
      <c r="L40" s="286">
        <v>4.897176470296776E-3</v>
      </c>
      <c r="M40" s="183"/>
      <c r="N40" s="292">
        <v>4.8900000000000002E-3</v>
      </c>
      <c r="O40" s="293">
        <f>_xll.qlSimpleQuoteSetValue(D40,ROUND($N40,6),EvaluationDate)</f>
        <v>0</v>
      </c>
      <c r="P40" s="355"/>
    </row>
    <row r="41" spans="1:16" x14ac:dyDescent="0.2">
      <c r="A41" s="343">
        <v>1</v>
      </c>
      <c r="B41" s="326" t="str">
        <f t="shared" ref="B41:B84" si="5">A41&amp;"x"&amp;A41+Months12M&amp;"F"</f>
        <v>1x13F</v>
      </c>
      <c r="C41" s="177" t="str">
        <f t="shared" ref="C41:C84" si="6">Currency&amp;$B41&amp;"_SYNTH"&amp;"1Y"&amp;"_Quote"</f>
        <v>EUR1x13F_SYNTH1Y_Quote</v>
      </c>
      <c r="D41" s="345" t="str">
        <f>_xll.qlSimpleQuote(C41,,RateTickValue,Permanent,Trigger,ObjectOverwrite)</f>
        <v>EUR1x13F_SYNTH1Y_Quote#0000</v>
      </c>
      <c r="E41" s="319" t="str">
        <f>_xll.ohRangeRetrieveError(D41)</f>
        <v/>
      </c>
      <c r="F41" s="190"/>
      <c r="H41" s="182">
        <v>1</v>
      </c>
      <c r="I41" s="307" t="str">
        <f t="shared" ref="I41:I84" si="7">H41&amp;"x"&amp;(H41+Months12M)&amp;"F"</f>
        <v>1x13F</v>
      </c>
      <c r="J41" s="308">
        <f>SynthFra!N9</f>
        <v>4.8951566192749416E-3</v>
      </c>
      <c r="K41" s="241"/>
      <c r="L41" s="311">
        <v>4.8406460255806345E-3</v>
      </c>
      <c r="M41" s="242"/>
      <c r="N41" s="313">
        <v>4.8951566192749416E-3</v>
      </c>
      <c r="O41" s="314">
        <f>_xll.qlSimpleQuoteSetValue(D41,ROUND(N41,6),EvaluationDate)</f>
        <v>0</v>
      </c>
      <c r="P41" s="355">
        <f>_xll.ohTrigger(O41:O84)</f>
        <v>9</v>
      </c>
    </row>
    <row r="42" spans="1:16" x14ac:dyDescent="0.2">
      <c r="A42" s="343">
        <v>2</v>
      </c>
      <c r="B42" s="326" t="str">
        <f t="shared" si="5"/>
        <v>2x14F</v>
      </c>
      <c r="C42" s="179" t="str">
        <f t="shared" si="6"/>
        <v>EUR2x14F_SYNTH1Y_Quote</v>
      </c>
      <c r="D42" s="327" t="str">
        <f>_xll.qlSimpleQuote(C42,,RateTickValue,Permanent,Trigger,ObjectOverwrite)</f>
        <v>EUR2x14F_SYNTH1Y_Quote#0000</v>
      </c>
      <c r="E42" s="320" t="str">
        <f>_xll.ohRangeRetrieveError(D42)</f>
        <v/>
      </c>
      <c r="F42" s="190"/>
      <c r="H42" s="182">
        <v>2</v>
      </c>
      <c r="I42" s="307" t="str">
        <f t="shared" si="7"/>
        <v>2x14F</v>
      </c>
      <c r="J42" s="308">
        <f>SynthFra!N10</f>
        <v>4.9007137944365314E-3</v>
      </c>
      <c r="K42" s="242"/>
      <c r="L42" s="311">
        <v>4.7774275903101201E-3</v>
      </c>
      <c r="M42" s="242"/>
      <c r="N42" s="313">
        <v>4.9007137944365314E-3</v>
      </c>
      <c r="O42" s="314">
        <f>_xll.qlSimpleQuoteSetValue(D42,ROUND(N42,6),EvaluationDate)</f>
        <v>0</v>
      </c>
      <c r="P42" s="186"/>
    </row>
    <row r="43" spans="1:16" x14ac:dyDescent="0.2">
      <c r="A43" s="343">
        <v>3</v>
      </c>
      <c r="B43" s="326" t="str">
        <f t="shared" si="5"/>
        <v>3x15F</v>
      </c>
      <c r="C43" s="179" t="str">
        <f t="shared" si="6"/>
        <v>EUR3x15F_SYNTH1Y_Quote</v>
      </c>
      <c r="D43" s="327" t="str">
        <f>_xll.qlSimpleQuote(C43,,RateTickValue,Permanent,Trigger,ObjectOverwrite)</f>
        <v>EUR3x15F_SYNTH1Y_Quote#0000</v>
      </c>
      <c r="E43" s="320" t="str">
        <f>_xll.ohRangeRetrieveError(D43)</f>
        <v/>
      </c>
      <c r="F43" s="190"/>
      <c r="H43" s="182">
        <v>3</v>
      </c>
      <c r="I43" s="307" t="str">
        <f t="shared" si="7"/>
        <v>3x15F</v>
      </c>
      <c r="J43" s="308">
        <f>SynthFra!N11</f>
        <v>4.9211080958799936E-3</v>
      </c>
      <c r="K43" s="242"/>
      <c r="L43" s="311">
        <v>4.7168282468794051E-3</v>
      </c>
      <c r="M43" s="242"/>
      <c r="N43" s="313">
        <v>4.9211080958799936E-3</v>
      </c>
      <c r="O43" s="314">
        <f>_xll.qlSimpleQuoteSetValue(D43,ROUND(N43,6),EvaluationDate)</f>
        <v>0</v>
      </c>
      <c r="P43" s="186"/>
    </row>
    <row r="44" spans="1:16" x14ac:dyDescent="0.2">
      <c r="A44" s="343">
        <v>4</v>
      </c>
      <c r="B44" s="326" t="str">
        <f t="shared" si="5"/>
        <v>4x16F</v>
      </c>
      <c r="C44" s="179" t="str">
        <f t="shared" si="6"/>
        <v>EUR4x16F_SYNTH1Y_Quote</v>
      </c>
      <c r="D44" s="327" t="str">
        <f>_xll.qlSimpleQuote(C44,,RateTickValue,Permanent,Trigger,ObjectOverwrite)</f>
        <v>EUR4x16F_SYNTH1Y_Quote#0000</v>
      </c>
      <c r="E44" s="320" t="str">
        <f>_xll.ohRangeRetrieveError(D44)</f>
        <v/>
      </c>
      <c r="F44" s="190"/>
      <c r="H44" s="182">
        <v>4</v>
      </c>
      <c r="I44" s="307" t="str">
        <f t="shared" si="7"/>
        <v>4x16F</v>
      </c>
      <c r="J44" s="308">
        <f>SynthFra!N12</f>
        <v>4.9376078994791597E-3</v>
      </c>
      <c r="K44" s="242"/>
      <c r="L44" s="311">
        <v>4.6670486929331432E-3</v>
      </c>
      <c r="M44" s="242"/>
      <c r="N44" s="313">
        <v>4.9376078994791597E-3</v>
      </c>
      <c r="O44" s="314">
        <f>_xll.qlSimpleQuoteSetValue(D44,ROUND(N44,6),EvaluationDate)</f>
        <v>0</v>
      </c>
      <c r="P44" s="186"/>
    </row>
    <row r="45" spans="1:16" x14ac:dyDescent="0.2">
      <c r="A45" s="343">
        <v>5</v>
      </c>
      <c r="B45" s="326" t="str">
        <f t="shared" si="5"/>
        <v>5x17F</v>
      </c>
      <c r="C45" s="179" t="str">
        <f t="shared" si="6"/>
        <v>EUR5x17F_SYNTH1Y_Quote</v>
      </c>
      <c r="D45" s="327" t="str">
        <f>_xll.qlSimpleQuote(C45,,RateTickValue,Permanent,Trigger,ObjectOverwrite)</f>
        <v>EUR5x17F_SYNTH1Y_Quote#0000</v>
      </c>
      <c r="E45" s="320" t="str">
        <f>_xll.ohRangeRetrieveError(D45)</f>
        <v/>
      </c>
      <c r="F45" s="190"/>
      <c r="H45" s="182">
        <v>5</v>
      </c>
      <c r="I45" s="307" t="str">
        <f t="shared" si="7"/>
        <v>5x17F</v>
      </c>
      <c r="J45" s="308">
        <f>SynthFra!N13</f>
        <v>4.9604125885286355E-3</v>
      </c>
      <c r="K45" s="242"/>
      <c r="L45" s="311">
        <v>4.6348626470477088E-3</v>
      </c>
      <c r="M45" s="242"/>
      <c r="N45" s="313">
        <v>4.9604125885286355E-3</v>
      </c>
      <c r="O45" s="314">
        <f>_xll.qlSimpleQuoteSetValue(D45,ROUND(N45,6),EvaluationDate)</f>
        <v>0</v>
      </c>
      <c r="P45" s="186"/>
    </row>
    <row r="46" spans="1:16" x14ac:dyDescent="0.2">
      <c r="A46" s="343">
        <v>6</v>
      </c>
      <c r="B46" s="326" t="str">
        <f t="shared" si="5"/>
        <v>6x18F</v>
      </c>
      <c r="C46" s="179" t="str">
        <f t="shared" si="6"/>
        <v>EUR6x18F_SYNTH1Y_Quote</v>
      </c>
      <c r="D46" s="327" t="str">
        <f>_xll.qlSimpleQuote(C46,,RateTickValue,Permanent,Trigger,ObjectOverwrite)</f>
        <v>EUR6x18F_SYNTH1Y_Quote#0000</v>
      </c>
      <c r="E46" s="320" t="str">
        <f>_xll.ohRangeRetrieveError(D46)</f>
        <v/>
      </c>
      <c r="F46" s="190"/>
      <c r="H46" s="182">
        <v>6</v>
      </c>
      <c r="I46" s="307" t="str">
        <f t="shared" si="7"/>
        <v>6x18F</v>
      </c>
      <c r="J46" s="308">
        <f>SynthFra!N14</f>
        <v>4.9938294319717491E-3</v>
      </c>
      <c r="K46" s="242"/>
      <c r="L46" s="311">
        <v>4.618779268430055E-3</v>
      </c>
      <c r="M46" s="242"/>
      <c r="N46" s="313">
        <v>4.9938294319717491E-3</v>
      </c>
      <c r="O46" s="314">
        <f>_xll.qlSimpleQuoteSetValue(D46,ROUND(N46,6),EvaluationDate)</f>
        <v>0</v>
      </c>
      <c r="P46" s="186"/>
    </row>
    <row r="47" spans="1:16" x14ac:dyDescent="0.2">
      <c r="A47" s="343">
        <v>7</v>
      </c>
      <c r="B47" s="326" t="str">
        <f t="shared" si="5"/>
        <v>7x19F</v>
      </c>
      <c r="C47" s="179" t="str">
        <f t="shared" si="6"/>
        <v>EUR7x19F_SYNTH1Y_Quote</v>
      </c>
      <c r="D47" s="327" t="str">
        <f>_xll.qlSimpleQuote(C47,,RateTickValue,Permanent,Trigger,ObjectOverwrite)</f>
        <v>EUR7x19F_SYNTH1Y_Quote#0000</v>
      </c>
      <c r="E47" s="320" t="str">
        <f>_xll.ohRangeRetrieveError(D47)</f>
        <v/>
      </c>
      <c r="F47" s="190"/>
      <c r="H47" s="182">
        <v>7</v>
      </c>
      <c r="I47" s="307" t="str">
        <f t="shared" si="7"/>
        <v>7x19F</v>
      </c>
      <c r="J47" s="308">
        <f>SynthFra!N15</f>
        <v>5.0160299050793769E-3</v>
      </c>
      <c r="K47" s="242"/>
      <c r="L47" s="311">
        <v>4.6053832557820798E-3</v>
      </c>
      <c r="M47" s="242"/>
      <c r="N47" s="313">
        <v>5.0160299050793769E-3</v>
      </c>
      <c r="O47" s="314">
        <f>_xll.qlSimpleQuoteSetValue(D47,ROUND(N47,6),EvaluationDate)</f>
        <v>0</v>
      </c>
      <c r="P47" s="186"/>
    </row>
    <row r="48" spans="1:16" x14ac:dyDescent="0.2">
      <c r="A48" s="343">
        <v>8</v>
      </c>
      <c r="B48" s="326" t="str">
        <f t="shared" si="5"/>
        <v>8x20F</v>
      </c>
      <c r="C48" s="179" t="str">
        <f t="shared" si="6"/>
        <v>EUR8x20F_SYNTH1Y_Quote</v>
      </c>
      <c r="D48" s="327" t="str">
        <f>_xll.qlSimpleQuote(C48,,RateTickValue,Permanent,Trigger,ObjectOverwrite)</f>
        <v>EUR8x20F_SYNTH1Y_Quote#0000</v>
      </c>
      <c r="E48" s="320" t="str">
        <f>_xll.ohRangeRetrieveError(D48)</f>
        <v/>
      </c>
      <c r="F48" s="190"/>
      <c r="H48" s="182">
        <v>8</v>
      </c>
      <c r="I48" s="307" t="str">
        <f t="shared" si="7"/>
        <v>8x20F</v>
      </c>
      <c r="J48" s="308">
        <f>SynthFra!N16</f>
        <v>5.0622430689105146E-3</v>
      </c>
      <c r="K48" s="242"/>
      <c r="L48" s="311">
        <v>4.595351771150346E-3</v>
      </c>
      <c r="M48" s="242"/>
      <c r="N48" s="313">
        <v>5.0622430689105146E-3</v>
      </c>
      <c r="O48" s="314">
        <f>_xll.qlSimpleQuoteSetValue(D48,ROUND(N48,6),EvaluationDate)</f>
        <v>0</v>
      </c>
      <c r="P48" s="186"/>
    </row>
    <row r="49" spans="1:16" x14ac:dyDescent="0.2">
      <c r="A49" s="343">
        <v>9</v>
      </c>
      <c r="B49" s="326" t="str">
        <f t="shared" si="5"/>
        <v>9x21F</v>
      </c>
      <c r="C49" s="179" t="str">
        <f t="shared" si="6"/>
        <v>EUR9x21F_SYNTH1Y_Quote</v>
      </c>
      <c r="D49" s="327" t="str">
        <f>_xll.qlSimpleQuote(C49,,RateTickValue,Permanent,Trigger,ObjectOverwrite)</f>
        <v>EUR9x21F_SYNTH1Y_Quote#0000</v>
      </c>
      <c r="E49" s="320" t="str">
        <f>_xll.ohRangeRetrieveError(D49)</f>
        <v/>
      </c>
      <c r="F49" s="190"/>
      <c r="H49" s="182">
        <v>9</v>
      </c>
      <c r="I49" s="307" t="str">
        <f t="shared" si="7"/>
        <v>9x21F</v>
      </c>
      <c r="J49" s="308">
        <f>SynthFra!N17</f>
        <v>5.1187909439878426E-3</v>
      </c>
      <c r="K49" s="242"/>
      <c r="L49" s="311">
        <v>4.6082952666255672E-3</v>
      </c>
      <c r="M49" s="242"/>
      <c r="N49" s="313">
        <v>5.1187909439878426E-3</v>
      </c>
      <c r="O49" s="314">
        <f>_xll.qlSimpleQuoteSetValue(D49,ROUND(N49,6),EvaluationDate)</f>
        <v>0</v>
      </c>
      <c r="P49" s="186"/>
    </row>
    <row r="50" spans="1:16" x14ac:dyDescent="0.2">
      <c r="A50" s="343">
        <v>10</v>
      </c>
      <c r="B50" s="326" t="str">
        <f t="shared" si="5"/>
        <v>10x22F</v>
      </c>
      <c r="C50" s="179" t="str">
        <f t="shared" si="6"/>
        <v>EUR10x22F_SYNTH1Y_Quote</v>
      </c>
      <c r="D50" s="327" t="str">
        <f>_xll.qlSimpleQuote(C50,,RateTickValue,Permanent,Trigger,ObjectOverwrite)</f>
        <v>EUR10x22F_SYNTH1Y_Quote#0000</v>
      </c>
      <c r="E50" s="320" t="str">
        <f>_xll.ohRangeRetrieveError(D50)</f>
        <v/>
      </c>
      <c r="F50" s="190"/>
      <c r="H50" s="182">
        <v>10</v>
      </c>
      <c r="I50" s="307" t="str">
        <f t="shared" si="7"/>
        <v>10x22F</v>
      </c>
      <c r="J50" s="308">
        <f>SynthFra!N18</f>
        <v>5.1912059130718221E-3</v>
      </c>
      <c r="K50" s="242"/>
      <c r="L50" s="311">
        <v>4.6314621839731712E-3</v>
      </c>
      <c r="M50" s="242"/>
      <c r="N50" s="313">
        <v>5.1912059130718221E-3</v>
      </c>
      <c r="O50" s="314">
        <f>_xll.qlSimpleQuoteSetValue(D50,ROUND(N50,6),EvaluationDate)</f>
        <v>0</v>
      </c>
      <c r="P50" s="186"/>
    </row>
    <row r="51" spans="1:16" x14ac:dyDescent="0.2">
      <c r="A51" s="343">
        <v>11</v>
      </c>
      <c r="B51" s="326" t="str">
        <f t="shared" si="5"/>
        <v>11x23F</v>
      </c>
      <c r="C51" s="179" t="str">
        <f t="shared" si="6"/>
        <v>EUR11x23F_SYNTH1Y_Quote</v>
      </c>
      <c r="D51" s="327" t="str">
        <f>_xll.qlSimpleQuote(C51,,RateTickValue,Permanent,Trigger,ObjectOverwrite)</f>
        <v>EUR11x23F_SYNTH1Y_Quote#0000</v>
      </c>
      <c r="E51" s="320" t="str">
        <f>_xll.ohRangeRetrieveError(D51)</f>
        <v/>
      </c>
      <c r="F51" s="190"/>
      <c r="H51" s="182">
        <v>11</v>
      </c>
      <c r="I51" s="307" t="str">
        <f t="shared" si="7"/>
        <v>11x23F</v>
      </c>
      <c r="J51" s="308">
        <f>SynthFra!N19</f>
        <v>5.2709701334629653E-3</v>
      </c>
      <c r="K51" s="242"/>
      <c r="L51" s="311">
        <v>4.6674941914769171E-3</v>
      </c>
      <c r="M51" s="242"/>
      <c r="N51" s="313">
        <v>5.2709701334629653E-3</v>
      </c>
      <c r="O51" s="314">
        <f>_xll.qlSimpleQuoteSetValue(D51,ROUND(N51,6),EvaluationDate)</f>
        <v>0</v>
      </c>
      <c r="P51" s="186"/>
    </row>
    <row r="52" spans="1:16" x14ac:dyDescent="0.2">
      <c r="A52" s="343">
        <v>13</v>
      </c>
      <c r="B52" s="326" t="str">
        <f t="shared" si="5"/>
        <v>13x25F</v>
      </c>
      <c r="C52" s="179" t="str">
        <f t="shared" si="6"/>
        <v>EUR13x25F_SYNTH1Y_Quote</v>
      </c>
      <c r="D52" s="327" t="str">
        <f>_xll.qlSimpleQuote(C52,,RateTickValue,Permanent,Trigger,ObjectOverwrite)</f>
        <v>EUR13x25F_SYNTH1Y_Quote#0000</v>
      </c>
      <c r="E52" s="320" t="str">
        <f>_xll.ohRangeRetrieveError(D52)</f>
        <v/>
      </c>
      <c r="F52" s="190"/>
      <c r="H52" s="182">
        <v>13</v>
      </c>
      <c r="I52" s="307" t="str">
        <f t="shared" si="7"/>
        <v>13x25F</v>
      </c>
      <c r="J52" s="308">
        <f>SynthFra!N21</f>
        <v>5.4612328910300049E-3</v>
      </c>
      <c r="K52" s="242"/>
      <c r="L52" s="311">
        <v>4.8073697361709416E-3</v>
      </c>
      <c r="M52" s="242"/>
      <c r="N52" s="313">
        <v>5.4612328910300049E-3</v>
      </c>
      <c r="O52" s="314">
        <f>_xll.qlSimpleQuoteSetValue(D52,ROUND(N52,6),EvaluationDate)</f>
        <v>0</v>
      </c>
      <c r="P52" s="186"/>
    </row>
    <row r="53" spans="1:16" x14ac:dyDescent="0.2">
      <c r="A53" s="343">
        <v>14</v>
      </c>
      <c r="B53" s="326" t="str">
        <f t="shared" si="5"/>
        <v>14x26F</v>
      </c>
      <c r="C53" s="179" t="str">
        <f t="shared" si="6"/>
        <v>EUR14x26F_SYNTH1Y_Quote</v>
      </c>
      <c r="D53" s="327" t="str">
        <f>_xll.qlSimpleQuote(C53,,RateTickValue,Permanent,Trigger,ObjectOverwrite)</f>
        <v>EUR14x26F_SYNTH1Y_Quote#0000</v>
      </c>
      <c r="E53" s="320" t="str">
        <f>_xll.ohRangeRetrieveError(D53)</f>
        <v/>
      </c>
      <c r="F53" s="190"/>
      <c r="H53" s="182">
        <v>14</v>
      </c>
      <c r="I53" s="307" t="str">
        <f t="shared" si="7"/>
        <v>14x26F</v>
      </c>
      <c r="J53" s="308">
        <f>SynthFra!N22</f>
        <v>5.5510215494493347E-3</v>
      </c>
      <c r="K53" s="242"/>
      <c r="L53" s="311">
        <v>4.8923504255238455E-3</v>
      </c>
      <c r="M53" s="242"/>
      <c r="N53" s="313">
        <v>5.5510215494493347E-3</v>
      </c>
      <c r="O53" s="314">
        <f>_xll.qlSimpleQuoteSetValue(D53,ROUND(N53,6),EvaluationDate)</f>
        <v>0</v>
      </c>
      <c r="P53" s="186"/>
    </row>
    <row r="54" spans="1:16" x14ac:dyDescent="0.2">
      <c r="A54" s="343">
        <v>15</v>
      </c>
      <c r="B54" s="326" t="str">
        <f t="shared" si="5"/>
        <v>15x27F</v>
      </c>
      <c r="C54" s="179" t="str">
        <f t="shared" si="6"/>
        <v>EUR15x27F_SYNTH1Y_Quote</v>
      </c>
      <c r="D54" s="327" t="str">
        <f>_xll.qlSimpleQuote(C54,,RateTickValue,Permanent,Trigger,ObjectOverwrite)</f>
        <v>EUR15x27F_SYNTH1Y_Quote#0000</v>
      </c>
      <c r="E54" s="320" t="str">
        <f>_xll.ohRangeRetrieveError(D54)</f>
        <v/>
      </c>
      <c r="F54" s="190"/>
      <c r="H54" s="182">
        <v>15</v>
      </c>
      <c r="I54" s="307" t="str">
        <f t="shared" si="7"/>
        <v>15x27F</v>
      </c>
      <c r="J54" s="308">
        <f>SynthFra!N23</f>
        <v>5.6600369614107126E-3</v>
      </c>
      <c r="K54" s="242"/>
      <c r="L54" s="311">
        <v>4.9902300152116887E-3</v>
      </c>
      <c r="M54" s="242"/>
      <c r="N54" s="313">
        <v>5.6600369614107126E-3</v>
      </c>
      <c r="O54" s="314">
        <f>_xll.qlSimpleQuoteSetValue(D54,ROUND(N54,6),EvaluationDate)</f>
        <v>0</v>
      </c>
      <c r="P54" s="186"/>
    </row>
    <row r="55" spans="1:16" x14ac:dyDescent="0.2">
      <c r="A55" s="343">
        <v>16</v>
      </c>
      <c r="B55" s="326" t="str">
        <f t="shared" si="5"/>
        <v>16x28F</v>
      </c>
      <c r="C55" s="179" t="str">
        <f t="shared" si="6"/>
        <v>EUR16x28F_SYNTH1Y_Quote</v>
      </c>
      <c r="D55" s="327" t="str">
        <f>_xll.qlSimpleQuote(C55,,RateTickValue,Permanent,Trigger,ObjectOverwrite)</f>
        <v>EUR16x28F_SYNTH1Y_Quote#0000</v>
      </c>
      <c r="E55" s="320" t="str">
        <f>_xll.ohRangeRetrieveError(D55)</f>
        <v/>
      </c>
      <c r="F55" s="190"/>
      <c r="H55" s="182">
        <v>16</v>
      </c>
      <c r="I55" s="307" t="str">
        <f t="shared" si="7"/>
        <v>16x28F</v>
      </c>
      <c r="J55" s="308">
        <f>SynthFra!N24</f>
        <v>5.7723600135251895E-3</v>
      </c>
      <c r="K55" s="242"/>
      <c r="L55" s="311">
        <v>5.1090206650879029E-3</v>
      </c>
      <c r="M55" s="242"/>
      <c r="N55" s="313">
        <v>5.7723600135251895E-3</v>
      </c>
      <c r="O55" s="314">
        <f>_xll.qlSimpleQuoteSetValue(D55,ROUND(N55,6),EvaluationDate)</f>
        <v>0</v>
      </c>
      <c r="P55" s="186"/>
    </row>
    <row r="56" spans="1:16" x14ac:dyDescent="0.2">
      <c r="A56" s="343">
        <v>17</v>
      </c>
      <c r="B56" s="326" t="str">
        <f t="shared" si="5"/>
        <v>17x29F</v>
      </c>
      <c r="C56" s="179" t="str">
        <f t="shared" si="6"/>
        <v>EUR17x29F_SYNTH1Y_Quote</v>
      </c>
      <c r="D56" s="327" t="str">
        <f>_xll.qlSimpleQuote(C56,,RateTickValue,Permanent,Trigger,ObjectOverwrite)</f>
        <v>EUR17x29F_SYNTH1Y_Quote#0000</v>
      </c>
      <c r="E56" s="320" t="str">
        <f>_xll.ohRangeRetrieveError(D56)</f>
        <v/>
      </c>
      <c r="F56" s="190"/>
      <c r="H56" s="182">
        <v>17</v>
      </c>
      <c r="I56" s="307" t="str">
        <f t="shared" si="7"/>
        <v>17x29F</v>
      </c>
      <c r="J56" s="308">
        <f>SynthFra!N25</f>
        <v>5.8850704500893677E-3</v>
      </c>
      <c r="K56" s="242"/>
      <c r="L56" s="311">
        <v>5.2460827654877348E-3</v>
      </c>
      <c r="M56" s="242"/>
      <c r="N56" s="313">
        <v>5.8850704500893677E-3</v>
      </c>
      <c r="O56" s="314">
        <f>_xll.qlSimpleQuoteSetValue(D56,ROUND(N56,6),EvaluationDate)</f>
        <v>0</v>
      </c>
      <c r="P56" s="186"/>
    </row>
    <row r="57" spans="1:16" x14ac:dyDescent="0.2">
      <c r="A57" s="343">
        <v>18</v>
      </c>
      <c r="B57" s="326" t="str">
        <f t="shared" si="5"/>
        <v>18x30F</v>
      </c>
      <c r="C57" s="179" t="str">
        <f t="shared" si="6"/>
        <v>EUR18x30F_SYNTH1Y_Quote</v>
      </c>
      <c r="D57" s="327" t="str">
        <f>_xll.qlSimpleQuote(C57,,RateTickValue,Permanent,Trigger,ObjectOverwrite)</f>
        <v>EUR18x30F_SYNTH1Y_Quote#0000</v>
      </c>
      <c r="E57" s="320" t="str">
        <f>_xll.ohRangeRetrieveError(D57)</f>
        <v/>
      </c>
      <c r="F57" s="190"/>
      <c r="H57" s="182">
        <v>18</v>
      </c>
      <c r="I57" s="307" t="str">
        <f t="shared" si="7"/>
        <v>18x30F</v>
      </c>
      <c r="J57" s="308">
        <f>SynthFra!N26</f>
        <v>6.0159082971717355E-3</v>
      </c>
      <c r="K57" s="242"/>
      <c r="L57" s="311">
        <v>5.3988472406250338E-3</v>
      </c>
      <c r="M57" s="242"/>
      <c r="N57" s="313">
        <v>6.0159082971717355E-3</v>
      </c>
      <c r="O57" s="314">
        <f>_xll.qlSimpleQuoteSetValue(D57,ROUND(N57,6),EvaluationDate)</f>
        <v>0</v>
      </c>
      <c r="P57" s="186"/>
    </row>
    <row r="58" spans="1:16" x14ac:dyDescent="0.2">
      <c r="A58" s="343">
        <v>19</v>
      </c>
      <c r="B58" s="326" t="str">
        <f t="shared" si="5"/>
        <v>19x31F</v>
      </c>
      <c r="C58" s="179" t="str">
        <f t="shared" si="6"/>
        <v>EUR19x31F_SYNTH1Y_Quote</v>
      </c>
      <c r="D58" s="327" t="str">
        <f>_xll.qlSimpleQuote(C58,,RateTickValue,Permanent,Trigger,ObjectOverwrite)</f>
        <v>EUR19x31F_SYNTH1Y_Quote#0000</v>
      </c>
      <c r="E58" s="320" t="str">
        <f>_xll.ohRangeRetrieveError(D58)</f>
        <v/>
      </c>
      <c r="F58" s="190"/>
      <c r="H58" s="182">
        <v>19</v>
      </c>
      <c r="I58" s="307" t="str">
        <f t="shared" si="7"/>
        <v>19x31F</v>
      </c>
      <c r="J58" s="308">
        <f>SynthFra!N27</f>
        <v>6.147950963612387E-3</v>
      </c>
      <c r="K58" s="242"/>
      <c r="L58" s="311">
        <v>5.5859281090479204E-3</v>
      </c>
      <c r="M58" s="242"/>
      <c r="N58" s="313">
        <v>6.147950963612387E-3</v>
      </c>
      <c r="O58" s="314">
        <f>_xll.qlSimpleQuoteSetValue(D58,ROUND(N58,6),EvaluationDate)</f>
        <v>0</v>
      </c>
      <c r="P58" s="186"/>
    </row>
    <row r="59" spans="1:16" x14ac:dyDescent="0.2">
      <c r="A59" s="343">
        <v>20</v>
      </c>
      <c r="B59" s="326" t="str">
        <f t="shared" si="5"/>
        <v>20x32F</v>
      </c>
      <c r="C59" s="179" t="str">
        <f t="shared" si="6"/>
        <v>EUR20x32F_SYNTH1Y_Quote</v>
      </c>
      <c r="D59" s="327" t="str">
        <f>_xll.qlSimpleQuote(C59,,RateTickValue,Permanent,Trigger,ObjectOverwrite)</f>
        <v>EUR20x32F_SYNTH1Y_Quote#0000</v>
      </c>
      <c r="E59" s="320" t="str">
        <f>_xll.ohRangeRetrieveError(D59)</f>
        <v/>
      </c>
      <c r="F59" s="190"/>
      <c r="H59" s="182">
        <v>20</v>
      </c>
      <c r="I59" s="307" t="str">
        <f t="shared" si="7"/>
        <v>20x32F</v>
      </c>
      <c r="J59" s="308">
        <f>SynthFra!N28</f>
        <v>6.2838310876648287E-3</v>
      </c>
      <c r="K59" s="242"/>
      <c r="L59" s="311">
        <v>5.7662394567391711E-3</v>
      </c>
      <c r="M59" s="242"/>
      <c r="N59" s="313">
        <v>6.2838310876648287E-3</v>
      </c>
      <c r="O59" s="314">
        <f>_xll.qlSimpleQuoteSetValue(D59,ROUND(N59,6),EvaluationDate)</f>
        <v>0</v>
      </c>
      <c r="P59" s="186"/>
    </row>
    <row r="60" spans="1:16" x14ac:dyDescent="0.2">
      <c r="A60" s="343">
        <v>21</v>
      </c>
      <c r="B60" s="326" t="str">
        <f t="shared" si="5"/>
        <v>21x33F</v>
      </c>
      <c r="C60" s="179" t="str">
        <f t="shared" si="6"/>
        <v>EUR21x33F_SYNTH1Y_Quote</v>
      </c>
      <c r="D60" s="327" t="str">
        <f>_xll.qlSimpleQuote(C60,,RateTickValue,Permanent,Trigger,ObjectOverwrite)</f>
        <v>EUR21x33F_SYNTH1Y_Quote#0000</v>
      </c>
      <c r="E60" s="320" t="str">
        <f>_xll.ohRangeRetrieveError(D60)</f>
        <v/>
      </c>
      <c r="F60" s="190"/>
      <c r="H60" s="182">
        <v>21</v>
      </c>
      <c r="I60" s="307" t="str">
        <f t="shared" si="7"/>
        <v>21x33F</v>
      </c>
      <c r="J60" s="308">
        <f>SynthFra!N29</f>
        <v>6.4326524986542954E-3</v>
      </c>
      <c r="K60" s="242"/>
      <c r="L60" s="311">
        <v>5.9575814868177692E-3</v>
      </c>
      <c r="M60" s="242"/>
      <c r="N60" s="313">
        <v>6.4326524986542954E-3</v>
      </c>
      <c r="O60" s="314">
        <f>_xll.qlSimpleQuoteSetValue(D60,ROUND(N60,6),EvaluationDate)</f>
        <v>0</v>
      </c>
      <c r="P60" s="186"/>
    </row>
    <row r="61" spans="1:16" x14ac:dyDescent="0.2">
      <c r="A61" s="343">
        <v>22</v>
      </c>
      <c r="B61" s="326" t="str">
        <f t="shared" si="5"/>
        <v>22x34F</v>
      </c>
      <c r="C61" s="179" t="str">
        <f t="shared" si="6"/>
        <v>EUR22x34F_SYNTH1Y_Quote</v>
      </c>
      <c r="D61" s="327" t="str">
        <f>_xll.qlSimpleQuote(C61,,RateTickValue,Permanent,Trigger,ObjectOverwrite)</f>
        <v>EUR22x34F_SYNTH1Y_Quote#0000</v>
      </c>
      <c r="E61" s="320" t="str">
        <f>_xll.ohRangeRetrieveError(D61)</f>
        <v/>
      </c>
      <c r="F61" s="190"/>
      <c r="H61" s="182">
        <v>22</v>
      </c>
      <c r="I61" s="307" t="str">
        <f t="shared" si="7"/>
        <v>22x34F</v>
      </c>
      <c r="J61" s="308">
        <f>SynthFra!N30</f>
        <v>6.6010278361081989E-3</v>
      </c>
      <c r="K61" s="242"/>
      <c r="L61" s="311">
        <v>6.1960893098092409E-3</v>
      </c>
      <c r="M61" s="242"/>
      <c r="N61" s="313">
        <v>6.6010278361081989E-3</v>
      </c>
      <c r="O61" s="314">
        <f>_xll.qlSimpleQuoteSetValue(D61,ROUND(N61,6),EvaluationDate)</f>
        <v>0</v>
      </c>
      <c r="P61" s="186"/>
    </row>
    <row r="62" spans="1:16" x14ac:dyDescent="0.2">
      <c r="A62" s="343">
        <v>23</v>
      </c>
      <c r="B62" s="326" t="str">
        <f t="shared" si="5"/>
        <v>23x35F</v>
      </c>
      <c r="C62" s="179" t="str">
        <f t="shared" si="6"/>
        <v>EUR23x35F_SYNTH1Y_Quote</v>
      </c>
      <c r="D62" s="327" t="str">
        <f>_xll.qlSimpleQuote(C62,,RateTickValue,Permanent,Trigger,ObjectOverwrite)</f>
        <v>EUR23x35F_SYNTH1Y_Quote#0000</v>
      </c>
      <c r="E62" s="320" t="str">
        <f>_xll.ohRangeRetrieveError(D62)</f>
        <v/>
      </c>
      <c r="F62" s="190"/>
      <c r="H62" s="182">
        <v>23</v>
      </c>
      <c r="I62" s="307" t="str">
        <f t="shared" si="7"/>
        <v>23x35F</v>
      </c>
      <c r="J62" s="308">
        <f>SynthFra!N31</f>
        <v>6.7629790917004187E-3</v>
      </c>
      <c r="K62" s="242"/>
      <c r="L62" s="311">
        <v>6.412500321007597E-3</v>
      </c>
      <c r="M62" s="242"/>
      <c r="N62" s="313">
        <v>6.7629790917004187E-3</v>
      </c>
      <c r="O62" s="314">
        <f>_xll.qlSimpleQuoteSetValue(D62,ROUND(N62,6),EvaluationDate)</f>
        <v>0</v>
      </c>
      <c r="P62" s="186"/>
    </row>
    <row r="63" spans="1:16" x14ac:dyDescent="0.2">
      <c r="A63" s="343">
        <v>25</v>
      </c>
      <c r="B63" s="326" t="str">
        <f t="shared" si="5"/>
        <v>25x37F</v>
      </c>
      <c r="C63" s="179" t="str">
        <f t="shared" si="6"/>
        <v>EUR25x37F_SYNTH1Y_Quote</v>
      </c>
      <c r="D63" s="327" t="str">
        <f>_xll.qlSimpleQuote(C63,,RateTickValue,Permanent,Trigger,ObjectOverwrite)</f>
        <v>EUR25x37F_SYNTH1Y_Quote#0000</v>
      </c>
      <c r="E63" s="320" t="str">
        <f>_xll.ohRangeRetrieveError(D63)</f>
        <v/>
      </c>
      <c r="F63" s="190"/>
      <c r="H63" s="182">
        <v>25</v>
      </c>
      <c r="I63" s="307" t="str">
        <f t="shared" si="7"/>
        <v>25x37F</v>
      </c>
      <c r="J63" s="308">
        <f>SynthFra!N33</f>
        <v>7.1495246337127377E-3</v>
      </c>
      <c r="K63" s="242"/>
      <c r="L63" s="311">
        <v>6.9455216994446494E-3</v>
      </c>
      <c r="M63" s="242"/>
      <c r="N63" s="313">
        <v>7.1495246337127377E-3</v>
      </c>
      <c r="O63" s="314">
        <f>_xll.qlSimpleQuoteSetValue(D63,ROUND(N63,6),EvaluationDate)</f>
        <v>0</v>
      </c>
      <c r="P63" s="186"/>
    </row>
    <row r="64" spans="1:16" x14ac:dyDescent="0.2">
      <c r="A64" s="343">
        <v>26</v>
      </c>
      <c r="B64" s="326" t="str">
        <f t="shared" si="5"/>
        <v>26x38F</v>
      </c>
      <c r="C64" s="179" t="str">
        <f t="shared" si="6"/>
        <v>EUR26x38F_SYNTH1Y_Quote</v>
      </c>
      <c r="D64" s="327" t="str">
        <f>_xll.qlSimpleQuote(C64,,RateTickValue,Permanent,Trigger,ObjectOverwrite)</f>
        <v>EUR26x38F_SYNTH1Y_Quote#0000</v>
      </c>
      <c r="E64" s="320" t="str">
        <f>_xll.ohRangeRetrieveError(D64)</f>
        <v/>
      </c>
      <c r="F64" s="190"/>
      <c r="H64" s="182">
        <v>26</v>
      </c>
      <c r="I64" s="307" t="str">
        <f t="shared" si="7"/>
        <v>26x38F</v>
      </c>
      <c r="J64" s="308">
        <f>SynthFra!N34</f>
        <v>7.3681892266063195E-3</v>
      </c>
      <c r="K64" s="242"/>
      <c r="L64" s="311">
        <v>7.2111439447380323E-3</v>
      </c>
      <c r="M64" s="242"/>
      <c r="N64" s="313">
        <v>7.3681892266063195E-3</v>
      </c>
      <c r="O64" s="314">
        <f>_xll.qlSimpleQuoteSetValue(D64,ROUND(N64,6),EvaluationDate)</f>
        <v>0</v>
      </c>
      <c r="P64" s="186"/>
    </row>
    <row r="65" spans="1:16" x14ac:dyDescent="0.2">
      <c r="A65" s="343">
        <v>27</v>
      </c>
      <c r="B65" s="326" t="str">
        <f t="shared" si="5"/>
        <v>27x39F</v>
      </c>
      <c r="C65" s="179" t="str">
        <f t="shared" si="6"/>
        <v>EUR27x39F_SYNTH1Y_Quote</v>
      </c>
      <c r="D65" s="327" t="str">
        <f>_xll.qlSimpleQuote(C65,,RateTickValue,Permanent,Trigger,ObjectOverwrite)</f>
        <v>EUR27x39F_SYNTH1Y_Quote#0000</v>
      </c>
      <c r="E65" s="320" t="str">
        <f>_xll.ohRangeRetrieveError(D65)</f>
        <v/>
      </c>
      <c r="F65" s="190"/>
      <c r="H65" s="182">
        <v>27</v>
      </c>
      <c r="I65" s="307" t="str">
        <f t="shared" si="7"/>
        <v>27x39F</v>
      </c>
      <c r="J65" s="308">
        <f>SynthFra!N35</f>
        <v>7.6309159644196833E-3</v>
      </c>
      <c r="K65" s="242"/>
      <c r="L65" s="311">
        <v>7.5168373562576381E-3</v>
      </c>
      <c r="M65" s="242"/>
      <c r="N65" s="313">
        <v>7.6309159644196833E-3</v>
      </c>
      <c r="O65" s="314">
        <f>_xll.qlSimpleQuoteSetValue(D65,ROUND(N65,6),EvaluationDate)</f>
        <v>0</v>
      </c>
      <c r="P65" s="186"/>
    </row>
    <row r="66" spans="1:16" x14ac:dyDescent="0.2">
      <c r="A66" s="343">
        <v>28</v>
      </c>
      <c r="B66" s="326" t="str">
        <f t="shared" si="5"/>
        <v>28x40F</v>
      </c>
      <c r="C66" s="179" t="str">
        <f t="shared" si="6"/>
        <v>EUR28x40F_SYNTH1Y_Quote</v>
      </c>
      <c r="D66" s="327" t="str">
        <f>_xll.qlSimpleQuote(C66,,RateTickValue,Permanent,Trigger,ObjectOverwrite)</f>
        <v>EUR28x40F_SYNTH1Y_Quote#0000</v>
      </c>
      <c r="E66" s="320" t="str">
        <f>_xll.ohRangeRetrieveError(D66)</f>
        <v/>
      </c>
      <c r="F66" s="190"/>
      <c r="H66" s="182">
        <v>28</v>
      </c>
      <c r="I66" s="307" t="str">
        <f t="shared" si="7"/>
        <v>28x40F</v>
      </c>
      <c r="J66" s="308">
        <f>SynthFra!N36</f>
        <v>7.8693457827158659E-3</v>
      </c>
      <c r="K66" s="242"/>
      <c r="L66" s="311">
        <v>7.8167292481846513E-3</v>
      </c>
      <c r="M66" s="242"/>
      <c r="N66" s="313">
        <v>7.8693457827158659E-3</v>
      </c>
      <c r="O66" s="314">
        <f>_xll.qlSimpleQuoteSetValue(D66,ROUND(N66,6),EvaluationDate)</f>
        <v>0</v>
      </c>
      <c r="P66" s="186"/>
    </row>
    <row r="67" spans="1:16" x14ac:dyDescent="0.2">
      <c r="A67" s="343">
        <v>29</v>
      </c>
      <c r="B67" s="326" t="str">
        <f t="shared" si="5"/>
        <v>29x41F</v>
      </c>
      <c r="C67" s="179" t="str">
        <f t="shared" si="6"/>
        <v>EUR29x41F_SYNTH1Y_Quote</v>
      </c>
      <c r="D67" s="327" t="str">
        <f>_xll.qlSimpleQuote(C67,,RateTickValue,Permanent,Trigger,ObjectOverwrite)</f>
        <v>EUR29x41F_SYNTH1Y_Quote#0000</v>
      </c>
      <c r="E67" s="320" t="str">
        <f>_xll.ohRangeRetrieveError(D67)</f>
        <v/>
      </c>
      <c r="F67" s="190"/>
      <c r="H67" s="182">
        <v>29</v>
      </c>
      <c r="I67" s="307" t="str">
        <f t="shared" si="7"/>
        <v>29x41F</v>
      </c>
      <c r="J67" s="308">
        <f>SynthFra!N37</f>
        <v>8.1469806682743715E-3</v>
      </c>
      <c r="K67" s="242"/>
      <c r="L67" s="311">
        <v>8.1261658822661606E-3</v>
      </c>
      <c r="M67" s="242"/>
      <c r="N67" s="313">
        <v>8.1469806682743715E-3</v>
      </c>
      <c r="O67" s="314">
        <f>_xll.qlSimpleQuoteSetValue(D67,ROUND(N67,6),EvaluationDate)</f>
        <v>0</v>
      </c>
      <c r="P67" s="186"/>
    </row>
    <row r="68" spans="1:16" x14ac:dyDescent="0.2">
      <c r="A68" s="343">
        <v>30</v>
      </c>
      <c r="B68" s="326" t="str">
        <f t="shared" si="5"/>
        <v>30x42F</v>
      </c>
      <c r="C68" s="179" t="str">
        <f t="shared" si="6"/>
        <v>EUR30x42F_SYNTH1Y_Quote</v>
      </c>
      <c r="D68" s="327" t="str">
        <f>_xll.qlSimpleQuote(C68,,RateTickValue,Permanent,Trigger,ObjectOverwrite)</f>
        <v>EUR30x42F_SYNTH1Y_Quote#0000</v>
      </c>
      <c r="E68" s="320" t="str">
        <f>_xll.ohRangeRetrieveError(D68)</f>
        <v/>
      </c>
      <c r="F68" s="190"/>
      <c r="H68" s="182">
        <v>30</v>
      </c>
      <c r="I68" s="307" t="str">
        <f t="shared" si="7"/>
        <v>30x42F</v>
      </c>
      <c r="J68" s="308">
        <f>SynthFra!N38</f>
        <v>8.4454106183297073E-3</v>
      </c>
      <c r="K68" s="242"/>
      <c r="L68" s="311">
        <v>8.4647021153290893E-3</v>
      </c>
      <c r="M68" s="242"/>
      <c r="N68" s="313">
        <v>8.4454106183297073E-3</v>
      </c>
      <c r="O68" s="314">
        <f>_xll.qlSimpleQuoteSetValue(D68,ROUND(N68,6),EvaluationDate)</f>
        <v>0</v>
      </c>
      <c r="P68" s="186"/>
    </row>
    <row r="69" spans="1:16" x14ac:dyDescent="0.2">
      <c r="A69" s="343">
        <v>31</v>
      </c>
      <c r="B69" s="326" t="str">
        <f t="shared" si="5"/>
        <v>31x43F</v>
      </c>
      <c r="C69" s="179" t="str">
        <f t="shared" si="6"/>
        <v>EUR31x43F_SYNTH1Y_Quote</v>
      </c>
      <c r="D69" s="327" t="str">
        <f>_xll.qlSimpleQuote(C69,,RateTickValue,Permanent,Trigger,ObjectOverwrite)</f>
        <v>EUR31x43F_SYNTH1Y_Quote#0000</v>
      </c>
      <c r="E69" s="320" t="str">
        <f>_xll.ohRangeRetrieveError(D69)</f>
        <v/>
      </c>
      <c r="F69" s="190"/>
      <c r="H69" s="182">
        <v>31</v>
      </c>
      <c r="I69" s="307" t="str">
        <f t="shared" si="7"/>
        <v>31x43F</v>
      </c>
      <c r="J69" s="308">
        <f>SynthFra!N39</f>
        <v>8.713722152343709E-3</v>
      </c>
      <c r="K69" s="242"/>
      <c r="L69" s="311">
        <v>8.7831918676685335E-3</v>
      </c>
      <c r="M69" s="242"/>
      <c r="N69" s="313">
        <v>8.713722152343709E-3</v>
      </c>
      <c r="O69" s="314">
        <f>_xll.qlSimpleQuoteSetValue(D69,ROUND(N69,6),EvaluationDate)</f>
        <v>0</v>
      </c>
      <c r="P69" s="186"/>
    </row>
    <row r="70" spans="1:16" x14ac:dyDescent="0.2">
      <c r="A70" s="343">
        <v>32</v>
      </c>
      <c r="B70" s="326" t="str">
        <f t="shared" si="5"/>
        <v>32x44F</v>
      </c>
      <c r="C70" s="179" t="str">
        <f t="shared" si="6"/>
        <v>EUR32x44F_SYNTH1Y_Quote</v>
      </c>
      <c r="D70" s="327" t="str">
        <f>_xll.qlSimpleQuote(C70,,RateTickValue,Permanent,Trigger,ObjectOverwrite)</f>
        <v>EUR32x44F_SYNTH1Y_Quote#0000</v>
      </c>
      <c r="E70" s="320" t="str">
        <f>_xll.ohRangeRetrieveError(D70)</f>
        <v/>
      </c>
      <c r="F70" s="190"/>
      <c r="H70" s="182">
        <v>32</v>
      </c>
      <c r="I70" s="307" t="str">
        <f t="shared" si="7"/>
        <v>32x44F</v>
      </c>
      <c r="J70" s="308">
        <f>SynthFra!N40</f>
        <v>9.0058946555748743E-3</v>
      </c>
      <c r="K70" s="242"/>
      <c r="L70" s="311">
        <v>9.1292751157284018E-3</v>
      </c>
      <c r="M70" s="242"/>
      <c r="N70" s="313">
        <v>9.0058946555748743E-3</v>
      </c>
      <c r="O70" s="314">
        <f>_xll.qlSimpleQuoteSetValue(D70,ROUND(N70,6),EvaluationDate)</f>
        <v>0</v>
      </c>
      <c r="P70" s="186"/>
    </row>
    <row r="71" spans="1:16" x14ac:dyDescent="0.2">
      <c r="A71" s="343">
        <v>33</v>
      </c>
      <c r="B71" s="326" t="str">
        <f t="shared" si="5"/>
        <v>33x45F</v>
      </c>
      <c r="C71" s="179" t="str">
        <f t="shared" si="6"/>
        <v>EUR33x45F_SYNTH1Y_Quote</v>
      </c>
      <c r="D71" s="327" t="str">
        <f>_xll.qlSimpleQuote(C71,,RateTickValue,Permanent,Trigger,ObjectOverwrite)</f>
        <v>EUR33x45F_SYNTH1Y_Quote#0000</v>
      </c>
      <c r="E71" s="320" t="str">
        <f>_xll.ohRangeRetrieveError(D71)</f>
        <v/>
      </c>
      <c r="F71" s="190"/>
      <c r="H71" s="182">
        <v>33</v>
      </c>
      <c r="I71" s="307" t="str">
        <f t="shared" si="7"/>
        <v>33x45F</v>
      </c>
      <c r="J71" s="308">
        <f>SynthFra!N41</f>
        <v>9.3090535372067802E-3</v>
      </c>
      <c r="K71" s="242"/>
      <c r="L71" s="311">
        <v>9.4477175409658307E-3</v>
      </c>
      <c r="M71" s="242"/>
      <c r="N71" s="313">
        <v>9.3090535372067802E-3</v>
      </c>
      <c r="O71" s="314">
        <f>_xll.qlSimpleQuoteSetValue(D71,ROUND(N71,6),EvaluationDate)</f>
        <v>0</v>
      </c>
      <c r="P71" s="186"/>
    </row>
    <row r="72" spans="1:16" x14ac:dyDescent="0.2">
      <c r="A72" s="343">
        <v>34</v>
      </c>
      <c r="B72" s="326" t="str">
        <f t="shared" si="5"/>
        <v>34x46F</v>
      </c>
      <c r="C72" s="179" t="str">
        <f t="shared" si="6"/>
        <v>EUR34x46F_SYNTH1Y_Quote</v>
      </c>
      <c r="D72" s="327" t="str">
        <f>_xll.qlSimpleQuote(C72,,RateTickValue,Permanent,Trigger,ObjectOverwrite)</f>
        <v>EUR34x46F_SYNTH1Y_Quote#0000</v>
      </c>
      <c r="E72" s="320" t="str">
        <f>_xll.ohRangeRetrieveError(D72)</f>
        <v/>
      </c>
      <c r="F72" s="190"/>
      <c r="H72" s="182">
        <v>34</v>
      </c>
      <c r="I72" s="307" t="str">
        <f t="shared" si="7"/>
        <v>34x46F</v>
      </c>
      <c r="J72" s="308">
        <f>SynthFra!N42</f>
        <v>9.603374453758905E-3</v>
      </c>
      <c r="K72" s="242"/>
      <c r="L72" s="311">
        <v>9.8173882020001074E-3</v>
      </c>
      <c r="M72" s="242"/>
      <c r="N72" s="313">
        <v>9.603374453758905E-3</v>
      </c>
      <c r="O72" s="314">
        <f>_xll.qlSimpleQuoteSetValue(D72,ROUND(N72,6),EvaluationDate)</f>
        <v>0</v>
      </c>
      <c r="P72" s="186"/>
    </row>
    <row r="73" spans="1:16" x14ac:dyDescent="0.2">
      <c r="A73" s="343">
        <v>35</v>
      </c>
      <c r="B73" s="326" t="str">
        <f t="shared" si="5"/>
        <v>35x47F</v>
      </c>
      <c r="C73" s="179" t="str">
        <f t="shared" si="6"/>
        <v>EUR35x47F_SYNTH1Y_Quote</v>
      </c>
      <c r="D73" s="327" t="str">
        <f>_xll.qlSimpleQuote(C73,,RateTickValue,Permanent,Trigger,ObjectOverwrite)</f>
        <v>EUR35x47F_SYNTH1Y_Quote#0000</v>
      </c>
      <c r="E73" s="320" t="str">
        <f>_xll.ohRangeRetrieveError(D73)</f>
        <v/>
      </c>
      <c r="F73" s="190"/>
      <c r="H73" s="182">
        <v>35</v>
      </c>
      <c r="I73" s="307" t="str">
        <f t="shared" si="7"/>
        <v>35x47F</v>
      </c>
      <c r="J73" s="308">
        <f>SynthFra!N43</f>
        <v>9.8930927136813285E-3</v>
      </c>
      <c r="K73" s="242"/>
      <c r="L73" s="311">
        <v>1.0156728741461287E-2</v>
      </c>
      <c r="M73" s="242"/>
      <c r="N73" s="313">
        <v>9.8930927136813285E-3</v>
      </c>
      <c r="O73" s="314">
        <f>_xll.qlSimpleQuoteSetValue(D73,ROUND(N73,6),EvaluationDate)</f>
        <v>0</v>
      </c>
      <c r="P73" s="186"/>
    </row>
    <row r="74" spans="1:16" x14ac:dyDescent="0.2">
      <c r="A74" s="343">
        <v>37</v>
      </c>
      <c r="B74" s="326" t="str">
        <f t="shared" si="5"/>
        <v>37x49F</v>
      </c>
      <c r="C74" s="179" t="str">
        <f t="shared" si="6"/>
        <v>EUR37x49F_SYNTH1Y_Quote</v>
      </c>
      <c r="D74" s="327" t="str">
        <f>_xll.qlSimpleQuote(C74,,RateTickValue,Permanent,Trigger,ObjectOverwrite)</f>
        <v>EUR37x49F_SYNTH1Y_Quote#0000</v>
      </c>
      <c r="E74" s="320" t="str">
        <f>_xll.ohRangeRetrieveError(D74)</f>
        <v/>
      </c>
      <c r="F74" s="190"/>
      <c r="H74" s="182">
        <v>37</v>
      </c>
      <c r="I74" s="307" t="str">
        <f t="shared" si="7"/>
        <v>37x49F</v>
      </c>
      <c r="J74" s="308">
        <f>SynthFra!N45</f>
        <v>1.0474422909305593E-2</v>
      </c>
      <c r="K74" s="242"/>
      <c r="L74" s="311">
        <v>1.0891943923843465E-2</v>
      </c>
      <c r="M74" s="242"/>
      <c r="N74" s="313">
        <v>1.0474422909305593E-2</v>
      </c>
      <c r="O74" s="314">
        <f>_xll.qlSimpleQuoteSetValue(D74,ROUND(N74,6),EvaluationDate)</f>
        <v>0</v>
      </c>
      <c r="P74" s="186"/>
    </row>
    <row r="75" spans="1:16" x14ac:dyDescent="0.2">
      <c r="A75" s="343">
        <v>38</v>
      </c>
      <c r="B75" s="326" t="str">
        <f t="shared" si="5"/>
        <v>38x50F</v>
      </c>
      <c r="C75" s="179" t="str">
        <f t="shared" si="6"/>
        <v>EUR38x50F_SYNTH1Y_Quote</v>
      </c>
      <c r="D75" s="327" t="str">
        <f>_xll.qlSimpleQuote(C75,,RateTickValue,Permanent,Trigger,ObjectOverwrite)</f>
        <v>EUR38x50F_SYNTH1Y_Quote#0000</v>
      </c>
      <c r="E75" s="320" t="str">
        <f>_xll.ohRangeRetrieveError(D75)</f>
        <v/>
      </c>
      <c r="F75" s="190"/>
      <c r="H75" s="182">
        <v>38</v>
      </c>
      <c r="I75" s="307" t="str">
        <f t="shared" si="7"/>
        <v>38x50F</v>
      </c>
      <c r="J75" s="308">
        <f>SynthFra!N46</f>
        <v>1.0757163866656788E-2</v>
      </c>
      <c r="K75" s="242"/>
      <c r="L75" s="311">
        <v>1.1251224503790555E-2</v>
      </c>
      <c r="M75" s="242"/>
      <c r="N75" s="313">
        <v>1.0757163866656788E-2</v>
      </c>
      <c r="O75" s="314">
        <f>_xll.qlSimpleQuoteSetValue(D75,ROUND(N75,6),EvaluationDate)</f>
        <v>0</v>
      </c>
      <c r="P75" s="186"/>
    </row>
    <row r="76" spans="1:16" x14ac:dyDescent="0.2">
      <c r="A76" s="343">
        <v>39</v>
      </c>
      <c r="B76" s="326" t="str">
        <f t="shared" si="5"/>
        <v>39x51F</v>
      </c>
      <c r="C76" s="179" t="str">
        <f t="shared" si="6"/>
        <v>EUR39x51F_SYNTH1Y_Quote</v>
      </c>
      <c r="D76" s="327" t="str">
        <f>_xll.qlSimpleQuote(C76,,RateTickValue,Permanent,Trigger,ObjectOverwrite)</f>
        <v>EUR39x51F_SYNTH1Y_Quote#0000</v>
      </c>
      <c r="E76" s="320" t="str">
        <f>_xll.ohRangeRetrieveError(D76)</f>
        <v/>
      </c>
      <c r="F76" s="190"/>
      <c r="H76" s="182">
        <v>39</v>
      </c>
      <c r="I76" s="307" t="str">
        <f t="shared" si="7"/>
        <v>39x51F</v>
      </c>
      <c r="J76" s="308">
        <f>SynthFra!N47</f>
        <v>1.1061947584982613E-2</v>
      </c>
      <c r="K76" s="242"/>
      <c r="L76" s="311">
        <v>1.1648647084713675E-2</v>
      </c>
      <c r="M76" s="242"/>
      <c r="N76" s="313">
        <v>1.1061947584982613E-2</v>
      </c>
      <c r="O76" s="314">
        <f>_xll.qlSimpleQuoteSetValue(D76,ROUND(N76,6),EvaluationDate)</f>
        <v>0</v>
      </c>
      <c r="P76" s="186"/>
    </row>
    <row r="77" spans="1:16" x14ac:dyDescent="0.2">
      <c r="A77" s="343">
        <v>40</v>
      </c>
      <c r="B77" s="326" t="str">
        <f t="shared" si="5"/>
        <v>40x52F</v>
      </c>
      <c r="C77" s="179" t="str">
        <f t="shared" si="6"/>
        <v>EUR40x52F_SYNTH1Y_Quote</v>
      </c>
      <c r="D77" s="327" t="str">
        <f>_xll.qlSimpleQuote(C77,,RateTickValue,Permanent,Trigger,ObjectOverwrite)</f>
        <v>EUR40x52F_SYNTH1Y_Quote#0000</v>
      </c>
      <c r="E77" s="320" t="str">
        <f>_xll.ohRangeRetrieveError(D77)</f>
        <v/>
      </c>
      <c r="F77" s="190"/>
      <c r="H77" s="182">
        <v>40</v>
      </c>
      <c r="I77" s="307" t="str">
        <f t="shared" si="7"/>
        <v>40x52F</v>
      </c>
      <c r="J77" s="308">
        <f>SynthFra!N48</f>
        <v>1.134073737210109E-2</v>
      </c>
      <c r="K77" s="242"/>
      <c r="L77" s="311">
        <v>1.1987429318313512E-2</v>
      </c>
      <c r="M77" s="242"/>
      <c r="N77" s="313">
        <v>1.134073737210109E-2</v>
      </c>
      <c r="O77" s="314">
        <f>_xll.qlSimpleQuoteSetValue(D77,ROUND(N77,6),EvaluationDate)</f>
        <v>0</v>
      </c>
      <c r="P77" s="186"/>
    </row>
    <row r="78" spans="1:16" x14ac:dyDescent="0.2">
      <c r="A78" s="343">
        <v>41</v>
      </c>
      <c r="B78" s="326" t="str">
        <f t="shared" si="5"/>
        <v>41x53F</v>
      </c>
      <c r="C78" s="179" t="str">
        <f t="shared" si="6"/>
        <v>EUR41x53F_SYNTH1Y_Quote</v>
      </c>
      <c r="D78" s="327" t="str">
        <f>_xll.qlSimpleQuote(C78,,RateTickValue,Permanent,Trigger,ObjectOverwrite)</f>
        <v>EUR41x53F_SYNTH1Y_Quote#0000</v>
      </c>
      <c r="E78" s="320" t="str">
        <f>_xll.ohRangeRetrieveError(D78)</f>
        <v/>
      </c>
      <c r="F78" s="190"/>
      <c r="H78" s="182">
        <v>41</v>
      </c>
      <c r="I78" s="307" t="str">
        <f t="shared" si="7"/>
        <v>41x53F</v>
      </c>
      <c r="J78" s="308">
        <f>SynthFra!N49</f>
        <v>1.1651146473609004E-2</v>
      </c>
      <c r="K78" s="242"/>
      <c r="L78" s="311">
        <v>1.2363931768145289E-2</v>
      </c>
      <c r="M78" s="242"/>
      <c r="N78" s="313">
        <v>1.1651146473609004E-2</v>
      </c>
      <c r="O78" s="314">
        <f>_xll.qlSimpleQuoteSetValue(D78,ROUND(N78,6),EvaluationDate)</f>
        <v>0</v>
      </c>
      <c r="P78" s="186"/>
    </row>
    <row r="79" spans="1:16" x14ac:dyDescent="0.2">
      <c r="A79" s="343">
        <v>42</v>
      </c>
      <c r="B79" s="326" t="str">
        <f t="shared" si="5"/>
        <v>42x54F</v>
      </c>
      <c r="C79" s="179" t="str">
        <f t="shared" si="6"/>
        <v>EUR42x54F_SYNTH1Y_Quote</v>
      </c>
      <c r="D79" s="327" t="str">
        <f>_xll.qlSimpleQuote(C79,,RateTickValue,Permanent,Trigger,ObjectOverwrite)</f>
        <v>EUR42x54F_SYNTH1Y_Quote#0000</v>
      </c>
      <c r="E79" s="320" t="str">
        <f>_xll.ohRangeRetrieveError(D79)</f>
        <v/>
      </c>
      <c r="F79" s="190"/>
      <c r="H79" s="182">
        <v>42</v>
      </c>
      <c r="I79" s="307" t="str">
        <f t="shared" si="7"/>
        <v>42x54F</v>
      </c>
      <c r="J79" s="308">
        <f>SynthFra!N50</f>
        <v>1.1943841417075584E-2</v>
      </c>
      <c r="K79" s="242"/>
      <c r="L79" s="311">
        <v>1.2778263881708517E-2</v>
      </c>
      <c r="M79" s="242"/>
      <c r="N79" s="313">
        <v>1.1943841417075584E-2</v>
      </c>
      <c r="O79" s="314">
        <f>_xll.qlSimpleQuoteSetValue(D79,ROUND(N79,6),EvaluationDate)</f>
        <v>0</v>
      </c>
      <c r="P79" s="186"/>
    </row>
    <row r="80" spans="1:16" x14ac:dyDescent="0.2">
      <c r="A80" s="343">
        <v>43</v>
      </c>
      <c r="B80" s="326" t="str">
        <f t="shared" si="5"/>
        <v>43x55F</v>
      </c>
      <c r="C80" s="179" t="str">
        <f t="shared" si="6"/>
        <v>EUR43x55F_SYNTH1Y_Quote</v>
      </c>
      <c r="D80" s="327" t="str">
        <f>_xll.qlSimpleQuote(C80,,RateTickValue,Permanent,Trigger,ObjectOverwrite)</f>
        <v>EUR43x55F_SYNTH1Y_Quote#0000</v>
      </c>
      <c r="E80" s="320" t="str">
        <f>_xll.ohRangeRetrieveError(D80)</f>
        <v/>
      </c>
      <c r="F80" s="190"/>
      <c r="H80" s="182">
        <v>43</v>
      </c>
      <c r="I80" s="307" t="str">
        <f t="shared" si="7"/>
        <v>43x55F</v>
      </c>
      <c r="J80" s="308">
        <f>SynthFra!N51</f>
        <v>1.2218868474803309E-2</v>
      </c>
      <c r="K80" s="242"/>
      <c r="L80" s="311">
        <v>1.3108091155920237E-2</v>
      </c>
      <c r="M80" s="242"/>
      <c r="N80" s="313">
        <v>1.2218868474803309E-2</v>
      </c>
      <c r="O80" s="314">
        <f>_xll.qlSimpleQuoteSetValue(D80,ROUND(N80,6),EvaluationDate)</f>
        <v>0</v>
      </c>
      <c r="P80" s="186"/>
    </row>
    <row r="81" spans="1:16" x14ac:dyDescent="0.2">
      <c r="A81" s="343">
        <v>44</v>
      </c>
      <c r="B81" s="326" t="str">
        <f t="shared" si="5"/>
        <v>44x56F</v>
      </c>
      <c r="C81" s="179" t="str">
        <f t="shared" si="6"/>
        <v>EUR44x56F_SYNTH1Y_Quote</v>
      </c>
      <c r="D81" s="327" t="str">
        <f>_xll.qlSimpleQuote(C81,,RateTickValue,Permanent,Trigger,ObjectOverwrite)</f>
        <v>EUR44x56F_SYNTH1Y_Quote#0000</v>
      </c>
      <c r="E81" s="320" t="str">
        <f>_xll.ohRangeRetrieveError(D81)</f>
        <v/>
      </c>
      <c r="F81" s="190"/>
      <c r="H81" s="182">
        <v>44</v>
      </c>
      <c r="I81" s="307" t="str">
        <f t="shared" si="7"/>
        <v>44x56F</v>
      </c>
      <c r="J81" s="308">
        <f>SynthFra!N52</f>
        <v>1.2524921334422172E-2</v>
      </c>
      <c r="K81" s="242"/>
      <c r="L81" s="311">
        <v>1.3499794465815278E-2</v>
      </c>
      <c r="M81" s="242"/>
      <c r="N81" s="313">
        <v>1.2524921334422172E-2</v>
      </c>
      <c r="O81" s="314">
        <f>_xll.qlSimpleQuoteSetValue(D81,ROUND(N81,6),EvaluationDate)</f>
        <v>0</v>
      </c>
      <c r="P81" s="186"/>
    </row>
    <row r="82" spans="1:16" x14ac:dyDescent="0.2">
      <c r="A82" s="343">
        <v>45</v>
      </c>
      <c r="B82" s="326" t="str">
        <f t="shared" si="5"/>
        <v>45x57F</v>
      </c>
      <c r="C82" s="179" t="str">
        <f t="shared" si="6"/>
        <v>EUR45x57F_SYNTH1Y_Quote</v>
      </c>
      <c r="D82" s="327" t="str">
        <f>_xll.qlSimpleQuote(C82,,RateTickValue,Permanent,Trigger,ObjectOverwrite)</f>
        <v>EUR45x57F_SYNTH1Y_Quote#0000</v>
      </c>
      <c r="E82" s="320" t="str">
        <f>_xll.ohRangeRetrieveError(D82)</f>
        <v/>
      </c>
      <c r="F82" s="190"/>
      <c r="H82" s="182">
        <v>45</v>
      </c>
      <c r="I82" s="307" t="str">
        <f t="shared" si="7"/>
        <v>45x57F</v>
      </c>
      <c r="J82" s="308">
        <f>SynthFra!N53</f>
        <v>1.2842257375147031E-2</v>
      </c>
      <c r="K82" s="242"/>
      <c r="L82" s="311">
        <v>1.3842737344643009E-2</v>
      </c>
      <c r="M82" s="242"/>
      <c r="N82" s="313">
        <v>1.2842257375147031E-2</v>
      </c>
      <c r="O82" s="314">
        <f>_xll.qlSimpleQuoteSetValue(D82,ROUND(N82,6),EvaluationDate)</f>
        <v>0</v>
      </c>
      <c r="P82" s="186"/>
    </row>
    <row r="83" spans="1:16" x14ac:dyDescent="0.2">
      <c r="A83" s="343">
        <v>46</v>
      </c>
      <c r="B83" s="326" t="str">
        <f t="shared" si="5"/>
        <v>46x58F</v>
      </c>
      <c r="C83" s="179" t="str">
        <f t="shared" si="6"/>
        <v>EUR46x58F_SYNTH1Y_Quote</v>
      </c>
      <c r="D83" s="327" t="str">
        <f>_xll.qlSimpleQuote(C83,,RateTickValue,Permanent,Trigger,ObjectOverwrite)</f>
        <v>EUR46x58F_SYNTH1Y_Quote#0000</v>
      </c>
      <c r="E83" s="320" t="str">
        <f>_xll.ohRangeRetrieveError(D83)</f>
        <v/>
      </c>
      <c r="F83" s="190"/>
      <c r="H83" s="182">
        <v>46</v>
      </c>
      <c r="I83" s="307" t="str">
        <f t="shared" si="7"/>
        <v>46x58F</v>
      </c>
      <c r="J83" s="308">
        <f>SynthFra!N54</f>
        <v>1.3130807664961195E-2</v>
      </c>
      <c r="K83" s="242"/>
      <c r="L83" s="311">
        <v>1.4210090520771962E-2</v>
      </c>
      <c r="M83" s="242"/>
      <c r="N83" s="313">
        <v>1.3130807664961195E-2</v>
      </c>
      <c r="O83" s="314">
        <f>_xll.qlSimpleQuoteSetValue(D83,ROUND(N83,6),EvaluationDate)</f>
        <v>0</v>
      </c>
      <c r="P83" s="186"/>
    </row>
    <row r="84" spans="1:16" ht="12" thickBot="1" x14ac:dyDescent="0.25">
      <c r="A84" s="344">
        <v>47</v>
      </c>
      <c r="B84" s="329" t="str">
        <f t="shared" si="5"/>
        <v>47x59F</v>
      </c>
      <c r="C84" s="274" t="str">
        <f t="shared" si="6"/>
        <v>EUR47x59F_SYNTH1Y_Quote</v>
      </c>
      <c r="D84" s="341" t="str">
        <f>_xll.qlSimpleQuote(C84,,RateTickValue,Permanent,Trigger,ObjectOverwrite)</f>
        <v>EUR47x59F_SYNTH1Y_Quote#0000</v>
      </c>
      <c r="E84" s="331" t="str">
        <f>_xll.ohRangeRetrieveError(D84)</f>
        <v/>
      </c>
      <c r="F84" s="190"/>
      <c r="H84" s="182">
        <v>47</v>
      </c>
      <c r="I84" s="309" t="str">
        <f t="shared" si="7"/>
        <v>47x59F</v>
      </c>
      <c r="J84" s="310">
        <f>SynthFra!N55</f>
        <v>1.3430002200166474E-2</v>
      </c>
      <c r="K84" s="242"/>
      <c r="L84" s="312">
        <v>1.4577456619592477E-2</v>
      </c>
      <c r="M84" s="242"/>
      <c r="N84" s="351">
        <v>1.3430002200166474E-2</v>
      </c>
      <c r="O84" s="352">
        <f>_xll.qlSimpleQuoteSetValue(D84,ROUND(N84,6),EvaluationDate)</f>
        <v>0</v>
      </c>
      <c r="P84" s="186"/>
    </row>
    <row r="85" spans="1:16" ht="12" thickBot="1" x14ac:dyDescent="0.25">
      <c r="A85" s="191"/>
      <c r="B85" s="263"/>
      <c r="C85" s="264"/>
      <c r="D85" s="264"/>
      <c r="E85" s="264"/>
      <c r="F85" s="192"/>
      <c r="H85" s="187"/>
      <c r="I85" s="188"/>
      <c r="J85" s="188"/>
      <c r="K85" s="188"/>
      <c r="L85" s="188"/>
      <c r="M85" s="188"/>
      <c r="N85" s="188"/>
      <c r="O85" s="188"/>
      <c r="P85" s="189"/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60"/>
  <sheetViews>
    <sheetView workbookViewId="0"/>
  </sheetViews>
  <sheetFormatPr defaultRowHeight="11.25" x14ac:dyDescent="0.2"/>
  <cols>
    <col min="1" max="1" width="2.83203125" style="381" customWidth="1"/>
    <col min="2" max="2" width="28.6640625" style="381" bestFit="1" customWidth="1"/>
    <col min="3" max="3" width="20.83203125" style="381" customWidth="1"/>
    <col min="4" max="5" width="20.83203125" style="381" bestFit="1" customWidth="1"/>
    <col min="6" max="6" width="18.5" style="381" hidden="1" customWidth="1"/>
    <col min="7" max="7" width="10" style="381" bestFit="1" customWidth="1"/>
    <col min="8" max="8" width="14.1640625" style="381" bestFit="1" customWidth="1"/>
    <col min="9" max="9" width="10" style="381" bestFit="1" customWidth="1"/>
    <col min="10" max="10" width="9.33203125" style="381" hidden="1" customWidth="1"/>
    <col min="11" max="11" width="10.5" style="381" bestFit="1" customWidth="1"/>
    <col min="12" max="16384" width="9.33203125" style="381"/>
  </cols>
  <sheetData>
    <row r="1" spans="1:10" ht="12" thickBot="1" x14ac:dyDescent="0.25"/>
    <row r="2" spans="1:10" ht="23.25" customHeight="1" thickBot="1" x14ac:dyDescent="0.25">
      <c r="B2" s="394" t="s">
        <v>148</v>
      </c>
      <c r="C2" s="394" t="s">
        <v>106</v>
      </c>
      <c r="D2" s="395" t="s">
        <v>127</v>
      </c>
      <c r="E2" s="418" t="s">
        <v>128</v>
      </c>
      <c r="F2" s="418"/>
      <c r="G2" s="418" t="s">
        <v>154</v>
      </c>
      <c r="H2" s="396" t="s">
        <v>45</v>
      </c>
      <c r="I2" s="429" t="s">
        <v>149</v>
      </c>
    </row>
    <row r="3" spans="1:10" x14ac:dyDescent="0.2">
      <c r="B3" s="401" t="s">
        <v>155</v>
      </c>
      <c r="C3" s="400">
        <f>RateHelpersFra!G2</f>
        <v>4.8900000000000002E-3</v>
      </c>
      <c r="D3" s="398">
        <f>RateHelpersFra!K2</f>
        <v>41856</v>
      </c>
      <c r="E3" s="398">
        <f>RateHelpersFra!L2</f>
        <v>42221</v>
      </c>
      <c r="F3" s="398" t="str">
        <f>_xll.qlMakeDatedOIS(,D3,E3,OvernightIndex,0,"Act/360",0)</f>
        <v>obj_0043c#0007</v>
      </c>
      <c r="G3" s="420">
        <f>_xll.qlIndexFixing(IborIndex,SynthFra!G2,TRUE,InterestRatesTrigger)</f>
        <v>4.8900000000000063E-3</v>
      </c>
      <c r="H3" s="400">
        <f>SynthFra!L2</f>
        <v>5.6000000000125979E-4</v>
      </c>
      <c r="I3" s="430">
        <f>SynthFra!M2</f>
        <v>4.3299999999999996E-3</v>
      </c>
      <c r="J3" s="424">
        <f>I3-H11</f>
        <v>0</v>
      </c>
    </row>
    <row r="4" spans="1:10" x14ac:dyDescent="0.2">
      <c r="B4" s="401" t="s">
        <v>150</v>
      </c>
      <c r="C4" s="400">
        <f>RateHelpersFra!G3</f>
        <v>5.3600000000000002E-3</v>
      </c>
      <c r="D4" s="398">
        <f>RateHelpersFra!K3</f>
        <v>42221</v>
      </c>
      <c r="E4" s="398">
        <f>RateHelpersFra!L3</f>
        <v>42587</v>
      </c>
      <c r="F4" s="398" t="str">
        <f>_xll.qlMakeDatedOIS(,D4,E4,OvernightIndex,0,"Act/360",0)</f>
        <v>obj_0043d#0007</v>
      </c>
      <c r="G4" s="420">
        <f>_xll.qlIndexFixing(IborIndex,SynthFra!G3,TRUE,InterestRatesTrigger)</f>
        <v>5.3600000000000826E-3</v>
      </c>
      <c r="H4" s="400">
        <f>SynthFra!L3</f>
        <v>8.1975285673060864E-4</v>
      </c>
      <c r="I4" s="430">
        <f>SynthFra!M3</f>
        <v>4.5399999999999998E-3</v>
      </c>
      <c r="J4" s="424">
        <f>I4-H23</f>
        <v>0</v>
      </c>
    </row>
    <row r="5" spans="1:10" x14ac:dyDescent="0.2">
      <c r="B5" s="401" t="s">
        <v>151</v>
      </c>
      <c r="C5" s="400">
        <f>RateHelpersFra!G4</f>
        <v>5.8200000000000005E-3</v>
      </c>
      <c r="D5" s="398">
        <f>RateHelpersFra!K4</f>
        <v>41856</v>
      </c>
      <c r="E5" s="398">
        <f>RateHelpersFra!L4</f>
        <v>42954</v>
      </c>
      <c r="F5" s="398" t="str">
        <f>_xll.qlMakeDatedOIS(,D5,E5,OvernightIndex,0,"Act/360",0)</f>
        <v>obj_00440#0007</v>
      </c>
      <c r="G5" s="420">
        <f>_xll.qlIndexFixing(IborIndex,SynthFra!G4,TRUE,InterestRatesTrigger)</f>
        <v>6.9536088593760868E-3</v>
      </c>
      <c r="H5" s="400">
        <f>SynthFra!L4</f>
        <v>2.3985903811910053E-3</v>
      </c>
      <c r="I5" s="430">
        <f>SynthFra!M4</f>
        <v>4.555E-3</v>
      </c>
      <c r="J5" s="424">
        <f>I5-H35</f>
        <v>0</v>
      </c>
    </row>
    <row r="6" spans="1:10" x14ac:dyDescent="0.2">
      <c r="B6" s="401" t="s">
        <v>152</v>
      </c>
      <c r="C6" s="400">
        <f>RateHelpersFra!G5</f>
        <v>6.94E-3</v>
      </c>
      <c r="D6" s="398">
        <f>RateHelpersFra!K5</f>
        <v>41856</v>
      </c>
      <c r="E6" s="398">
        <f>RateHelpersFra!L5</f>
        <v>43318</v>
      </c>
      <c r="F6" s="398" t="str">
        <f>_xll.qlMakeDatedOIS(,D6,E6,OvernightIndex,0,"Act/360",0)</f>
        <v>obj_0043f#0007</v>
      </c>
      <c r="G6" s="420">
        <f>_xll.qlIndexFixing(IborIndex,SynthFra!G5,TRUE,InterestRatesTrigger)</f>
        <v>1.0203625051710671E-2</v>
      </c>
      <c r="H6" s="400">
        <f>SynthFra!L5</f>
        <v>5.2221192383722194E-3</v>
      </c>
      <c r="I6" s="430">
        <f>SynthFra!M5</f>
        <v>4.9820000000000003E-3</v>
      </c>
      <c r="J6" s="424">
        <f>I6-H47</f>
        <v>0</v>
      </c>
    </row>
    <row r="7" spans="1:10" ht="12" thickBot="1" x14ac:dyDescent="0.25">
      <c r="B7" s="403" t="s">
        <v>153</v>
      </c>
      <c r="C7" s="428">
        <f>RateHelpersFra!G6</f>
        <v>8.320000000000001E-3</v>
      </c>
      <c r="D7" s="426">
        <f>RateHelpersFra!K6</f>
        <v>41856</v>
      </c>
      <c r="E7" s="426">
        <f>RateHelpersFra!L6</f>
        <v>43682</v>
      </c>
      <c r="F7" s="426" t="str">
        <f>_xll.qlMakeDatedOIS(,D7,E7,OvernightIndex,0,"Act/360",0)</f>
        <v>obj_0043e#0007</v>
      </c>
      <c r="G7" s="427">
        <f>_xll.qlIndexFixing(IborIndex,SynthFra!G6,TRUE,InterestRatesTrigger)</f>
        <v>1.3749160499389727E-2</v>
      </c>
      <c r="H7" s="428">
        <f>SynthFra!L6</f>
        <v>8.739617153593577E-3</v>
      </c>
      <c r="I7" s="431">
        <f>SynthFra!M6</f>
        <v>5.0099999999999997E-3</v>
      </c>
      <c r="J7" s="424">
        <f>I7-H59</f>
        <v>0</v>
      </c>
    </row>
    <row r="9" spans="1:10" ht="12" thickBot="1" x14ac:dyDescent="0.25"/>
    <row r="10" spans="1:10" ht="23.25" thickBot="1" x14ac:dyDescent="0.25">
      <c r="A10" s="402"/>
      <c r="B10" s="394" t="s">
        <v>148</v>
      </c>
      <c r="C10" s="394" t="s">
        <v>126</v>
      </c>
      <c r="D10" s="395" t="s">
        <v>127</v>
      </c>
      <c r="E10" s="418" t="s">
        <v>128</v>
      </c>
      <c r="F10" s="418"/>
      <c r="G10" s="418" t="s">
        <v>45</v>
      </c>
      <c r="H10" s="396" t="s">
        <v>149</v>
      </c>
      <c r="I10" s="395" t="s">
        <v>142</v>
      </c>
      <c r="J10" s="423"/>
    </row>
    <row r="11" spans="1:10" x14ac:dyDescent="0.2">
      <c r="A11" s="268"/>
      <c r="B11" s="405" t="s">
        <v>155</v>
      </c>
      <c r="C11" s="414">
        <f>_xll.qlInterestRateIndexFixingDate(IborIndex,D11)</f>
        <v>41852</v>
      </c>
      <c r="D11" s="415">
        <f>SynthFra!I2</f>
        <v>41856</v>
      </c>
      <c r="E11" s="415">
        <f>_xll.qlCalendarAdvance(Calendar,D11,"1Y","mf")</f>
        <v>42221</v>
      </c>
      <c r="F11" s="415" t="str">
        <f>_xll.qlMakeDatedOIS(,D11,E11,OvernightIndex,0,"Act/360",0)</f>
        <v>obj_003ff#0000</v>
      </c>
      <c r="G11" s="419">
        <f>_xll.qlOvernightIndexedSwapFairRate(F11,Contribution!$P$25)</f>
        <v>5.6000000000125979E-4</v>
      </c>
      <c r="H11" s="417">
        <f t="array" ref="H11:H59">_xll.qlInterpolationInterpolate(BasisInterpolator,D11:D59,FALSE,_xll.ohTrigger(Trigger,InterestRatesTrigger))</f>
        <v>4.3299999999999996E-3</v>
      </c>
      <c r="I11" s="416">
        <f t="shared" ref="I11:I45" si="0">G11+H11</f>
        <v>4.8900000000012597E-3</v>
      </c>
      <c r="J11" s="424">
        <f>SynthFra!N8-FRACharts!I11</f>
        <v>0</v>
      </c>
    </row>
    <row r="12" spans="1:10" x14ac:dyDescent="0.2">
      <c r="A12" s="268"/>
      <c r="B12" s="401" t="str">
        <f>"Synthetic FRA "&amp;SynthFra!F9&amp;"x"&amp;SynthFra!F9+12</f>
        <v>Synthetic FRA 1x13</v>
      </c>
      <c r="C12" s="397">
        <f>_xll.qlInterestRateIndexFixingDate(IborIndex,D12)</f>
        <v>41885</v>
      </c>
      <c r="D12" s="398">
        <f>SynthFra!I9</f>
        <v>41887</v>
      </c>
      <c r="E12" s="398">
        <f>_xll.qlCalendarAdvance(Calendar,D12,"1Y","mf")</f>
        <v>42254</v>
      </c>
      <c r="F12" s="398" t="str">
        <f>_xll.qlMakeDatedOIS(,D12,E12,OvernightIndex,0,"Act/360",0)</f>
        <v>obj_003e5#0000</v>
      </c>
      <c r="G12" s="420">
        <f>_xll.qlOvernightIndexedSwapFairRate(F12,Contribution!$P$25)</f>
        <v>5.3986179201685844E-4</v>
      </c>
      <c r="H12" s="400">
        <v>4.3552948272580832E-3</v>
      </c>
      <c r="I12" s="399">
        <f t="shared" si="0"/>
        <v>4.8951566192749416E-3</v>
      </c>
      <c r="J12" s="424">
        <f>SynthFra!N9-FRACharts!I12</f>
        <v>0</v>
      </c>
    </row>
    <row r="13" spans="1:10" x14ac:dyDescent="0.2">
      <c r="A13" s="268"/>
      <c r="B13" s="401" t="str">
        <f>"Synthetic FRA "&amp;SynthFra!F10&amp;"x"&amp;SynthFra!F10+12</f>
        <v>Synthetic FRA 2x14</v>
      </c>
      <c r="C13" s="397">
        <f>_xll.qlInterestRateIndexFixingDate(IborIndex,D13)</f>
        <v>41914</v>
      </c>
      <c r="D13" s="398">
        <f>SynthFra!I10</f>
        <v>41918</v>
      </c>
      <c r="E13" s="398">
        <f>_xll.qlCalendarAdvance(Calendar,D13,"1Y","mf")</f>
        <v>42283</v>
      </c>
      <c r="F13" s="398" t="str">
        <f>_xll.qlMakeDatedOIS(,D13,E13,OvernightIndex,0,"Act/360",0)</f>
        <v>obj_00403#0000</v>
      </c>
      <c r="G13" s="420">
        <f>_xll.qlOvernightIndexedSwapFairRate(F13,Contribution!$P$25)</f>
        <v>5.2044932144811517E-4</v>
      </c>
      <c r="H13" s="400">
        <v>4.3802644729884158E-3</v>
      </c>
      <c r="I13" s="399">
        <f t="shared" si="0"/>
        <v>4.9007137944365314E-3</v>
      </c>
      <c r="J13" s="424">
        <f>SynthFra!N10-FRACharts!I13</f>
        <v>0</v>
      </c>
    </row>
    <row r="14" spans="1:10" x14ac:dyDescent="0.2">
      <c r="A14" s="268"/>
      <c r="B14" s="401" t="str">
        <f>"Synthetic FRA "&amp;SynthFra!F11&amp;"x"&amp;SynthFra!F11+12</f>
        <v>Synthetic FRA 3x15</v>
      </c>
      <c r="C14" s="397">
        <f>_xll.qlInterestRateIndexFixingDate(IborIndex,D14)</f>
        <v>41946</v>
      </c>
      <c r="D14" s="398">
        <f>SynthFra!I11</f>
        <v>41948</v>
      </c>
      <c r="E14" s="398">
        <f>_xll.qlCalendarAdvance(Calendar,D14,"1Y","mf")</f>
        <v>42313</v>
      </c>
      <c r="F14" s="398" t="str">
        <f>_xll.qlMakeDatedOIS(,D14,E14,OvernightIndex,0,"Act/360",0)</f>
        <v>obj_003f5#0000</v>
      </c>
      <c r="G14" s="420">
        <f>_xll.qlOvernightIndexedSwapFairRate(F14,Contribution!$P$25)</f>
        <v>5.1729535265217447E-4</v>
      </c>
      <c r="H14" s="400">
        <v>4.4038127432278196E-3</v>
      </c>
      <c r="I14" s="399">
        <f t="shared" si="0"/>
        <v>4.9211080958799936E-3</v>
      </c>
      <c r="J14" s="424">
        <f>SynthFra!N11-FRACharts!I14</f>
        <v>0</v>
      </c>
    </row>
    <row r="15" spans="1:10" x14ac:dyDescent="0.2">
      <c r="A15" s="268"/>
      <c r="B15" s="401" t="str">
        <f>"Synthetic FRA "&amp;SynthFra!F12&amp;"x"&amp;SynthFra!F12+12</f>
        <v>Synthetic FRA 4x16</v>
      </c>
      <c r="C15" s="397">
        <f>_xll.qlInterestRateIndexFixingDate(IborIndex,D15)</f>
        <v>41976</v>
      </c>
      <c r="D15" s="398">
        <f>SynthFra!I12</f>
        <v>41978</v>
      </c>
      <c r="E15" s="398">
        <f>_xll.qlCalendarAdvance(Calendar,D15,"1Y","mf")</f>
        <v>42345</v>
      </c>
      <c r="F15" s="398" t="str">
        <f>_xll.qlMakeDatedOIS(,D15,E15,OvernightIndex,0,"Act/360",0)</f>
        <v>obj_003f2#0000</v>
      </c>
      <c r="G15" s="420">
        <f>_xll.qlOvernightIndexedSwapFairRate(F15,Contribution!$P$25)</f>
        <v>5.1115068348425469E-4</v>
      </c>
      <c r="H15" s="400">
        <v>4.4264572159949051E-3</v>
      </c>
      <c r="I15" s="399">
        <f t="shared" si="0"/>
        <v>4.9376078994791597E-3</v>
      </c>
      <c r="J15" s="424">
        <f>SynthFra!N12-FRACharts!I15</f>
        <v>0</v>
      </c>
    </row>
    <row r="16" spans="1:10" x14ac:dyDescent="0.2">
      <c r="A16" s="268"/>
      <c r="B16" s="401" t="str">
        <f>"Synthetic FRA "&amp;SynthFra!F13&amp;"x"&amp;SynthFra!F13+12</f>
        <v>Synthetic FRA 5x17</v>
      </c>
      <c r="C16" s="397">
        <f>_xll.qlInterestRateIndexFixingDate(IborIndex,D16)</f>
        <v>42004</v>
      </c>
      <c r="D16" s="398">
        <f>SynthFra!I13</f>
        <v>42009</v>
      </c>
      <c r="E16" s="398">
        <f>_xll.qlCalendarAdvance(Calendar,D16,"1Y","mf")</f>
        <v>42374</v>
      </c>
      <c r="F16" s="398" t="str">
        <f>_xll.qlMakeDatedOIS(,D16,E16,OvernightIndex,0,"Act/360",0)</f>
        <v>obj_003e4#0000</v>
      </c>
      <c r="G16" s="420">
        <f>_xll.qlOvernightIndexedSwapFairRate(F16,Contribution!$P$25)</f>
        <v>5.1181862976941038E-4</v>
      </c>
      <c r="H16" s="400">
        <v>4.4485939587592255E-3</v>
      </c>
      <c r="I16" s="399">
        <f t="shared" si="0"/>
        <v>4.9604125885286355E-3</v>
      </c>
      <c r="J16" s="424">
        <f>SynthFra!N13-FRACharts!I16</f>
        <v>0</v>
      </c>
    </row>
    <row r="17" spans="1:10" x14ac:dyDescent="0.2">
      <c r="A17" s="268"/>
      <c r="B17" s="401" t="str">
        <f>"Synthetic FRA "&amp;SynthFra!F14&amp;"x"&amp;SynthFra!F14+12</f>
        <v>Synthetic FRA 6x18</v>
      </c>
      <c r="C17" s="397">
        <f>_xll.qlInterestRateIndexFixingDate(IborIndex,D17)</f>
        <v>42038</v>
      </c>
      <c r="D17" s="398">
        <f>SynthFra!I14</f>
        <v>42040</v>
      </c>
      <c r="E17" s="398">
        <f>_xll.qlCalendarAdvance(Calendar,D17,"1Y","mf")</f>
        <v>42405</v>
      </c>
      <c r="F17" s="398" t="str">
        <f>_xll.qlMakeDatedOIS(,D17,E17,OvernightIndex,0,"Act/360",0)</f>
        <v>obj_003d1#0000</v>
      </c>
      <c r="G17" s="420">
        <f>_xll.qlOvernightIndexedSwapFairRate(F17,Contribution!$P$25)</f>
        <v>5.2470365863355802E-4</v>
      </c>
      <c r="H17" s="400">
        <v>4.4691257733381912E-3</v>
      </c>
      <c r="I17" s="399">
        <f t="shared" si="0"/>
        <v>4.9938294319717491E-3</v>
      </c>
      <c r="J17" s="424">
        <f>SynthFra!N14-FRACharts!I17</f>
        <v>0</v>
      </c>
    </row>
    <row r="18" spans="1:10" x14ac:dyDescent="0.2">
      <c r="A18" s="268"/>
      <c r="B18" s="401" t="str">
        <f>"Synthetic FRA "&amp;SynthFra!F15&amp;"x"&amp;SynthFra!F15+12</f>
        <v>Synthetic FRA 7x19</v>
      </c>
      <c r="C18" s="397">
        <f>_xll.qlInterestRateIndexFixingDate(IborIndex,D18)</f>
        <v>42066</v>
      </c>
      <c r="D18" s="398">
        <f>SynthFra!I15</f>
        <v>42068</v>
      </c>
      <c r="E18" s="398">
        <f>_xll.qlCalendarAdvance(Calendar,D18,"1Y","mf")</f>
        <v>42436</v>
      </c>
      <c r="F18" s="398" t="str">
        <f>_xll.qlMakeDatedOIS(,D18,E18,OvernightIndex,0,"Act/360",0)</f>
        <v>obj_003fc#0000</v>
      </c>
      <c r="G18" s="420">
        <f>_xll.qlOvernightIndexedSwapFairRate(F18,Contribution!$P$25)</f>
        <v>5.3000922128773012E-4</v>
      </c>
      <c r="H18" s="400">
        <v>4.4860206837916469E-3</v>
      </c>
      <c r="I18" s="399">
        <f t="shared" si="0"/>
        <v>5.0160299050793769E-3</v>
      </c>
      <c r="J18" s="424">
        <f>SynthFra!N15-FRACharts!I18</f>
        <v>0</v>
      </c>
    </row>
    <row r="19" spans="1:10" x14ac:dyDescent="0.2">
      <c r="A19" s="268"/>
      <c r="B19" s="401" t="str">
        <f>"Synthetic FRA "&amp;SynthFra!F16&amp;"x"&amp;SynthFra!F16+12</f>
        <v>Synthetic FRA 8x20</v>
      </c>
      <c r="C19" s="397">
        <f>_xll.qlInterestRateIndexFixingDate(IborIndex,D19)</f>
        <v>42095</v>
      </c>
      <c r="D19" s="398">
        <f>SynthFra!I16</f>
        <v>42101</v>
      </c>
      <c r="E19" s="398">
        <f>_xll.qlCalendarAdvance(Calendar,D19,"1Y","mf")</f>
        <v>42467</v>
      </c>
      <c r="F19" s="398" t="str">
        <f>_xll.qlMakeDatedOIS(,D19,E19,OvernightIndex,0,"Act/360",0)</f>
        <v>obj_003f8#0000</v>
      </c>
      <c r="G19" s="420">
        <f>_xll.qlOvernightIndexedSwapFairRate(F19,Contribution!$P$25)</f>
        <v>5.5865794928450143E-4</v>
      </c>
      <c r="H19" s="400">
        <v>4.5035851196260131E-3</v>
      </c>
      <c r="I19" s="399">
        <f t="shared" si="0"/>
        <v>5.0622430689105146E-3</v>
      </c>
      <c r="J19" s="424">
        <f>SynthFra!N16-FRACharts!I19</f>
        <v>0</v>
      </c>
    </row>
    <row r="20" spans="1:10" x14ac:dyDescent="0.2">
      <c r="A20" s="268"/>
      <c r="B20" s="401" t="str">
        <f>"Synthetic FRA "&amp;SynthFra!F17&amp;"x"&amp;SynthFra!F17+12</f>
        <v>Synthetic FRA 9x21</v>
      </c>
      <c r="C20" s="397">
        <f>_xll.qlInterestRateIndexFixingDate(IborIndex,D20)</f>
        <v>42124</v>
      </c>
      <c r="D20" s="398">
        <f>SynthFra!I17</f>
        <v>42129</v>
      </c>
      <c r="E20" s="398">
        <f>_xll.qlCalendarAdvance(Calendar,D20,"1Y","mf")</f>
        <v>42495</v>
      </c>
      <c r="F20" s="398" t="str">
        <f>_xll.qlMakeDatedOIS(,D20,E20,OvernightIndex,0,"Act/360",0)</f>
        <v>obj_003f1#0000</v>
      </c>
      <c r="G20" s="420">
        <f>_xll.qlOvernightIndexedSwapFairRate(F20,Contribution!$P$25)</f>
        <v>6.0257096547723177E-4</v>
      </c>
      <c r="H20" s="400">
        <v>4.5162199785106103E-3</v>
      </c>
      <c r="I20" s="399">
        <f t="shared" si="0"/>
        <v>5.1187909439878426E-3</v>
      </c>
      <c r="J20" s="424">
        <f>SynthFra!N17-FRACharts!I20</f>
        <v>0</v>
      </c>
    </row>
    <row r="21" spans="1:10" x14ac:dyDescent="0.2">
      <c r="A21" s="268"/>
      <c r="B21" s="401" t="str">
        <f>"Synthetic FRA "&amp;SynthFra!F18&amp;"x"&amp;SynthFra!F18+12</f>
        <v>Synthetic FRA 10x22</v>
      </c>
      <c r="C21" s="397">
        <f>_xll.qlInterestRateIndexFixingDate(IborIndex,D21)</f>
        <v>42158</v>
      </c>
      <c r="D21" s="398">
        <f>SynthFra!I18</f>
        <v>42160</v>
      </c>
      <c r="E21" s="398">
        <f>_xll.qlCalendarAdvance(Calendar,D21,"1Y","mf")</f>
        <v>42527</v>
      </c>
      <c r="F21" s="398" t="str">
        <f>_xll.qlMakeDatedOIS(,D21,E21,OvernightIndex,0,"Act/360",0)</f>
        <v>obj_003d8#0000</v>
      </c>
      <c r="G21" s="420">
        <f>_xll.qlOvernightIndexedSwapFairRate(F21,Contribution!$P$25)</f>
        <v>6.637324524390116E-4</v>
      </c>
      <c r="H21" s="400">
        <v>4.5274734606328103E-3</v>
      </c>
      <c r="I21" s="399">
        <f t="shared" si="0"/>
        <v>5.1912059130718221E-3</v>
      </c>
      <c r="J21" s="424">
        <f>SynthFra!N18-FRACharts!I21</f>
        <v>0</v>
      </c>
    </row>
    <row r="22" spans="1:10" x14ac:dyDescent="0.2">
      <c r="A22" s="268"/>
      <c r="B22" s="401" t="str">
        <f>"Synthetic FRA "&amp;SynthFra!F19&amp;"x"&amp;SynthFra!F19+12</f>
        <v>Synthetic FRA 11x23</v>
      </c>
      <c r="C22" s="397">
        <f>_xll.qlInterestRateIndexFixingDate(IborIndex,D22)</f>
        <v>42187</v>
      </c>
      <c r="D22" s="398">
        <f>SynthFra!I19</f>
        <v>42191</v>
      </c>
      <c r="E22" s="398">
        <f>_xll.qlCalendarAdvance(Calendar,D22,"1Y","mf")</f>
        <v>42557</v>
      </c>
      <c r="F22" s="398" t="str">
        <f>_xll.qlMakeDatedOIS(,D22,E22,OvernightIndex,0,"Act/360",0)</f>
        <v>obj_003ef#0000</v>
      </c>
      <c r="G22" s="420">
        <f>_xll.qlOvernightIndexedSwapFairRate(F22,Contribution!$P$25)</f>
        <v>7.3543206762526189E-4</v>
      </c>
      <c r="H22" s="400">
        <v>4.5355380658377038E-3</v>
      </c>
      <c r="I22" s="399">
        <f t="shared" si="0"/>
        <v>5.2709701334629653E-3</v>
      </c>
      <c r="J22" s="424">
        <f>SynthFra!N19-FRACharts!I22</f>
        <v>0</v>
      </c>
    </row>
    <row r="23" spans="1:10" x14ac:dyDescent="0.2">
      <c r="A23" s="268"/>
      <c r="B23" s="405" t="str">
        <f>"FRA "&amp;SynthFra!F20&amp;"x"&amp;SynthFra!F20+12</f>
        <v>FRA 12x24</v>
      </c>
      <c r="C23" s="410">
        <f>_xll.qlInterestRateIndexFixingDate(IborIndex,D23)</f>
        <v>42219</v>
      </c>
      <c r="D23" s="411">
        <f>SynthFra!I3</f>
        <v>42221</v>
      </c>
      <c r="E23" s="411">
        <f>_xll.qlCalendarAdvance(Calendar,D23,"1Y","mf")</f>
        <v>42587</v>
      </c>
      <c r="F23" s="411" t="str">
        <f>_xll.qlMakeDatedOIS(,D23,E23,OvernightIndex,0,"Act/360",0)</f>
        <v>obj_003f7#0000</v>
      </c>
      <c r="G23" s="421">
        <f>_xll.qlOvernightIndexedSwapFairRate(F23,Contribution!$P$25)</f>
        <v>8.1975285673060864E-4</v>
      </c>
      <c r="H23" s="413">
        <v>4.5399999999999998E-3</v>
      </c>
      <c r="I23" s="412">
        <f t="shared" si="0"/>
        <v>5.3597528567306081E-3</v>
      </c>
      <c r="J23" s="424">
        <f>SynthFra!N20-FRACharts!I23</f>
        <v>0</v>
      </c>
    </row>
    <row r="24" spans="1:10" x14ac:dyDescent="0.2">
      <c r="A24" s="268"/>
      <c r="B24" s="401" t="str">
        <f>"Synthetic FRA "&amp;SynthFra!F21&amp;"x"&amp;SynthFra!F21+12</f>
        <v>Synthetic FRA 13x25</v>
      </c>
      <c r="C24" s="397">
        <f>_xll.qlInterestRateIndexFixingDate(IborIndex,D24)</f>
        <v>42250</v>
      </c>
      <c r="D24" s="398">
        <f>SynthFra!I21</f>
        <v>42254</v>
      </c>
      <c r="E24" s="398">
        <f>_xll.qlCalendarAdvance(Calendar,D24,"1Y","mf")</f>
        <v>42620</v>
      </c>
      <c r="F24" s="398" t="str">
        <f>_xll.qlMakeDatedOIS(,D24,E24,OvernightIndex,0,"Act/360",0)</f>
        <v>obj_00402#0000</v>
      </c>
      <c r="G24" s="420">
        <f>_xll.qlOvernightIndexedSwapFairRate(F24,Contribution!$P$25)</f>
        <v>9.1874675766097889E-4</v>
      </c>
      <c r="H24" s="400">
        <v>4.542486133369026E-3</v>
      </c>
      <c r="I24" s="399">
        <f t="shared" si="0"/>
        <v>5.4612328910300049E-3</v>
      </c>
      <c r="J24" s="424">
        <f>SynthFra!N21-FRACharts!I24</f>
        <v>0</v>
      </c>
    </row>
    <row r="25" spans="1:10" x14ac:dyDescent="0.2">
      <c r="A25" s="268"/>
      <c r="B25" s="401" t="str">
        <f>"Synthetic FRA "&amp;SynthFra!F22&amp;"x"&amp;SynthFra!F22+12</f>
        <v>Synthetic FRA 14x26</v>
      </c>
      <c r="C25" s="397">
        <f>_xll.qlInterestRateIndexFixingDate(IborIndex,D25)</f>
        <v>42278</v>
      </c>
      <c r="D25" s="398">
        <f>SynthFra!I22</f>
        <v>42282</v>
      </c>
      <c r="E25" s="398">
        <f>_xll.qlCalendarAdvance(Calendar,D25,"1Y","mf")</f>
        <v>42648</v>
      </c>
      <c r="F25" s="398" t="str">
        <f>_xll.qlMakeDatedOIS(,D25,E25,OvernightIndex,0,"Act/360",0)</f>
        <v>obj_003d2#0000</v>
      </c>
      <c r="G25" s="420">
        <f>_xll.qlOvernightIndexedSwapFairRate(F25,Contribution!$P$25)</f>
        <v>1.0071139137339377E-3</v>
      </c>
      <c r="H25" s="400">
        <v>4.5439076357153968E-3</v>
      </c>
      <c r="I25" s="399">
        <f t="shared" si="0"/>
        <v>5.5510215494493347E-3</v>
      </c>
      <c r="J25" s="424">
        <f>SynthFra!N22-FRACharts!I25</f>
        <v>0</v>
      </c>
    </row>
    <row r="26" spans="1:10" x14ac:dyDescent="0.2">
      <c r="A26" s="268"/>
      <c r="B26" s="401" t="str">
        <f>"Synthetic FRA "&amp;SynthFra!F23&amp;"x"&amp;SynthFra!F23+12</f>
        <v>Synthetic FRA 15x27</v>
      </c>
      <c r="C26" s="397">
        <f>_xll.qlInterestRateIndexFixingDate(IborIndex,D26)</f>
        <v>42311</v>
      </c>
      <c r="D26" s="398">
        <f>SynthFra!I23</f>
        <v>42313</v>
      </c>
      <c r="E26" s="398">
        <f>_xll.qlCalendarAdvance(Calendar,D26,"1Y","mf")</f>
        <v>42681</v>
      </c>
      <c r="F26" s="398" t="str">
        <f>_xll.qlMakeDatedOIS(,D26,E26,OvernightIndex,0,"Act/360",0)</f>
        <v>obj_003eb#0000</v>
      </c>
      <c r="G26" s="420">
        <f>_xll.qlOvernightIndexedSwapFairRate(F26,Contribution!$P$25)</f>
        <v>1.1151269036892588E-3</v>
      </c>
      <c r="H26" s="400">
        <v>4.5449100577214536E-3</v>
      </c>
      <c r="I26" s="399">
        <f t="shared" si="0"/>
        <v>5.6600369614107126E-3</v>
      </c>
      <c r="J26" s="424">
        <f>SynthFra!N23-FRACharts!I26</f>
        <v>0</v>
      </c>
    </row>
    <row r="27" spans="1:10" x14ac:dyDescent="0.2">
      <c r="A27" s="268"/>
      <c r="B27" s="401" t="str">
        <f>"Synthetic FRA "&amp;SynthFra!F24&amp;"x"&amp;SynthFra!F24+12</f>
        <v>Synthetic FRA 16x28</v>
      </c>
      <c r="C27" s="397">
        <f>_xll.qlInterestRateIndexFixingDate(IborIndex,D27)</f>
        <v>42341</v>
      </c>
      <c r="D27" s="398">
        <f>SynthFra!I24</f>
        <v>42345</v>
      </c>
      <c r="E27" s="398">
        <f>_xll.qlCalendarAdvance(Calendar,D27,"1Y","mf")</f>
        <v>42711</v>
      </c>
      <c r="F27" s="398" t="str">
        <f>_xll.qlMakeDatedOIS(,D27,E27,OvernightIndex,0,"Act/360",0)</f>
        <v>obj_003fe#0000</v>
      </c>
      <c r="G27" s="420">
        <f>_xll.qlOvernightIndexedSwapFairRate(F27,Contribution!$P$25)</f>
        <v>1.2268647852062503E-3</v>
      </c>
      <c r="H27" s="400">
        <v>4.5454952283189394E-3</v>
      </c>
      <c r="I27" s="399">
        <f t="shared" si="0"/>
        <v>5.7723600135251895E-3</v>
      </c>
      <c r="J27" s="424">
        <f>SynthFra!N24-FRACharts!I27</f>
        <v>0</v>
      </c>
    </row>
    <row r="28" spans="1:10" x14ac:dyDescent="0.2">
      <c r="A28" s="268"/>
      <c r="B28" s="401" t="str">
        <f>"Synthetic FRA "&amp;SynthFra!F25&amp;"x"&amp;SynthFra!F25+12</f>
        <v>Synthetic FRA 17x29</v>
      </c>
      <c r="C28" s="397">
        <f>_xll.qlInterestRateIndexFixingDate(IborIndex,D28)</f>
        <v>42369</v>
      </c>
      <c r="D28" s="398">
        <f>SynthFra!I25</f>
        <v>42374</v>
      </c>
      <c r="E28" s="398">
        <f>_xll.qlCalendarAdvance(Calendar,D28,"1Y","mf")</f>
        <v>42740</v>
      </c>
      <c r="F28" s="398" t="str">
        <f>_xll.qlMakeDatedOIS(,D28,E28,OvernightIndex,0,"Act/360",0)</f>
        <v>obj_00400#0000</v>
      </c>
      <c r="G28" s="420">
        <f>_xll.qlOvernightIndexedSwapFairRate(F28,Contribution!$P$25)</f>
        <v>1.339279541548107E-3</v>
      </c>
      <c r="H28" s="400">
        <v>4.5457909085412605E-3</v>
      </c>
      <c r="I28" s="399">
        <f t="shared" si="0"/>
        <v>5.8850704500893677E-3</v>
      </c>
      <c r="J28" s="424">
        <f>SynthFra!N25-FRACharts!I28</f>
        <v>0</v>
      </c>
    </row>
    <row r="29" spans="1:10" x14ac:dyDescent="0.2">
      <c r="A29" s="268"/>
      <c r="B29" s="401" t="str">
        <f>"Synthetic FRA "&amp;SynthFra!F26&amp;"x"&amp;SynthFra!F26+12</f>
        <v>Synthetic FRA 18x30</v>
      </c>
      <c r="C29" s="397">
        <f>_xll.qlInterestRateIndexFixingDate(IborIndex,D29)</f>
        <v>42403</v>
      </c>
      <c r="D29" s="398">
        <f>SynthFra!I26</f>
        <v>42405</v>
      </c>
      <c r="E29" s="398">
        <f>_xll.qlCalendarAdvance(Calendar,D29,"1Y","mf")</f>
        <v>42772</v>
      </c>
      <c r="F29" s="398" t="str">
        <f>_xll.qlMakeDatedOIS(,D29,E29,OvernightIndex,0,"Act/360",0)</f>
        <v>obj_003d4#0000</v>
      </c>
      <c r="G29" s="420">
        <f>_xll.qlOvernightIndexedSwapFairRate(F29,Contribution!$P$25)</f>
        <v>1.4698799193462121E-3</v>
      </c>
      <c r="H29" s="400">
        <v>4.5460283778255232E-3</v>
      </c>
      <c r="I29" s="399">
        <f t="shared" si="0"/>
        <v>6.0159082971717355E-3</v>
      </c>
      <c r="J29" s="424">
        <f>SynthFra!N26-FRACharts!I29</f>
        <v>0</v>
      </c>
    </row>
    <row r="30" spans="1:10" x14ac:dyDescent="0.2">
      <c r="A30" s="268"/>
      <c r="B30" s="401" t="str">
        <f>"Synthetic FRA "&amp;SynthFra!F27&amp;"x"&amp;SynthFra!F27+12</f>
        <v>Synthetic FRA 19x31</v>
      </c>
      <c r="C30" s="397">
        <f>_xll.qlInterestRateIndexFixingDate(IborIndex,D30)</f>
        <v>42432</v>
      </c>
      <c r="D30" s="398">
        <f>SynthFra!I27</f>
        <v>42436</v>
      </c>
      <c r="E30" s="398">
        <f>_xll.qlCalendarAdvance(Calendar,D30,"1Y","mf")</f>
        <v>42801</v>
      </c>
      <c r="F30" s="398" t="str">
        <f>_xll.qlMakeDatedOIS(,D30,E30,OvernightIndex,0,"Act/360",0)</f>
        <v>obj_003e3#0000</v>
      </c>
      <c r="G30" s="420">
        <f>_xll.qlOvernightIndexedSwapFairRate(F30,Contribution!$P$25)</f>
        <v>1.6015945263625337E-3</v>
      </c>
      <c r="H30" s="400">
        <v>4.5463564372498532E-3</v>
      </c>
      <c r="I30" s="399">
        <f t="shared" si="0"/>
        <v>6.147950963612387E-3</v>
      </c>
      <c r="J30" s="424">
        <f>SynthFra!N27-FRACharts!I30</f>
        <v>0</v>
      </c>
    </row>
    <row r="31" spans="1:10" x14ac:dyDescent="0.2">
      <c r="A31" s="268"/>
      <c r="B31" s="401" t="str">
        <f>"Synthetic FRA "&amp;SynthFra!F28&amp;"x"&amp;SynthFra!F28+12</f>
        <v>Synthetic FRA 20x32</v>
      </c>
      <c r="C31" s="397">
        <f>_xll.qlInterestRateIndexFixingDate(IborIndex,D31)</f>
        <v>42461</v>
      </c>
      <c r="D31" s="398">
        <f>SynthFra!I28</f>
        <v>42465</v>
      </c>
      <c r="E31" s="398">
        <f>_xll.qlCalendarAdvance(Calendar,D31,"1Y","mf")</f>
        <v>42830</v>
      </c>
      <c r="F31" s="398" t="str">
        <f>_xll.qlMakeDatedOIS(,D31,E31,OvernightIndex,0,"Act/360",0)</f>
        <v>obj_003e1#0000</v>
      </c>
      <c r="G31" s="420">
        <f>_xll.qlOvernightIndexedSwapFairRate(F31,Contribution!$P$25)</f>
        <v>1.7369302008069742E-3</v>
      </c>
      <c r="H31" s="400">
        <v>4.5469008868578541E-3</v>
      </c>
      <c r="I31" s="399">
        <f t="shared" si="0"/>
        <v>6.2838310876648287E-3</v>
      </c>
      <c r="J31" s="424">
        <f>SynthFra!N28-FRACharts!I31</f>
        <v>0</v>
      </c>
    </row>
    <row r="32" spans="1:10" x14ac:dyDescent="0.2">
      <c r="A32" s="268"/>
      <c r="B32" s="401" t="str">
        <f>"Synthetic FRA "&amp;SynthFra!F29&amp;"x"&amp;SynthFra!F29+12</f>
        <v>Synthetic FRA 21x33</v>
      </c>
      <c r="C32" s="397">
        <f>_xll.qlInterestRateIndexFixingDate(IborIndex,D32)</f>
        <v>42493</v>
      </c>
      <c r="D32" s="398">
        <f>SynthFra!I29</f>
        <v>42495</v>
      </c>
      <c r="E32" s="398">
        <f>_xll.qlCalendarAdvance(Calendar,D32,"1Y","mf")</f>
        <v>42860</v>
      </c>
      <c r="F32" s="398" t="str">
        <f>_xll.qlMakeDatedOIS(,D32,E32,OvernightIndex,0,"Act/360",0)</f>
        <v>obj_003ec#0000</v>
      </c>
      <c r="G32" s="420">
        <f>_xll.qlOvernightIndexedSwapFairRate(F32,Contribution!$P$25)</f>
        <v>1.884790250507981E-3</v>
      </c>
      <c r="H32" s="400">
        <v>4.547862248146314E-3</v>
      </c>
      <c r="I32" s="399">
        <f t="shared" si="0"/>
        <v>6.4326524986542954E-3</v>
      </c>
      <c r="J32" s="424">
        <f>SynthFra!N29-FRACharts!I32</f>
        <v>0</v>
      </c>
    </row>
    <row r="33" spans="1:10" x14ac:dyDescent="0.2">
      <c r="A33" s="268"/>
      <c r="B33" s="401" t="str">
        <f>"Synthetic FRA "&amp;SynthFra!F30&amp;"x"&amp;SynthFra!F30+12</f>
        <v>Synthetic FRA 22x34</v>
      </c>
      <c r="C33" s="397">
        <f>_xll.qlInterestRateIndexFixingDate(IborIndex,D33)</f>
        <v>42523</v>
      </c>
      <c r="D33" s="398">
        <f>SynthFra!I30</f>
        <v>42527</v>
      </c>
      <c r="E33" s="398">
        <f>_xll.qlCalendarAdvance(Calendar,D33,"1Y","mf")</f>
        <v>42892</v>
      </c>
      <c r="F33" s="398" t="str">
        <f>_xll.qlMakeDatedOIS(,D33,E33,OvernightIndex,0,"Act/360",0)</f>
        <v>obj_003de#0000</v>
      </c>
      <c r="G33" s="420">
        <f>_xll.qlOvernightIndexedSwapFairRate(F33,Contribution!$P$25)</f>
        <v>2.0515165067010537E-3</v>
      </c>
      <c r="H33" s="400">
        <v>4.5495113294071457E-3</v>
      </c>
      <c r="I33" s="399">
        <f t="shared" si="0"/>
        <v>6.6010278361081989E-3</v>
      </c>
      <c r="J33" s="424">
        <f>SynthFra!N30-FRACharts!I33</f>
        <v>0</v>
      </c>
    </row>
    <row r="34" spans="1:10" x14ac:dyDescent="0.2">
      <c r="A34" s="268"/>
      <c r="B34" s="401" t="str">
        <f>"Synthetic FRA "&amp;SynthFra!F31&amp;"x"&amp;SynthFra!F31+12</f>
        <v>Synthetic FRA 23x35</v>
      </c>
      <c r="C34" s="397">
        <f>_xll.qlInterestRateIndexFixingDate(IborIndex,D34)</f>
        <v>42552</v>
      </c>
      <c r="D34" s="398">
        <f>SynthFra!I31</f>
        <v>42556</v>
      </c>
      <c r="E34" s="398">
        <f>_xll.qlCalendarAdvance(Calendar,D34,"1Y","mf")</f>
        <v>42921</v>
      </c>
      <c r="F34" s="398" t="str">
        <f>_xll.qlMakeDatedOIS(,D34,E34,OvernightIndex,0,"Act/360",0)</f>
        <v>obj_00405#0000</v>
      </c>
      <c r="G34" s="420">
        <f>_xll.qlOvernightIndexedSwapFairRate(F34,Contribution!$P$25)</f>
        <v>2.21125909815546E-3</v>
      </c>
      <c r="H34" s="400">
        <v>4.5517199935449582E-3</v>
      </c>
      <c r="I34" s="399">
        <f t="shared" si="0"/>
        <v>6.7629790917004187E-3</v>
      </c>
      <c r="J34" s="424">
        <f>SynthFra!N31-FRACharts!I34</f>
        <v>0</v>
      </c>
    </row>
    <row r="35" spans="1:10" x14ac:dyDescent="0.2">
      <c r="A35" s="268"/>
      <c r="B35" s="405" t="str">
        <f>"Swap/Impl FRA "&amp;SynthFra!F32&amp;"x"&amp;SynthFra!F32+12</f>
        <v>Swap/Impl FRA 24x36</v>
      </c>
      <c r="C35" s="410">
        <f>_xll.qlInterestRateIndexFixingDate(IborIndex,D35)</f>
        <v>42585</v>
      </c>
      <c r="D35" s="411">
        <f>SynthFra!I4</f>
        <v>42587</v>
      </c>
      <c r="E35" s="411">
        <f>_xll.qlCalendarAdvance(Calendar,D35,"1Y","mf")</f>
        <v>42954</v>
      </c>
      <c r="F35" s="411" t="str">
        <f>_xll.qlMakeDatedOIS(,D35,E35,OvernightIndex,0,"Act/360",0)</f>
        <v>obj_003ee#0000</v>
      </c>
      <c r="G35" s="421">
        <f>_xll.qlOvernightIndexedSwapFairRate(F35,Contribution!$P$25)</f>
        <v>2.3985903811910053E-3</v>
      </c>
      <c r="H35" s="413">
        <v>4.555E-3</v>
      </c>
      <c r="I35" s="412">
        <f t="shared" si="0"/>
        <v>6.9535903811910049E-3</v>
      </c>
      <c r="J35" s="424">
        <f>SynthFra!N32-FRACharts!I35</f>
        <v>0</v>
      </c>
    </row>
    <row r="36" spans="1:10" x14ac:dyDescent="0.2">
      <c r="A36" s="268"/>
      <c r="B36" s="401" t="str">
        <f>"Synthetic FRA "&amp;SynthFra!F33&amp;"x"&amp;SynthFra!F33+12</f>
        <v>Synthetic FRA 25x37</v>
      </c>
      <c r="C36" s="397">
        <f>_xll.qlInterestRateIndexFixingDate(IborIndex,D36)</f>
        <v>42614</v>
      </c>
      <c r="D36" s="398">
        <f>SynthFra!I33</f>
        <v>42618</v>
      </c>
      <c r="E36" s="398">
        <f>_xll.qlCalendarAdvance(Calendar,D36,"1Y","mf")</f>
        <v>42983</v>
      </c>
      <c r="F36" s="398" t="str">
        <f>_xll.qlMakeDatedOIS(,D36,E36,OvernightIndex,0,"Act/360",0)</f>
        <v>obj_003e8#0000</v>
      </c>
      <c r="G36" s="420">
        <f>_xll.qlOvernightIndexedSwapFairRate(F36,Contribution!$P$25)</f>
        <v>2.5832579085911613E-3</v>
      </c>
      <c r="H36" s="400">
        <v>4.5662667251215759E-3</v>
      </c>
      <c r="I36" s="399">
        <f t="shared" si="0"/>
        <v>7.1495246337127377E-3</v>
      </c>
      <c r="J36" s="424">
        <f>SynthFra!N33-FRACharts!I36</f>
        <v>0</v>
      </c>
    </row>
    <row r="37" spans="1:10" x14ac:dyDescent="0.2">
      <c r="A37" s="268"/>
      <c r="B37" s="401" t="str">
        <f>"Synthetic FRA "&amp;SynthFra!F34&amp;"x"&amp;SynthFra!F34+12</f>
        <v>Synthetic FRA 26x38</v>
      </c>
      <c r="C37" s="397">
        <f>_xll.qlInterestRateIndexFixingDate(IborIndex,D37)</f>
        <v>42646</v>
      </c>
      <c r="D37" s="398">
        <f>SynthFra!I34</f>
        <v>42648</v>
      </c>
      <c r="E37" s="398">
        <f>_xll.qlCalendarAdvance(Calendar,D37,"1Y","mf")</f>
        <v>43013</v>
      </c>
      <c r="F37" s="398" t="str">
        <f>_xll.qlMakeDatedOIS(,D37,E37,OvernightIndex,0,"Act/360",0)</f>
        <v>obj_003dd#0000</v>
      </c>
      <c r="G37" s="420">
        <f>_xll.qlOvernightIndexedSwapFairRate(F37,Contribution!$P$25)</f>
        <v>2.7784578681944389E-3</v>
      </c>
      <c r="H37" s="400">
        <v>4.5897313584118806E-3</v>
      </c>
      <c r="I37" s="399">
        <f t="shared" si="0"/>
        <v>7.3681892266063195E-3</v>
      </c>
      <c r="J37" s="424">
        <f>SynthFra!N34-FRACharts!I37</f>
        <v>0</v>
      </c>
    </row>
    <row r="38" spans="1:10" x14ac:dyDescent="0.2">
      <c r="A38" s="268"/>
      <c r="B38" s="401" t="str">
        <f>"Synthetic FRA "&amp;SynthFra!F35&amp;"x"&amp;SynthFra!F35+12</f>
        <v>Synthetic FRA 27x39</v>
      </c>
      <c r="C38" s="397">
        <f>_xll.qlInterestRateIndexFixingDate(IborIndex,D38)</f>
        <v>42677</v>
      </c>
      <c r="D38" s="398">
        <f>SynthFra!I35</f>
        <v>42681</v>
      </c>
      <c r="E38" s="398">
        <f>_xll.qlCalendarAdvance(Calendar,D38,"1Y","mf")</f>
        <v>43046</v>
      </c>
      <c r="F38" s="398" t="str">
        <f>_xll.qlMakeDatedOIS(,D38,E38,OvernightIndex,0,"Act/360",0)</f>
        <v>obj_003ed#0000</v>
      </c>
      <c r="G38" s="420">
        <f>_xll.qlOvernightIndexedSwapFairRate(F38,Contribution!$P$25)</f>
        <v>3.0039660712981712E-3</v>
      </c>
      <c r="H38" s="400">
        <v>4.6269498931215125E-3</v>
      </c>
      <c r="I38" s="399">
        <f t="shared" si="0"/>
        <v>7.6309159644196833E-3</v>
      </c>
      <c r="J38" s="424">
        <f>SynthFra!N35-FRACharts!I38</f>
        <v>0</v>
      </c>
    </row>
    <row r="39" spans="1:10" x14ac:dyDescent="0.2">
      <c r="A39" s="268"/>
      <c r="B39" s="401" t="str">
        <f>"Synthetic FRA "&amp;SynthFra!F36&amp;"x"&amp;SynthFra!F36+12</f>
        <v>Synthetic FRA 28x40</v>
      </c>
      <c r="C39" s="397">
        <f>_xll.qlInterestRateIndexFixingDate(IborIndex,D39)</f>
        <v>42705</v>
      </c>
      <c r="D39" s="398">
        <f>SynthFra!I36</f>
        <v>42709</v>
      </c>
      <c r="E39" s="398">
        <f>_xll.qlCalendarAdvance(Calendar,D39,"1Y","mf")</f>
        <v>43074</v>
      </c>
      <c r="F39" s="398" t="str">
        <f>_xll.qlMakeDatedOIS(,D39,E39,OvernightIndex,0,"Act/360",0)</f>
        <v>obj_003fb#0000</v>
      </c>
      <c r="G39" s="420">
        <f>_xll.qlOvernightIndexedSwapFairRate(F39,Contribution!$P$25)</f>
        <v>3.203721850748192E-3</v>
      </c>
      <c r="H39" s="400">
        <v>4.6656239319676739E-3</v>
      </c>
      <c r="I39" s="399">
        <f t="shared" si="0"/>
        <v>7.8693457827158659E-3</v>
      </c>
      <c r="J39" s="424">
        <f>SynthFra!N36-FRACharts!I39</f>
        <v>0</v>
      </c>
    </row>
    <row r="40" spans="1:10" x14ac:dyDescent="0.2">
      <c r="A40" s="268"/>
      <c r="B40" s="401" t="str">
        <f>"Synthetic FRA "&amp;SynthFra!F37&amp;"x"&amp;SynthFra!F37+12</f>
        <v>Synthetic FRA 29x41</v>
      </c>
      <c r="C40" s="397">
        <f>_xll.qlInterestRateIndexFixingDate(IborIndex,D40)</f>
        <v>42738</v>
      </c>
      <c r="D40" s="398">
        <f>SynthFra!I37</f>
        <v>42740</v>
      </c>
      <c r="E40" s="398">
        <f>_xll.qlCalendarAdvance(Calendar,D40,"1Y","mf")</f>
        <v>43105</v>
      </c>
      <c r="F40" s="398" t="str">
        <f>_xll.qlMakeDatedOIS(,D40,E40,OvernightIndex,0,"Act/360",0)</f>
        <v>obj_003f4#0000</v>
      </c>
      <c r="G40" s="420">
        <f>_xll.qlOvernightIndexedSwapFairRate(F40,Contribution!$P$25)</f>
        <v>3.4334069687226715E-3</v>
      </c>
      <c r="H40" s="400">
        <v>4.7135736995517008E-3</v>
      </c>
      <c r="I40" s="399">
        <f t="shared" si="0"/>
        <v>8.1469806682743715E-3</v>
      </c>
      <c r="J40" s="424">
        <f>SynthFra!N37-FRACharts!I40</f>
        <v>0</v>
      </c>
    </row>
    <row r="41" spans="1:10" x14ac:dyDescent="0.2">
      <c r="A41" s="268"/>
      <c r="B41" s="401" t="str">
        <f>"Synthetic FRA "&amp;SynthFra!F38&amp;"x"&amp;SynthFra!F38+12</f>
        <v>Synthetic FRA 30x42</v>
      </c>
      <c r="C41" s="397">
        <f>_xll.qlInterestRateIndexFixingDate(IborIndex,D41)</f>
        <v>42768</v>
      </c>
      <c r="D41" s="398">
        <f>SynthFra!I38</f>
        <v>42772</v>
      </c>
      <c r="E41" s="398">
        <f>_xll.qlCalendarAdvance(Calendar,D41,"1Y","mf")</f>
        <v>43137</v>
      </c>
      <c r="F41" s="398" t="str">
        <f>_xll.qlMakeDatedOIS(,D41,E41,OvernightIndex,0,"Act/360",0)</f>
        <v>obj_003db#0000</v>
      </c>
      <c r="G41" s="420">
        <f>_xll.qlOvernightIndexedSwapFairRate(F41,Contribution!$P$25)</f>
        <v>3.6793713044855209E-3</v>
      </c>
      <c r="H41" s="400">
        <v>4.7660393138441856E-3</v>
      </c>
      <c r="I41" s="399">
        <f t="shared" si="0"/>
        <v>8.4454106183297073E-3</v>
      </c>
      <c r="J41" s="424">
        <f>SynthFra!N38-FRACharts!I41</f>
        <v>0</v>
      </c>
    </row>
    <row r="42" spans="1:10" x14ac:dyDescent="0.2">
      <c r="A42" s="268"/>
      <c r="B42" s="401" t="str">
        <f>"Synthetic FRA "&amp;SynthFra!F39&amp;"x"&amp;SynthFra!F39+12</f>
        <v>Synthetic FRA 31x43</v>
      </c>
      <c r="C42" s="397">
        <f>_xll.qlInterestRateIndexFixingDate(IborIndex,D42)</f>
        <v>42796</v>
      </c>
      <c r="D42" s="398">
        <f>SynthFra!I39</f>
        <v>42800</v>
      </c>
      <c r="E42" s="398">
        <f>_xll.qlCalendarAdvance(Calendar,D42,"1Y","mf")</f>
        <v>43165</v>
      </c>
      <c r="F42" s="398" t="str">
        <f>_xll.qlMakeDatedOIS(,D42,E42,OvernightIndex,0,"Act/360",0)</f>
        <v>obj_003e6#0000</v>
      </c>
      <c r="G42" s="420">
        <f>_xll.qlOvernightIndexedSwapFairRate(F42,Contribution!$P$25)</f>
        <v>3.9015409545429618E-3</v>
      </c>
      <c r="H42" s="400">
        <v>4.8121811978007467E-3</v>
      </c>
      <c r="I42" s="399">
        <f t="shared" si="0"/>
        <v>8.713722152343709E-3</v>
      </c>
      <c r="J42" s="424">
        <f>SynthFra!N39-FRACharts!I42</f>
        <v>0</v>
      </c>
    </row>
    <row r="43" spans="1:10" x14ac:dyDescent="0.2">
      <c r="A43" s="268"/>
      <c r="B43" s="401" t="str">
        <f>"Synthetic FRA "&amp;SynthFra!F40&amp;"x"&amp;SynthFra!F40+12</f>
        <v>Synthetic FRA 32x44</v>
      </c>
      <c r="C43" s="397">
        <f>_xll.qlInterestRateIndexFixingDate(IborIndex,D43)</f>
        <v>42828</v>
      </c>
      <c r="D43" s="398">
        <f>SynthFra!I40</f>
        <v>42830</v>
      </c>
      <c r="E43" s="398">
        <f>_xll.qlCalendarAdvance(Calendar,D43,"1Y","mf")</f>
        <v>43195</v>
      </c>
      <c r="F43" s="398" t="str">
        <f>_xll.qlMakeDatedOIS(,D43,E43,OvernightIndex,0,"Act/360",0)</f>
        <v>obj_003f3#0000</v>
      </c>
      <c r="G43" s="420">
        <f>_xll.qlOvernightIndexedSwapFairRate(F43,Contribution!$P$25)</f>
        <v>4.1463271411260622E-3</v>
      </c>
      <c r="H43" s="400">
        <v>4.8595675144488121E-3</v>
      </c>
      <c r="I43" s="399">
        <f t="shared" si="0"/>
        <v>9.0058946555748743E-3</v>
      </c>
      <c r="J43" s="424">
        <f>SynthFra!N40-FRACharts!I43</f>
        <v>0</v>
      </c>
    </row>
    <row r="44" spans="1:10" x14ac:dyDescent="0.2">
      <c r="A44" s="268"/>
      <c r="B44" s="401" t="str">
        <f>"Synthetic FRA "&amp;SynthFra!F41&amp;"x"&amp;SynthFra!F41+12</f>
        <v>Synthetic FRA 33x45</v>
      </c>
      <c r="C44" s="397">
        <f>_xll.qlInterestRateIndexFixingDate(IborIndex,D44)</f>
        <v>42858</v>
      </c>
      <c r="D44" s="398">
        <f>SynthFra!I41</f>
        <v>42860</v>
      </c>
      <c r="E44" s="398">
        <f>_xll.qlCalendarAdvance(Calendar,D44,"1Y","mf")</f>
        <v>43227</v>
      </c>
      <c r="F44" s="398" t="str">
        <f>_xll.qlMakeDatedOIS(,D44,E44,OvernightIndex,0,"Act/360",0)</f>
        <v>obj_003f0#0000</v>
      </c>
      <c r="G44" s="420">
        <f>_xll.qlOvernightIndexedSwapFairRate(F44,Contribution!$P$25)</f>
        <v>4.4065424931772667E-3</v>
      </c>
      <c r="H44" s="400">
        <v>4.9025110440295136E-3</v>
      </c>
      <c r="I44" s="399">
        <f t="shared" si="0"/>
        <v>9.3090535372067802E-3</v>
      </c>
      <c r="J44" s="424">
        <f>SynthFra!N41-FRACharts!I44</f>
        <v>0</v>
      </c>
    </row>
    <row r="45" spans="1:10" x14ac:dyDescent="0.2">
      <c r="A45" s="268"/>
      <c r="B45" s="401" t="str">
        <f>"Synthetic FRA "&amp;SynthFra!F42&amp;"x"&amp;SynthFra!F42+12</f>
        <v>Synthetic FRA 34x46</v>
      </c>
      <c r="C45" s="397">
        <f>_xll.qlInterestRateIndexFixingDate(IborIndex,D45)</f>
        <v>42887</v>
      </c>
      <c r="D45" s="398">
        <f>SynthFra!I42</f>
        <v>42891</v>
      </c>
      <c r="E45" s="398">
        <f>_xll.qlCalendarAdvance(Calendar,D45,"1Y","mf")</f>
        <v>43256</v>
      </c>
      <c r="F45" s="398" t="str">
        <f>_xll.qlMakeDatedOIS(,D45,E45,OvernightIndex,0,"Act/360",0)</f>
        <v>obj_003d9#0000</v>
      </c>
      <c r="G45" s="420">
        <f>_xll.qlOvernightIndexedSwapFairRate(F45,Contribution!$P$25)</f>
        <v>4.6636768891195092E-3</v>
      </c>
      <c r="H45" s="400">
        <v>4.9396975646393958E-3</v>
      </c>
      <c r="I45" s="399">
        <f t="shared" si="0"/>
        <v>9.603374453758905E-3</v>
      </c>
      <c r="J45" s="424">
        <f>SynthFra!N42-FRACharts!I45</f>
        <v>0</v>
      </c>
    </row>
    <row r="46" spans="1:10" x14ac:dyDescent="0.2">
      <c r="A46" s="268"/>
      <c r="B46" s="401" t="str">
        <f>"Synthetic FRA "&amp;SynthFra!F43&amp;"x"&amp;SynthFra!F43+12</f>
        <v>Synthetic FRA 35x47</v>
      </c>
      <c r="C46" s="397">
        <f>_xll.qlInterestRateIndexFixingDate(IborIndex,D46)</f>
        <v>42919</v>
      </c>
      <c r="D46" s="398">
        <f>SynthFra!I43</f>
        <v>42921</v>
      </c>
      <c r="E46" s="398">
        <f>_xll.qlCalendarAdvance(Calendar,D46,"1Y","mf")</f>
        <v>43286</v>
      </c>
      <c r="F46" s="398" t="str">
        <f>_xll.qlMakeDatedOIS(,D46,E46,OvernightIndex,0,"Act/360",0)</f>
        <v>obj_00401#0000</v>
      </c>
      <c r="G46" s="420">
        <f>_xll.qlOvernightIndexedSwapFairRate(F46,Contribution!$P$25)</f>
        <v>4.9268045083980935E-3</v>
      </c>
      <c r="H46" s="400">
        <v>4.9662882052832341E-3</v>
      </c>
      <c r="I46" s="399">
        <f t="shared" ref="I46:I59" si="1">G46+H46</f>
        <v>9.8930927136813285E-3</v>
      </c>
      <c r="J46" s="424">
        <f>SynthFra!N43-FRACharts!I46</f>
        <v>0</v>
      </c>
    </row>
    <row r="47" spans="1:10" x14ac:dyDescent="0.2">
      <c r="A47" s="268"/>
      <c r="B47" s="405" t="str">
        <f>"Swap/Impl FRA "&amp;SynthFra!F44&amp;"x"&amp;SynthFra!F44+12</f>
        <v>Swap/Impl FRA 36x48</v>
      </c>
      <c r="C47" s="410">
        <f>_xll.qlInterestRateIndexFixingDate(IborIndex,D47)</f>
        <v>42950</v>
      </c>
      <c r="D47" s="411">
        <f>SynthFra!I5</f>
        <v>42954</v>
      </c>
      <c r="E47" s="411">
        <f>_xll.qlCalendarAdvance(Calendar,D47,"1Y","mf")</f>
        <v>43319</v>
      </c>
      <c r="F47" s="411" t="str">
        <f>_xll.qlMakeDatedOIS(,D47,E47,OvernightIndex,0,"Act/360",0)</f>
        <v>obj_003e0#0000</v>
      </c>
      <c r="G47" s="421">
        <f>_xll.qlOvernightIndexedSwapFairRate(F47,Contribution!$P$25)</f>
        <v>5.2221192383722194E-3</v>
      </c>
      <c r="H47" s="413">
        <v>4.9820000000000003E-3</v>
      </c>
      <c r="I47" s="412">
        <f t="shared" si="1"/>
        <v>1.0204119238372219E-2</v>
      </c>
      <c r="J47" s="424">
        <f>SynthFra!N44-FRACharts!I47</f>
        <v>0</v>
      </c>
    </row>
    <row r="48" spans="1:10" x14ac:dyDescent="0.2">
      <c r="A48" s="268"/>
      <c r="B48" s="401" t="str">
        <f>"Synthetic FRA "&amp;SynthFra!F45&amp;"x"&amp;SynthFra!F45+12</f>
        <v>Synthetic FRA 37x49</v>
      </c>
      <c r="C48" s="397">
        <f>_xll.qlInterestRateIndexFixingDate(IborIndex,D48)</f>
        <v>42979</v>
      </c>
      <c r="D48" s="398">
        <f>SynthFra!I45</f>
        <v>42983</v>
      </c>
      <c r="E48" s="398">
        <f>_xll.qlCalendarAdvance(Calendar,D48,"1Y","mf")</f>
        <v>43348</v>
      </c>
      <c r="F48" s="398" t="str">
        <f>_xll.qlMakeDatedOIS(,D48,E48,OvernightIndex,0,"Act/360",0)</f>
        <v>obj_00404#0000</v>
      </c>
      <c r="G48" s="420">
        <f>_xll.qlOvernightIndexedSwapFairRate(F48,Contribution!$P$25)</f>
        <v>5.4862496204748125E-3</v>
      </c>
      <c r="H48" s="400">
        <v>4.9881732888307807E-3</v>
      </c>
      <c r="I48" s="399">
        <f t="shared" si="1"/>
        <v>1.0474422909305593E-2</v>
      </c>
      <c r="J48" s="424">
        <f>SynthFra!N45-FRACharts!I48</f>
        <v>0</v>
      </c>
    </row>
    <row r="49" spans="1:10" x14ac:dyDescent="0.2">
      <c r="A49" s="268"/>
      <c r="B49" s="401" t="str">
        <f>"Synthetic FRA "&amp;SynthFra!F46&amp;"x"&amp;SynthFra!F46+12</f>
        <v>Synthetic FRA 38x50</v>
      </c>
      <c r="C49" s="397">
        <f>_xll.qlInterestRateIndexFixingDate(IborIndex,D49)</f>
        <v>43011</v>
      </c>
      <c r="D49" s="398">
        <f>SynthFra!I46</f>
        <v>43013</v>
      </c>
      <c r="E49" s="398">
        <f>_xll.qlCalendarAdvance(Calendar,D49,"1Y","mf")</f>
        <v>43378</v>
      </c>
      <c r="F49" s="398" t="str">
        <f>_xll.qlMakeDatedOIS(,D49,E49,OvernightIndex,0,"Act/360",0)</f>
        <v>obj_003d6#0000</v>
      </c>
      <c r="G49" s="420">
        <f>_xll.qlOvernightIndexedSwapFairRate(F49,Contribution!$P$25)</f>
        <v>5.7636361346149493E-3</v>
      </c>
      <c r="H49" s="400">
        <v>4.9935277320418379E-3</v>
      </c>
      <c r="I49" s="399">
        <f t="shared" si="1"/>
        <v>1.0757163866656788E-2</v>
      </c>
      <c r="J49" s="424">
        <f>SynthFra!N46-FRACharts!I49</f>
        <v>0</v>
      </c>
    </row>
    <row r="50" spans="1:10" x14ac:dyDescent="0.2">
      <c r="A50" s="268"/>
      <c r="B50" s="401" t="str">
        <f>"Synthetic FRA "&amp;SynthFra!F47&amp;"x"&amp;SynthFra!F47+12</f>
        <v>Synthetic FRA 39x51</v>
      </c>
      <c r="C50" s="397">
        <f>_xll.qlInterestRateIndexFixingDate(IborIndex,D50)</f>
        <v>43041</v>
      </c>
      <c r="D50" s="398">
        <f>SynthFra!I47</f>
        <v>43045</v>
      </c>
      <c r="E50" s="398">
        <f>_xll.qlCalendarAdvance(Calendar,D50,"1Y","mf")</f>
        <v>43410</v>
      </c>
      <c r="F50" s="398" t="str">
        <f>_xll.qlMakeDatedOIS(,D50,E50,OvernightIndex,0,"Act/360",0)</f>
        <v>obj_00406#0000</v>
      </c>
      <c r="G50" s="420">
        <f>_xll.qlOvernightIndexedSwapFairRate(F50,Contribution!$P$25)</f>
        <v>6.0637600849826126E-3</v>
      </c>
      <c r="H50" s="400">
        <v>4.9981875E-3</v>
      </c>
      <c r="I50" s="399">
        <f t="shared" si="1"/>
        <v>1.1061947584982613E-2</v>
      </c>
      <c r="J50" s="424">
        <f>SynthFra!N47-FRACharts!I50</f>
        <v>0</v>
      </c>
    </row>
    <row r="51" spans="1:10" x14ac:dyDescent="0.2">
      <c r="A51" s="268"/>
      <c r="B51" s="401" t="str">
        <f>"Synthetic FRA "&amp;SynthFra!F48&amp;"x"&amp;SynthFra!F48+12</f>
        <v>Synthetic FRA 40x52</v>
      </c>
      <c r="C51" s="397">
        <f>_xll.qlInterestRateIndexFixingDate(IborIndex,D51)</f>
        <v>43070</v>
      </c>
      <c r="D51" s="398">
        <f>SynthFra!I48</f>
        <v>43074</v>
      </c>
      <c r="E51" s="398">
        <f>_xll.qlCalendarAdvance(Calendar,D51,"1Y","mf")</f>
        <v>43439</v>
      </c>
      <c r="F51" s="398" t="str">
        <f>_xll.qlMakeDatedOIS(,D51,E51,OvernightIndex,0,"Act/360",0)</f>
        <v>obj_003e9#0000</v>
      </c>
      <c r="G51" s="420">
        <f>_xll.qlOvernightIndexedSwapFairRate(F51,Contribution!$P$25)</f>
        <v>6.3391711732956688E-3</v>
      </c>
      <c r="H51" s="400">
        <v>5.0015661988054207E-3</v>
      </c>
      <c r="I51" s="399">
        <f t="shared" si="1"/>
        <v>1.134073737210109E-2</v>
      </c>
      <c r="J51" s="424">
        <f>SynthFra!N48-FRACharts!I51</f>
        <v>0</v>
      </c>
    </row>
    <row r="52" spans="1:10" x14ac:dyDescent="0.2">
      <c r="A52" s="268"/>
      <c r="B52" s="401" t="str">
        <f>"Synthetic FRA "&amp;SynthFra!F49&amp;"x"&amp;SynthFra!F49+12</f>
        <v>Synthetic FRA 41x53</v>
      </c>
      <c r="C52" s="397">
        <f>_xll.qlInterestRateIndexFixingDate(IborIndex,D52)</f>
        <v>43103</v>
      </c>
      <c r="D52" s="398">
        <f>SynthFra!I49</f>
        <v>43105</v>
      </c>
      <c r="E52" s="398">
        <f>_xll.qlCalendarAdvance(Calendar,D52,"1Y","mf")</f>
        <v>43472</v>
      </c>
      <c r="F52" s="398" t="str">
        <f>_xll.qlMakeDatedOIS(,D52,E52,OvernightIndex,0,"Act/360",0)</f>
        <v>obj_003fa#0000</v>
      </c>
      <c r="G52" s="420">
        <f>_xll.qlOvernightIndexedSwapFairRate(F52,Contribution!$P$25)</f>
        <v>6.6467568589442952E-3</v>
      </c>
      <c r="H52" s="400">
        <v>5.0043896146647095E-3</v>
      </c>
      <c r="I52" s="399">
        <f t="shared" si="1"/>
        <v>1.1651146473609004E-2</v>
      </c>
      <c r="J52" s="424">
        <f>SynthFra!N49-FRACharts!I52</f>
        <v>0</v>
      </c>
    </row>
    <row r="53" spans="1:10" x14ac:dyDescent="0.2">
      <c r="A53" s="268"/>
      <c r="B53" s="401" t="str">
        <f>"Synthetic FRA "&amp;SynthFra!F50&amp;"x"&amp;SynthFra!F50+12</f>
        <v>Synthetic FRA 42x54</v>
      </c>
      <c r="C53" s="397">
        <f>_xll.qlInterestRateIndexFixingDate(IborIndex,D53)</f>
        <v>43132</v>
      </c>
      <c r="D53" s="398">
        <f>SynthFra!I50</f>
        <v>43136</v>
      </c>
      <c r="E53" s="398">
        <f>_xll.qlCalendarAdvance(Calendar,D53,"1Y","mf")</f>
        <v>43501</v>
      </c>
      <c r="F53" s="398" t="str">
        <f>_xll.qlMakeDatedOIS(,D53,E53,OvernightIndex,0,"Act/360",0)</f>
        <v>obj_003d7#0000</v>
      </c>
      <c r="G53" s="420">
        <f>_xll.qlOvernightIndexedSwapFairRate(F53,Contribution!$P$25)</f>
        <v>6.9373414170755847E-3</v>
      </c>
      <c r="H53" s="400">
        <v>5.0064999999999997E-3</v>
      </c>
      <c r="I53" s="399">
        <f t="shared" si="1"/>
        <v>1.1943841417075584E-2</v>
      </c>
      <c r="J53" s="424">
        <f>SynthFra!N50-FRACharts!I53</f>
        <v>0</v>
      </c>
    </row>
    <row r="54" spans="1:10" x14ac:dyDescent="0.2">
      <c r="A54" s="268"/>
      <c r="B54" s="401" t="str">
        <f>"Synthetic FRA "&amp;SynthFra!F51&amp;"x"&amp;SynthFra!F51+12</f>
        <v>Synthetic FRA 43x55</v>
      </c>
      <c r="C54" s="397">
        <f>_xll.qlInterestRateIndexFixingDate(IborIndex,D54)</f>
        <v>43160</v>
      </c>
      <c r="D54" s="398">
        <f>SynthFra!I51</f>
        <v>43164</v>
      </c>
      <c r="E54" s="398">
        <f>_xll.qlCalendarAdvance(Calendar,D54,"1Y","mf")</f>
        <v>43529</v>
      </c>
      <c r="F54" s="398" t="str">
        <f>_xll.qlMakeDatedOIS(,D54,E54,OvernightIndex,0,"Act/360",0)</f>
        <v>obj_003df#0000</v>
      </c>
      <c r="G54" s="420">
        <f>_xll.qlOvernightIndexedSwapFairRate(F54,Contribution!$P$25)</f>
        <v>7.2109888662461865E-3</v>
      </c>
      <c r="H54" s="400">
        <v>5.0078796085571229E-3</v>
      </c>
      <c r="I54" s="399">
        <f t="shared" si="1"/>
        <v>1.2218868474803309E-2</v>
      </c>
      <c r="J54" s="424">
        <f>SynthFra!N51-FRACharts!I54</f>
        <v>0</v>
      </c>
    </row>
    <row r="55" spans="1:10" x14ac:dyDescent="0.2">
      <c r="A55" s="268"/>
      <c r="B55" s="401" t="str">
        <f>"Synthetic FRA "&amp;SynthFra!F52&amp;"x"&amp;SynthFra!F52+12</f>
        <v>Synthetic FRA 44x56</v>
      </c>
      <c r="C55" s="397">
        <f>_xll.qlInterestRateIndexFixingDate(IborIndex,D55)</f>
        <v>43193</v>
      </c>
      <c r="D55" s="398">
        <f>SynthFra!I52</f>
        <v>43195</v>
      </c>
      <c r="E55" s="398">
        <f>_xll.qlCalendarAdvance(Calendar,D55,"1Y","mf")</f>
        <v>43560</v>
      </c>
      <c r="F55" s="398" t="str">
        <f>_xll.qlMakeDatedOIS(,D55,E55,OvernightIndex,0,"Act/360",0)</f>
        <v>obj_003f6#0000</v>
      </c>
      <c r="G55" s="420">
        <f>_xll.qlOvernightIndexedSwapFairRate(F55,Contribution!$P$25)</f>
        <v>7.5160016962095809E-3</v>
      </c>
      <c r="H55" s="400">
        <v>5.0089196382125901E-3</v>
      </c>
      <c r="I55" s="399">
        <f t="shared" si="1"/>
        <v>1.2524921334422172E-2</v>
      </c>
      <c r="J55" s="424">
        <f>SynthFra!N52-FRACharts!I55</f>
        <v>0</v>
      </c>
    </row>
    <row r="56" spans="1:10" x14ac:dyDescent="0.2">
      <c r="A56" s="268"/>
      <c r="B56" s="401" t="str">
        <f>"Synthetic FRA "&amp;SynthFra!F53&amp;"x"&amp;SynthFra!F53+12</f>
        <v>Synthetic FRA 45x57</v>
      </c>
      <c r="C56" s="397">
        <f>_xll.qlInterestRateIndexFixingDate(IborIndex,D56)</f>
        <v>43223</v>
      </c>
      <c r="D56" s="398">
        <f>SynthFra!I53</f>
        <v>43227</v>
      </c>
      <c r="E56" s="398">
        <f>_xll.qlCalendarAdvance(Calendar,D56,"1Y","mf")</f>
        <v>43592</v>
      </c>
      <c r="F56" s="398" t="str">
        <f>_xll.qlMakeDatedOIS(,D56,E56,OvernightIndex,0,"Act/360",0)</f>
        <v>obj_003ea#0000</v>
      </c>
      <c r="G56" s="420">
        <f>_xll.qlOvernightIndexedSwapFairRate(F56,Contribution!$P$25)</f>
        <v>7.8326948751470307E-3</v>
      </c>
      <c r="H56" s="400">
        <v>5.0095625000000001E-3</v>
      </c>
      <c r="I56" s="399">
        <f t="shared" si="1"/>
        <v>1.2842257375147031E-2</v>
      </c>
      <c r="J56" s="424">
        <f>SynthFra!N53-FRACharts!I56</f>
        <v>0</v>
      </c>
    </row>
    <row r="57" spans="1:10" x14ac:dyDescent="0.2">
      <c r="A57" s="268"/>
      <c r="B57" s="401" t="str">
        <f>"Synthetic FRA "&amp;SynthFra!F54&amp;"x"&amp;SynthFra!F54+12</f>
        <v>Synthetic FRA 46x58</v>
      </c>
      <c r="C57" s="397">
        <f>_xll.qlInterestRateIndexFixingDate(IborIndex,D57)</f>
        <v>43252</v>
      </c>
      <c r="D57" s="398">
        <f>SynthFra!I54</f>
        <v>43256</v>
      </c>
      <c r="E57" s="398">
        <f>_xll.qlCalendarAdvance(Calendar,D57,"1Y","mf")</f>
        <v>43621</v>
      </c>
      <c r="F57" s="398" t="str">
        <f>_xll.qlMakeDatedOIS(,D57,E57,OvernightIndex,0,"Act/360",0)</f>
        <v>obj_003d5#0000</v>
      </c>
      <c r="G57" s="420">
        <f>_xll.qlOvernightIndexedSwapFairRate(F57,Contribution!$P$25)</f>
        <v>8.1209460308218767E-3</v>
      </c>
      <c r="H57" s="400">
        <v>5.0098616341393174E-3</v>
      </c>
      <c r="I57" s="399">
        <f t="shared" si="1"/>
        <v>1.3130807664961195E-2</v>
      </c>
      <c r="J57" s="424">
        <f>SynthFra!N54-FRACharts!I57</f>
        <v>0</v>
      </c>
    </row>
    <row r="58" spans="1:10" x14ac:dyDescent="0.2">
      <c r="A58" s="268"/>
      <c r="B58" s="401" t="str">
        <f>"Synthetic FRA "&amp;SynthFra!F55&amp;"x"&amp;SynthFra!F55+12</f>
        <v>Synthetic FRA 47x59</v>
      </c>
      <c r="C58" s="397">
        <f>_xll.qlInterestRateIndexFixingDate(IborIndex,D58)</f>
        <v>43284</v>
      </c>
      <c r="D58" s="398">
        <f>SynthFra!I55</f>
        <v>43286</v>
      </c>
      <c r="E58" s="398">
        <f>_xll.qlCalendarAdvance(Calendar,D58,"1Y","mf")</f>
        <v>43651</v>
      </c>
      <c r="F58" s="398" t="str">
        <f>_xll.qlMakeDatedOIS(,D58,E58,OvernightIndex,0,"Act/360",0)</f>
        <v>obj_003e7#0000</v>
      </c>
      <c r="G58" s="420">
        <f>_xll.qlOvernightIndexedSwapFairRate(F58,Contribution!$P$25)</f>
        <v>8.4200212242531228E-3</v>
      </c>
      <c r="H58" s="400">
        <v>5.0099809759133508E-3</v>
      </c>
      <c r="I58" s="399">
        <f t="shared" si="1"/>
        <v>1.3430002200166474E-2</v>
      </c>
      <c r="J58" s="424">
        <f>SynthFra!N55-FRACharts!I58</f>
        <v>0</v>
      </c>
    </row>
    <row r="59" spans="1:10" ht="12" thickBot="1" x14ac:dyDescent="0.25">
      <c r="A59" s="268"/>
      <c r="B59" s="404" t="str">
        <f>"Swap/Impl FRA "&amp;SynthFra!F56&amp;"x"&amp;SynthFra!F56+12</f>
        <v>Swap/Impl FRA 48x60</v>
      </c>
      <c r="C59" s="406">
        <f>_xll.qlInterestRateIndexFixingDate(IborIndex,D59)</f>
        <v>43314</v>
      </c>
      <c r="D59" s="407">
        <f>SynthFra!I6</f>
        <v>43318</v>
      </c>
      <c r="E59" s="407">
        <f>_xll.qlCalendarAdvance(Calendar,D59,"1Y","mf")</f>
        <v>43683</v>
      </c>
      <c r="F59" s="407" t="str">
        <f>_xll.qlMakeDatedOIS(,D59,E59,OvernightIndex,0,"Act/360",0)</f>
        <v>obj_003e2#0000</v>
      </c>
      <c r="G59" s="422">
        <f>_xll.qlOvernightIndexedSwapFairRate(F59,Contribution!$P$25)</f>
        <v>8.739617153593577E-3</v>
      </c>
      <c r="H59" s="409">
        <v>5.0099999999999997E-3</v>
      </c>
      <c r="I59" s="408">
        <f t="shared" si="1"/>
        <v>1.3749617153593578E-2</v>
      </c>
      <c r="J59" s="424">
        <f>SynthFra!N56-FRACharts!I59</f>
        <v>0</v>
      </c>
    </row>
    <row r="60" spans="1:10" x14ac:dyDescent="0.2">
      <c r="A60" s="268"/>
      <c r="B60" s="268"/>
      <c r="C60" s="268"/>
      <c r="D60" s="268"/>
      <c r="E60" s="268"/>
      <c r="F60" s="268"/>
      <c r="G60" s="268"/>
      <c r="H60" s="268"/>
      <c r="I60" s="268"/>
      <c r="J60" s="268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X130"/>
  <sheetViews>
    <sheetView tabSelected="1" workbookViewId="0"/>
  </sheetViews>
  <sheetFormatPr defaultColWidth="9.5" defaultRowHeight="11.25" x14ac:dyDescent="0.2"/>
  <cols>
    <col min="1" max="1" width="2.83203125" style="432" customWidth="1"/>
    <col min="2" max="2" width="31.1640625" style="432" bestFit="1" customWidth="1"/>
    <col min="3" max="3" width="22.6640625" style="432" bestFit="1" customWidth="1"/>
    <col min="4" max="4" width="20.1640625" style="432" bestFit="1" customWidth="1"/>
    <col min="5" max="5" width="10.6640625" style="432" customWidth="1"/>
    <col min="6" max="6" width="11" style="432" customWidth="1"/>
    <col min="7" max="7" width="10.83203125" style="432" customWidth="1"/>
    <col min="8" max="8" width="12.1640625" style="432" bestFit="1" customWidth="1"/>
    <col min="9" max="10" width="20.1640625" style="432" bestFit="1" customWidth="1"/>
    <col min="11" max="11" width="7.6640625" style="432" hidden="1" customWidth="1"/>
    <col min="12" max="12" width="15.33203125" style="432" hidden="1" customWidth="1"/>
    <col min="13" max="13" width="11.6640625" style="432" bestFit="1" customWidth="1"/>
    <col min="14" max="14" width="9.5" style="432"/>
    <col min="15" max="15" width="12.1640625" style="432" bestFit="1" customWidth="1"/>
    <col min="16" max="17" width="12.1640625" style="432" customWidth="1"/>
    <col min="18" max="19" width="12.1640625" style="432" bestFit="1" customWidth="1"/>
    <col min="20" max="20" width="9.5" style="432"/>
    <col min="21" max="21" width="11.33203125" style="432" bestFit="1" customWidth="1"/>
    <col min="22" max="22" width="12.83203125" style="432" bestFit="1" customWidth="1"/>
    <col min="23" max="23" width="9.6640625" style="432" bestFit="1" customWidth="1"/>
    <col min="24" max="16384" width="9.5" style="432"/>
  </cols>
  <sheetData>
    <row r="1" spans="2:24" ht="12" thickBot="1" x14ac:dyDescent="0.25"/>
    <row r="2" spans="2:24" ht="22.5" x14ac:dyDescent="0.2">
      <c r="B2" s="443" t="s">
        <v>148</v>
      </c>
      <c r="C2" s="444" t="s">
        <v>127</v>
      </c>
      <c r="D2" s="444" t="s">
        <v>128</v>
      </c>
      <c r="E2" s="444" t="s">
        <v>106</v>
      </c>
      <c r="F2" s="444" t="s">
        <v>45</v>
      </c>
      <c r="G2" s="463"/>
      <c r="H2" s="463"/>
      <c r="I2" s="445"/>
      <c r="R2" s="487" t="s">
        <v>164</v>
      </c>
      <c r="T2" s="381"/>
      <c r="V2" s="519" t="s">
        <v>163</v>
      </c>
      <c r="W2" s="532"/>
      <c r="X2" s="532"/>
    </row>
    <row r="3" spans="2:24" x14ac:dyDescent="0.2">
      <c r="B3" s="433" t="str">
        <f t="array" ref="B3:B5">_xll.ohFilter(SynthDepo!D6:D14,SynthDepo!J6:J14)</f>
        <v>Euribor3MLastFixing_Quote</v>
      </c>
      <c r="C3" s="434">
        <f t="array" ref="C3:C5">_xll.ohFilter(SynthDepo!E6:E14,SynthDepo!J6:J14)</f>
        <v>41856</v>
      </c>
      <c r="D3" s="434">
        <f t="array" ref="D3:D5">_xll.ohFilter(SynthDepo!F6:F14,SynthDepo!J6:J14)</f>
        <v>41948</v>
      </c>
      <c r="E3" s="435">
        <f t="array" ref="E3:E5">_xll.ohFilter(SynthDepo!G6:G14,SynthDepo!J6:J14)</f>
        <v>2.0800000000000003E-3</v>
      </c>
      <c r="F3" s="436">
        <f t="array" ref="F3:F5">_xll.ohFilter(SynthDepo!H6:H14,SynthDepo!J6:J14)</f>
        <v>6.3000000000030425E-4</v>
      </c>
      <c r="G3" s="464">
        <f>E3*_xll.qlDayCounterYearFraction(DayCounter3M,C3,D3,,,Trigger)</f>
        <v>5.3155555555555562E-4</v>
      </c>
      <c r="H3" s="464">
        <f>F3*_xll.qlDayCounterYearFraction(DayCounterOIS,C3,D3,,,Trigger)</f>
        <v>1.6100000000007775E-4</v>
      </c>
      <c r="I3" s="489">
        <f>G3-H3</f>
        <v>3.7055555555547787E-4</v>
      </c>
      <c r="M3" s="523" t="s">
        <v>156</v>
      </c>
      <c r="N3" s="455">
        <f>I9</f>
        <v>5.3378164279024665E-3</v>
      </c>
      <c r="O3" s="456">
        <f>H9</f>
        <v>3.1765809720397831E-2</v>
      </c>
      <c r="P3" s="457">
        <f>G9</f>
        <v>0.25205479452054796</v>
      </c>
      <c r="Q3" s="446"/>
      <c r="R3" s="459">
        <f t="array" ref="R3:R5">MMULT(V3:X5,T3:T5)</f>
        <v>1.5334925339249739E-2</v>
      </c>
      <c r="S3" s="460"/>
      <c r="T3" s="435">
        <f>I3</f>
        <v>3.7055555555547787E-4</v>
      </c>
      <c r="V3" s="453">
        <f t="array" ref="V3:X5">MINVERSE(N3:P5)</f>
        <v>840.06830974413378</v>
      </c>
      <c r="W3" s="432">
        <v>-1298.2873877863883</v>
      </c>
      <c r="X3" s="432">
        <v>463.2544525262353</v>
      </c>
    </row>
    <row r="4" spans="2:24" x14ac:dyDescent="0.2">
      <c r="B4" s="433" t="str">
        <v>EURFUT3MQ4_Quote</v>
      </c>
      <c r="C4" s="434">
        <v>41871</v>
      </c>
      <c r="D4" s="434">
        <v>41963</v>
      </c>
      <c r="E4" s="435">
        <v>2.074999999999938E-3</v>
      </c>
      <c r="F4" s="436">
        <v>6.6950902880104422E-4</v>
      </c>
      <c r="G4" s="464">
        <f>E4*_xll.qlDayCounterYearFraction(DayCounter3M,C4,D4,,,Trigger)</f>
        <v>5.3027777777776191E-4</v>
      </c>
      <c r="H4" s="464">
        <f>F4*_xll.qlDayCounterYearFraction(DayCounterOIS,C4,D4,,,Trigger)</f>
        <v>1.7109675180471129E-4</v>
      </c>
      <c r="I4" s="489">
        <f t="shared" ref="I4:I5" si="0">G4-H4</f>
        <v>3.5918102597305062E-4</v>
      </c>
      <c r="M4" s="523"/>
      <c r="N4" s="455">
        <f>I10</f>
        <v>8.3743932355998165E-3</v>
      </c>
      <c r="O4" s="456">
        <f>H10</f>
        <v>4.2124225933571027E-2</v>
      </c>
      <c r="P4" s="457">
        <f>G10</f>
        <v>0.25205479452054796</v>
      </c>
      <c r="Q4" s="447" t="str">
        <f>SynthDepo!AA10</f>
        <v>x</v>
      </c>
      <c r="R4" s="459">
        <v>-5.5935393039795792E-3</v>
      </c>
      <c r="S4" s="447" t="str">
        <f>SynthDepo!AC10</f>
        <v>=</v>
      </c>
      <c r="T4" s="435">
        <f>I4</f>
        <v>3.5918102597305062E-4</v>
      </c>
      <c r="V4" s="453">
        <v>-342.80645546321011</v>
      </c>
      <c r="W4" s="432">
        <v>477.1336920399807</v>
      </c>
      <c r="X4" s="432">
        <v>-135.8033600556362</v>
      </c>
    </row>
    <row r="5" spans="2:24" ht="12" thickBot="1" x14ac:dyDescent="0.25">
      <c r="B5" s="438" t="str">
        <v>EURFUT3MU4_Quote</v>
      </c>
      <c r="C5" s="439">
        <v>41899</v>
      </c>
      <c r="D5" s="439">
        <v>41990</v>
      </c>
      <c r="E5" s="440">
        <v>2.074999999999938E-3</v>
      </c>
      <c r="F5" s="441">
        <v>6.2015358709409678E-4</v>
      </c>
      <c r="G5" s="465">
        <f>E5*_xll.qlDayCounterYearFraction(DayCounter3M,C5,D5,,,Trigger)</f>
        <v>5.245138888888732E-4</v>
      </c>
      <c r="H5" s="465">
        <f>F5*_xll.qlDayCounterYearFraction(DayCounterOIS,C5,D5,,,Trigger)</f>
        <v>1.5676104562656334E-4</v>
      </c>
      <c r="I5" s="490">
        <f t="shared" si="0"/>
        <v>3.6775284326230986E-4</v>
      </c>
      <c r="M5" s="523"/>
      <c r="N5" s="455">
        <f>I11</f>
        <v>1.5948554090609579E-2</v>
      </c>
      <c r="O5" s="456">
        <f>H11</f>
        <v>6.0450365922311879E-2</v>
      </c>
      <c r="P5" s="457">
        <f>G11</f>
        <v>0.24931506849315066</v>
      </c>
      <c r="Q5" s="449"/>
      <c r="R5" s="459">
        <v>1.8503272085734273E-3</v>
      </c>
      <c r="S5" s="447"/>
      <c r="T5" s="435">
        <f>I5</f>
        <v>3.6775284326230986E-4</v>
      </c>
      <c r="V5" s="453">
        <v>29.38009659741731</v>
      </c>
      <c r="W5" s="432">
        <v>-32.637817271107373</v>
      </c>
      <c r="X5" s="432">
        <v>7.304508812961382</v>
      </c>
    </row>
    <row r="6" spans="2:24" x14ac:dyDescent="0.2">
      <c r="R6" s="461"/>
      <c r="S6" s="451"/>
      <c r="T6" s="462"/>
    </row>
    <row r="7" spans="2:24" ht="12" thickBot="1" x14ac:dyDescent="0.25">
      <c r="R7" s="461"/>
      <c r="S7" s="451"/>
      <c r="T7" s="462"/>
    </row>
    <row r="8" spans="2:24" ht="13.5" thickBot="1" x14ac:dyDescent="0.25">
      <c r="E8" s="443"/>
      <c r="F8" s="444"/>
      <c r="G8" s="471" t="s">
        <v>166</v>
      </c>
      <c r="H8" s="472" t="s">
        <v>167</v>
      </c>
      <c r="I8" s="473" t="s">
        <v>168</v>
      </c>
      <c r="R8" s="488" t="s">
        <v>165</v>
      </c>
      <c r="S8" s="451"/>
      <c r="T8" s="462"/>
    </row>
    <row r="9" spans="2:24" x14ac:dyDescent="0.2">
      <c r="B9" s="443" t="s">
        <v>159</v>
      </c>
      <c r="C9" s="466" t="s">
        <v>18</v>
      </c>
      <c r="E9" s="491">
        <f>_xll.qlDayCounterYearFraction(DayCounterON,SettlementDate,C3,,,Trigger)</f>
        <v>0</v>
      </c>
      <c r="F9" s="492">
        <f>_xll.qlDayCounterYearFraction(DayCounterON,SettlementDate,D3,,,Trigger)</f>
        <v>0.25205479452054796</v>
      </c>
      <c r="G9" s="492">
        <f>F9-E9</f>
        <v>0.25205479452054796</v>
      </c>
      <c r="H9" s="492">
        <f>(F9^2-E9^2)/2</f>
        <v>3.1765809720397831E-2</v>
      </c>
      <c r="I9" s="533">
        <f>(F9^3-E9^3)/3</f>
        <v>5.3378164279024665E-3</v>
      </c>
      <c r="M9" s="524" t="s">
        <v>157</v>
      </c>
      <c r="N9" s="450"/>
      <c r="O9" s="455">
        <f>H9</f>
        <v>3.1765809720397831E-2</v>
      </c>
      <c r="P9" s="457">
        <f>G9</f>
        <v>0.25205479452054796</v>
      </c>
      <c r="Q9" s="518" t="s">
        <v>56</v>
      </c>
      <c r="R9" s="459">
        <f t="array" ref="R9:R10">MMULT(V9:W10,T9:T10)</f>
        <v>-1.0980954374049737E-3</v>
      </c>
      <c r="S9" s="519" t="s">
        <v>57</v>
      </c>
      <c r="T9" s="435">
        <f>I3</f>
        <v>3.7055555555547787E-4</v>
      </c>
      <c r="V9" s="432">
        <f t="array" ref="V9:W10">MINVERSE(O9:P10)</f>
        <v>-96.539855072463823</v>
      </c>
      <c r="W9" s="432">
        <v>96.539855072463851</v>
      </c>
    </row>
    <row r="10" spans="2:24" x14ac:dyDescent="0.2">
      <c r="B10" s="467" t="s">
        <v>160</v>
      </c>
      <c r="C10" s="468" t="s">
        <v>18</v>
      </c>
      <c r="E10" s="493">
        <f>_xll.qlDayCounterYearFraction(DayCounterON,SettlementDate,C4,,,Trigger)</f>
        <v>4.1095890410958902E-2</v>
      </c>
      <c r="F10" s="494">
        <f>_xll.qlDayCounterYearFraction(DayCounterON,SettlementDate,D4,,,Trigger)</f>
        <v>0.29315068493150687</v>
      </c>
      <c r="G10" s="494">
        <f t="shared" ref="G10:G11" si="1">F10-E10</f>
        <v>0.25205479452054796</v>
      </c>
      <c r="H10" s="494">
        <f t="shared" ref="H10:H11" si="2">(F10^2-E10^2)/2</f>
        <v>4.2124225933571027E-2</v>
      </c>
      <c r="I10" s="534">
        <f t="shared" ref="I10:I11" si="3">(F10^3-E10^3)/3</f>
        <v>8.3743932355998165E-3</v>
      </c>
      <c r="M10" s="524"/>
      <c r="N10" s="450"/>
      <c r="O10" s="455">
        <f>H10</f>
        <v>4.2124225933571027E-2</v>
      </c>
      <c r="P10" s="457">
        <f>G10</f>
        <v>0.25205479452054796</v>
      </c>
      <c r="Q10" s="518"/>
      <c r="R10" s="459">
        <v>1.6085289988081123E-3</v>
      </c>
      <c r="S10" s="519"/>
      <c r="T10" s="435">
        <f>I4</f>
        <v>3.5918102597305062E-4</v>
      </c>
      <c r="V10" s="432">
        <v>16.134057971014503</v>
      </c>
      <c r="W10" s="432">
        <v>-12.166666666666677</v>
      </c>
    </row>
    <row r="11" spans="2:24" ht="12" thickBot="1" x14ac:dyDescent="0.25">
      <c r="B11" s="469" t="s">
        <v>161</v>
      </c>
      <c r="C11" s="470" t="s">
        <v>162</v>
      </c>
      <c r="E11" s="495">
        <f>_xll.qlDayCounterYearFraction(DayCounterON,SettlementDate,C5,,,Trigger)</f>
        <v>0.11780821917808219</v>
      </c>
      <c r="F11" s="496">
        <f>_xll.qlDayCounterYearFraction(DayCounterON,SettlementDate,D5,,,Trigger)</f>
        <v>0.36712328767123287</v>
      </c>
      <c r="G11" s="496">
        <f t="shared" si="1"/>
        <v>0.24931506849315066</v>
      </c>
      <c r="H11" s="496">
        <f t="shared" si="2"/>
        <v>6.0450365922311879E-2</v>
      </c>
      <c r="I11" s="535">
        <f t="shared" si="3"/>
        <v>1.5948554090609579E-2</v>
      </c>
      <c r="R11" s="461"/>
      <c r="S11" s="451"/>
      <c r="T11" s="462"/>
    </row>
    <row r="12" spans="2:24" ht="12" x14ac:dyDescent="0.2">
      <c r="R12" s="487" t="s">
        <v>48</v>
      </c>
      <c r="S12" s="451"/>
      <c r="T12" s="462"/>
    </row>
    <row r="13" spans="2:24" x14ac:dyDescent="0.2">
      <c r="M13" s="454" t="s">
        <v>158</v>
      </c>
      <c r="O13" s="381"/>
      <c r="P13" s="458">
        <f>G9</f>
        <v>0.25205479452054796</v>
      </c>
      <c r="Q13" s="520" t="s">
        <v>56</v>
      </c>
      <c r="R13" s="459">
        <f>MMULT(V13,T13)</f>
        <v>1.4701388888885805E-3</v>
      </c>
      <c r="S13" s="520" t="s">
        <v>57</v>
      </c>
      <c r="T13" s="435">
        <f>I3</f>
        <v>3.7055555555547787E-4</v>
      </c>
      <c r="V13" s="432">
        <f>MINVERSE(P13)</f>
        <v>3.9673913043478257</v>
      </c>
    </row>
    <row r="15" spans="2:24" ht="12" thickBot="1" x14ac:dyDescent="0.25"/>
    <row r="16" spans="2:24" ht="19.5" customHeight="1" x14ac:dyDescent="0.2">
      <c r="B16" s="443" t="s">
        <v>127</v>
      </c>
      <c r="C16" s="443"/>
      <c r="D16" s="444" t="s">
        <v>58</v>
      </c>
      <c r="E16" s="444" t="s">
        <v>143</v>
      </c>
      <c r="F16" s="445" t="s">
        <v>144</v>
      </c>
    </row>
    <row r="17" spans="2:9" x14ac:dyDescent="0.2">
      <c r="B17" s="480">
        <f>SettlementDate</f>
        <v>41856</v>
      </c>
      <c r="C17" s="476">
        <f>_xll.qlDayCounterYearFraction(DayCounterON,SettlementDate,B17,,,Trigger)</f>
        <v>0</v>
      </c>
      <c r="D17" s="481">
        <f>$R$13</f>
        <v>1.4701388888885805E-3</v>
      </c>
      <c r="E17" s="481">
        <f>$R$10+$R$9*C17</f>
        <v>1.6085289988081123E-3</v>
      </c>
      <c r="F17" s="482">
        <f>($R$5+$R$4*C17+$R$3*C17^2)</f>
        <v>1.8503272085734273E-3</v>
      </c>
      <c r="H17" s="448"/>
      <c r="I17" s="448"/>
    </row>
    <row r="18" spans="2:9" x14ac:dyDescent="0.2">
      <c r="B18" s="483">
        <f>_xll.qlCalendarAdvance(Calendar,B17,"1d","mf")</f>
        <v>41857</v>
      </c>
      <c r="C18" s="476">
        <f>_xll.qlDayCounterYearFraction(DayCounterON,SettlementDate,B18,,,Trigger)</f>
        <v>2.7397260273972603E-3</v>
      </c>
      <c r="D18" s="484">
        <f>$R$13</f>
        <v>1.4701388888885805E-3</v>
      </c>
      <c r="E18" s="484">
        <f>$R$10+$R$9*C18</f>
        <v>1.6055205181576878E-3</v>
      </c>
      <c r="F18" s="437">
        <f>($R$5+$R$4*C18+$R$3*C18^2)</f>
        <v>1.8351175488202781E-3</v>
      </c>
      <c r="H18" s="448"/>
      <c r="I18" s="448"/>
    </row>
    <row r="19" spans="2:9" x14ac:dyDescent="0.2">
      <c r="B19" s="483">
        <f>_xll.qlCalendarAdvance(Calendar,B18,"1d","mf")</f>
        <v>41858</v>
      </c>
      <c r="C19" s="476">
        <f>_xll.qlDayCounterYearFraction(DayCounterON,SettlementDate,B19,,,Trigger)</f>
        <v>5.4794520547945206E-3</v>
      </c>
      <c r="D19" s="484">
        <f>$R$13</f>
        <v>1.4701388888885805E-3</v>
      </c>
      <c r="E19" s="484">
        <f>$R$10+$R$9*C19</f>
        <v>1.6025120375072631E-3</v>
      </c>
      <c r="F19" s="437">
        <f>($R$5+$R$4*C19+$R$3*C19^2)</f>
        <v>1.8201380999935957E-3</v>
      </c>
      <c r="H19" s="448"/>
      <c r="I19" s="448"/>
    </row>
    <row r="20" spans="2:9" x14ac:dyDescent="0.2">
      <c r="B20" s="483">
        <f>_xll.qlCalendarAdvance(Calendar,B19,"1d","mf")</f>
        <v>41859</v>
      </c>
      <c r="C20" s="476">
        <f>_xll.qlDayCounterYearFraction(DayCounterON,SettlementDate,B20,,,Trigger)</f>
        <v>8.21917808219178E-3</v>
      </c>
      <c r="D20" s="484">
        <f>$R$13</f>
        <v>1.4701388888885805E-3</v>
      </c>
      <c r="E20" s="484">
        <f>$R$10+$R$9*C20</f>
        <v>1.5995035568568386E-3</v>
      </c>
      <c r="F20" s="437">
        <f>($R$5+$R$4*C20+$R$3*C20^2)</f>
        <v>1.8053888620933793E-3</v>
      </c>
      <c r="H20" s="448"/>
      <c r="I20" s="448"/>
    </row>
    <row r="21" spans="2:9" x14ac:dyDescent="0.2">
      <c r="B21" s="483">
        <f>_xll.qlCalendarAdvance(Calendar,B20,"1d","mf")</f>
        <v>41862</v>
      </c>
      <c r="C21" s="476">
        <f>_xll.qlDayCounterYearFraction(DayCounterON,SettlementDate,B21,,,Trigger)</f>
        <v>1.643835616438356E-2</v>
      </c>
      <c r="D21" s="484">
        <f>$R$13</f>
        <v>1.4701388888885805E-3</v>
      </c>
      <c r="E21" s="484">
        <f>$R$10+$R$9*C21</f>
        <v>1.5904781149055649E-3</v>
      </c>
      <c r="F21" s="437">
        <f>($R$5+$R$4*C21+$R$3*C21^2)</f>
        <v>1.7625224139515298E-3</v>
      </c>
      <c r="H21" s="448"/>
      <c r="I21" s="448"/>
    </row>
    <row r="22" spans="2:9" x14ac:dyDescent="0.2">
      <c r="B22" s="483">
        <f>_xll.qlCalendarAdvance(Calendar,B21,"1d","mf")</f>
        <v>41863</v>
      </c>
      <c r="C22" s="476">
        <f>_xll.qlDayCounterYearFraction(DayCounterON,SettlementDate,B22,,,Trigger)</f>
        <v>1.9178082191780823E-2</v>
      </c>
      <c r="D22" s="484">
        <f>$R$13</f>
        <v>1.4701388888885805E-3</v>
      </c>
      <c r="E22" s="484">
        <f>$R$10+$R$9*C22</f>
        <v>1.5874696342551402E-3</v>
      </c>
      <c r="F22" s="437">
        <f>($R$5+$R$4*C22+$R$3*C22^2)</f>
        <v>1.7486940197571797E-3</v>
      </c>
      <c r="H22" s="448"/>
      <c r="I22" s="448"/>
    </row>
    <row r="23" spans="2:9" x14ac:dyDescent="0.2">
      <c r="B23" s="483">
        <f>_xll.qlCalendarAdvance(Calendar,B22,"1d","mf")</f>
        <v>41864</v>
      </c>
      <c r="C23" s="476">
        <f>_xll.qlDayCounterYearFraction(DayCounterON,SettlementDate,B23,,,Trigger)</f>
        <v>2.1917808219178082E-2</v>
      </c>
      <c r="D23" s="484">
        <f>$R$13</f>
        <v>1.4701388888885805E-3</v>
      </c>
      <c r="E23" s="484">
        <f>$R$10+$R$9*C23</f>
        <v>1.5844611536047157E-3</v>
      </c>
      <c r="F23" s="437">
        <f>($R$5+$R$4*C23+$R$3*C23^2)</f>
        <v>1.7350958364892961E-3</v>
      </c>
      <c r="H23" s="448"/>
      <c r="I23" s="448"/>
    </row>
    <row r="24" spans="2:9" x14ac:dyDescent="0.2">
      <c r="B24" s="483">
        <f>_xll.qlCalendarAdvance(Calendar,B23,"1d","mf")</f>
        <v>41865</v>
      </c>
      <c r="C24" s="476">
        <f>_xll.qlDayCounterYearFraction(DayCounterON,SettlementDate,B24,,,Trigger)</f>
        <v>2.4657534246575342E-2</v>
      </c>
      <c r="D24" s="484">
        <f>$R$13</f>
        <v>1.4701388888885805E-3</v>
      </c>
      <c r="E24" s="484">
        <f>$R$10+$R$9*C24</f>
        <v>1.5814526729542909E-3</v>
      </c>
      <c r="F24" s="437">
        <f>($R$5+$R$4*C24+$R$3*C24^2)</f>
        <v>1.7217278641478788E-3</v>
      </c>
      <c r="H24" s="448"/>
      <c r="I24" s="448"/>
    </row>
    <row r="25" spans="2:9" x14ac:dyDescent="0.2">
      <c r="B25" s="483">
        <f>_xll.qlCalendarAdvance(Calendar,B24,"1d","mf")</f>
        <v>41866</v>
      </c>
      <c r="C25" s="476">
        <f>_xll.qlDayCounterYearFraction(DayCounterON,SettlementDate,B25,,,Trigger)</f>
        <v>2.7397260273972601E-2</v>
      </c>
      <c r="D25" s="484">
        <f>$R$13</f>
        <v>1.4701388888885805E-3</v>
      </c>
      <c r="E25" s="484">
        <f>$R$10+$R$9*C25</f>
        <v>1.5784441923038664E-3</v>
      </c>
      <c r="F25" s="437">
        <f>($R$5+$R$4*C25+$R$3*C25^2)</f>
        <v>1.7085901027329283E-3</v>
      </c>
      <c r="H25" s="448"/>
      <c r="I25" s="448"/>
    </row>
    <row r="26" spans="2:9" x14ac:dyDescent="0.2">
      <c r="B26" s="483">
        <f>_xll.qlCalendarAdvance(Calendar,B25,"1d","mf")</f>
        <v>41869</v>
      </c>
      <c r="C26" s="476">
        <f>_xll.qlDayCounterYearFraction(DayCounterON,SettlementDate,B26,,,Trigger)</f>
        <v>3.5616438356164383E-2</v>
      </c>
      <c r="D26" s="484">
        <f>$R$13</f>
        <v>1.4701388888885805E-3</v>
      </c>
      <c r="E26" s="484">
        <f>$R$10+$R$9*C26</f>
        <v>1.5694187503525927E-3</v>
      </c>
      <c r="F26" s="437">
        <f>($R$5+$R$4*C26+$R$3*C26^2)</f>
        <v>1.6705580840468753E-3</v>
      </c>
      <c r="H26" s="448"/>
      <c r="I26" s="448"/>
    </row>
    <row r="27" spans="2:9" x14ac:dyDescent="0.2">
      <c r="B27" s="483">
        <f>_xll.qlCalendarAdvance(Calendar,B26,"1d","mf")</f>
        <v>41870</v>
      </c>
      <c r="C27" s="476">
        <f>_xll.qlDayCounterYearFraction(DayCounterON,SettlementDate,B27,,,Trigger)</f>
        <v>3.8356164383561646E-2</v>
      </c>
      <c r="D27" s="484">
        <f>$R$13</f>
        <v>1.4701388888885805E-3</v>
      </c>
      <c r="E27" s="484">
        <f>$R$10+$R$9*C27</f>
        <v>1.566410269702168E-3</v>
      </c>
      <c r="F27" s="437">
        <f>($R$5+$R$4*C27+$R$3*C27^2)</f>
        <v>1.6583411663377906E-3</v>
      </c>
      <c r="H27" s="448"/>
      <c r="I27" s="448"/>
    </row>
    <row r="28" spans="2:9" x14ac:dyDescent="0.2">
      <c r="B28" s="483">
        <f>_xll.qlCalendarAdvance(Calendar,B27,"1d","mf")</f>
        <v>41871</v>
      </c>
      <c r="C28" s="476">
        <f>_xll.qlDayCounterYearFraction(DayCounterON,SettlementDate,B28,,,Trigger)</f>
        <v>4.1095890410958902E-2</v>
      </c>
      <c r="D28" s="484">
        <f>$R$13</f>
        <v>1.4701388888885805E-3</v>
      </c>
      <c r="E28" s="484">
        <f>$R$10+$R$9*C28</f>
        <v>1.5634017890517435E-3</v>
      </c>
      <c r="F28" s="437">
        <f>($R$5+$R$4*C28+$R$3*C28^2)</f>
        <v>1.6463544595551724E-3</v>
      </c>
      <c r="H28" s="448"/>
      <c r="I28" s="448"/>
    </row>
    <row r="29" spans="2:9" x14ac:dyDescent="0.2">
      <c r="B29" s="483">
        <f>_xll.qlCalendarAdvance(Calendar,B28,"1d","mf")</f>
        <v>41872</v>
      </c>
      <c r="C29" s="476">
        <f>_xll.qlDayCounterYearFraction(DayCounterON,SettlementDate,B29,,,Trigger)</f>
        <v>4.3835616438356165E-2</v>
      </c>
      <c r="D29" s="484">
        <f>$R$13</f>
        <v>1.4701388888885805E-3</v>
      </c>
      <c r="E29" s="484">
        <f>$R$10+$R$9*C29</f>
        <v>1.560393308401319E-3</v>
      </c>
      <c r="F29" s="437">
        <f>($R$5+$R$4*C29+$R$3*C29^2)</f>
        <v>1.6345979636990208E-3</v>
      </c>
      <c r="H29" s="448"/>
      <c r="I29" s="448"/>
    </row>
    <row r="30" spans="2:9" x14ac:dyDescent="0.2">
      <c r="B30" s="483">
        <f>_xll.qlCalendarAdvance(Calendar,B29,"1d","mf")</f>
        <v>41873</v>
      </c>
      <c r="C30" s="476">
        <f>_xll.qlDayCounterYearFraction(DayCounterON,SettlementDate,B30,,,Trigger)</f>
        <v>4.6575342465753428E-2</v>
      </c>
      <c r="D30" s="484">
        <f>$R$13</f>
        <v>1.4701388888885805E-3</v>
      </c>
      <c r="E30" s="484">
        <f>$R$10+$R$9*C30</f>
        <v>1.5573848277508943E-3</v>
      </c>
      <c r="F30" s="437">
        <f>($R$5+$R$4*C30+$R$3*C30^2)</f>
        <v>1.6230716787693357E-3</v>
      </c>
      <c r="H30" s="448"/>
      <c r="I30" s="448"/>
    </row>
    <row r="31" spans="2:9" x14ac:dyDescent="0.2">
      <c r="B31" s="483">
        <f>_xll.qlCalendarAdvance(Calendar,B30,"1d","mf")</f>
        <v>41876</v>
      </c>
      <c r="C31" s="476">
        <f>_xll.qlDayCounterYearFraction(DayCounterON,SettlementDate,B31,,,Trigger)</f>
        <v>5.4794520547945202E-2</v>
      </c>
      <c r="D31" s="484">
        <f>$R$13</f>
        <v>1.4701388888885805E-3</v>
      </c>
      <c r="E31" s="484">
        <f>$R$10+$R$9*C31</f>
        <v>1.5483593857996206E-3</v>
      </c>
      <c r="F31" s="437">
        <f>($R$5+$R$4*C31+$R$3*C31^2)</f>
        <v>1.5898740895390793E-3</v>
      </c>
      <c r="H31" s="448"/>
      <c r="I31" s="448"/>
    </row>
    <row r="32" spans="2:9" x14ac:dyDescent="0.2">
      <c r="B32" s="483">
        <f>_xll.qlCalendarAdvance(Calendar,B31,"1d","mf")</f>
        <v>41877</v>
      </c>
      <c r="C32" s="476">
        <f>_xll.qlDayCounterYearFraction(DayCounterON,SettlementDate,B32,,,Trigger)</f>
        <v>5.7534246575342465E-2</v>
      </c>
      <c r="D32" s="484">
        <f>$R$13</f>
        <v>1.4701388888885805E-3</v>
      </c>
      <c r="E32" s="484">
        <f>$R$10+$R$9*C32</f>
        <v>1.5453509051491961E-3</v>
      </c>
      <c r="F32" s="437">
        <f>($R$5+$R$4*C32+$R$3*C32^2)</f>
        <v>1.57926864831526E-3</v>
      </c>
      <c r="H32" s="448"/>
      <c r="I32" s="448"/>
    </row>
    <row r="33" spans="2:19" x14ac:dyDescent="0.2">
      <c r="B33" s="483">
        <f>_xll.qlCalendarAdvance(Calendar,B32,"1d","mf")</f>
        <v>41878</v>
      </c>
      <c r="C33" s="476">
        <f>_xll.qlDayCounterYearFraction(DayCounterON,SettlementDate,B33,,,Trigger)</f>
        <v>6.0273972602739728E-2</v>
      </c>
      <c r="D33" s="484">
        <f>$R$13</f>
        <v>1.4701388888885805E-3</v>
      </c>
      <c r="E33" s="484">
        <f>$R$10+$R$9*C33</f>
        <v>1.5423424244987714E-3</v>
      </c>
      <c r="F33" s="437">
        <f>($R$5+$R$4*C33+$R$3*C33^2)</f>
        <v>1.5688934180179072E-3</v>
      </c>
      <c r="H33" s="448"/>
      <c r="I33" s="448"/>
    </row>
    <row r="34" spans="2:19" x14ac:dyDescent="0.2">
      <c r="B34" s="483">
        <f>_xll.qlCalendarAdvance(Calendar,B33,"1d","mf")</f>
        <v>41879</v>
      </c>
      <c r="C34" s="476">
        <f>_xll.qlDayCounterYearFraction(DayCounterON,SettlementDate,B34,,,Trigger)</f>
        <v>6.3013698630136991E-2</v>
      </c>
      <c r="D34" s="484">
        <f>$R$13</f>
        <v>1.4701388888885805E-3</v>
      </c>
      <c r="E34" s="484">
        <f>$R$10+$R$9*C34</f>
        <v>1.5393339438483469E-3</v>
      </c>
      <c r="F34" s="437">
        <f>($R$5+$R$4*C34+$R$3*C34^2)</f>
        <v>1.5587483986470212E-3</v>
      </c>
      <c r="H34" s="448"/>
      <c r="I34" s="448"/>
    </row>
    <row r="35" spans="2:19" x14ac:dyDescent="0.2">
      <c r="B35" s="483">
        <f>_xll.qlCalendarAdvance(Calendar,B34,"1d","mf")</f>
        <v>41880</v>
      </c>
      <c r="C35" s="476">
        <f>_xll.qlDayCounterYearFraction(DayCounterON,SettlementDate,B35,,,Trigger)</f>
        <v>6.575342465753424E-2</v>
      </c>
      <c r="D35" s="484">
        <f>$R$13</f>
        <v>1.4701388888885805E-3</v>
      </c>
      <c r="E35" s="484">
        <f>$R$10+$R$9*C35</f>
        <v>1.5363254631979224E-3</v>
      </c>
      <c r="F35" s="437">
        <f>($R$5+$R$4*C35+$R$3*C35^2)</f>
        <v>1.5488335902026015E-3</v>
      </c>
      <c r="H35" s="448"/>
      <c r="I35" s="448"/>
    </row>
    <row r="36" spans="2:19" x14ac:dyDescent="0.2">
      <c r="B36" s="483">
        <f>_xll.qlCalendarAdvance(Calendar,B35,"1d","mf")</f>
        <v>41883</v>
      </c>
      <c r="C36" s="476">
        <f>_xll.qlDayCounterYearFraction(DayCounterON,SettlementDate,B36,,,Trigger)</f>
        <v>7.3972602739726029E-2</v>
      </c>
      <c r="D36" s="484">
        <f>$R$13</f>
        <v>1.4701388888885805E-3</v>
      </c>
      <c r="E36" s="484">
        <f>$R$10+$R$9*C36</f>
        <v>1.5273000212466484E-3</v>
      </c>
      <c r="F36" s="437">
        <f>($R$5+$R$4*C36+$R$3*C36^2)</f>
        <v>1.5204704304281416E-3</v>
      </c>
      <c r="H36" s="448"/>
      <c r="I36" s="448"/>
    </row>
    <row r="37" spans="2:19" x14ac:dyDescent="0.2">
      <c r="B37" s="483">
        <f>_xll.qlCalendarAdvance(Calendar,B36,"1d","mf")</f>
        <v>41884</v>
      </c>
      <c r="C37" s="476">
        <f>_xll.qlDayCounterYearFraction(DayCounterON,SettlementDate,B37,,,Trigger)</f>
        <v>7.6712328767123292E-2</v>
      </c>
      <c r="D37" s="484">
        <f>$R$13</f>
        <v>1.4701388888885805E-3</v>
      </c>
      <c r="E37" s="484">
        <f>$R$10+$R$9*C37</f>
        <v>1.5242915405962239E-3</v>
      </c>
      <c r="F37" s="437">
        <f>($R$5+$R$4*C37+$R$3*C37^2)</f>
        <v>1.5114764656895879E-3</v>
      </c>
      <c r="H37" s="448"/>
      <c r="I37" s="448"/>
    </row>
    <row r="38" spans="2:19" x14ac:dyDescent="0.2">
      <c r="B38" s="483">
        <f>_xll.qlCalendarAdvance(Calendar,B37,"1d","mf")</f>
        <v>41885</v>
      </c>
      <c r="C38" s="476">
        <f>_xll.qlDayCounterYearFraction(DayCounterON,SettlementDate,B38,,,Trigger)</f>
        <v>7.9452054794520555E-2</v>
      </c>
      <c r="D38" s="484">
        <f>$R$13</f>
        <v>1.4701388888885805E-3</v>
      </c>
      <c r="E38" s="484">
        <f>$R$10+$R$9*C38</f>
        <v>1.5212830599457992E-3</v>
      </c>
      <c r="F38" s="437">
        <f>($R$5+$R$4*C38+$R$3*C38^2)</f>
        <v>1.502712711877501E-3</v>
      </c>
      <c r="H38" s="448"/>
      <c r="I38" s="448"/>
    </row>
    <row r="39" spans="2:19" x14ac:dyDescent="0.2">
      <c r="B39" s="483">
        <f>_xll.qlCalendarAdvance(Calendar,B38,"1d","mf")</f>
        <v>41886</v>
      </c>
      <c r="C39" s="476">
        <f>_xll.qlDayCounterYearFraction(DayCounterON,SettlementDate,B39,,,Trigger)</f>
        <v>8.2191780821917804E-2</v>
      </c>
      <c r="D39" s="484">
        <f>$R$13</f>
        <v>1.4701388888885805E-3</v>
      </c>
      <c r="E39" s="484">
        <f>$R$10+$R$9*C39</f>
        <v>1.5182745792953747E-3</v>
      </c>
      <c r="F39" s="437">
        <f>($R$5+$R$4*C39+$R$3*C39^2)</f>
        <v>1.4941791689918799E-3</v>
      </c>
      <c r="H39" s="448"/>
      <c r="I39" s="448"/>
    </row>
    <row r="40" spans="2:19" x14ac:dyDescent="0.2">
      <c r="B40" s="483">
        <f>_xll.qlCalendarAdvance(Calendar,B39,"1d","mf")</f>
        <v>41887</v>
      </c>
      <c r="C40" s="476">
        <f>_xll.qlDayCounterYearFraction(DayCounterON,SettlementDate,B40,,,Trigger)</f>
        <v>8.4931506849315067E-2</v>
      </c>
      <c r="D40" s="484">
        <f>$R$13</f>
        <v>1.4701388888885805E-3</v>
      </c>
      <c r="E40" s="484">
        <f>$R$10+$R$9*C40</f>
        <v>1.5152660986449502E-3</v>
      </c>
      <c r="F40" s="437">
        <f>($R$5+$R$4*C40+$R$3*C40^2)</f>
        <v>1.4858758370327261E-3</v>
      </c>
      <c r="H40" s="448"/>
      <c r="I40" s="448"/>
    </row>
    <row r="41" spans="2:19" x14ac:dyDescent="0.2">
      <c r="B41" s="483">
        <f>_xll.qlCalendarAdvance(Calendar,B40,"1d","mf")</f>
        <v>41890</v>
      </c>
      <c r="C41" s="476">
        <f>_xll.qlDayCounterYearFraction(DayCounterON,SettlementDate,B41,,,Trigger)</f>
        <v>9.3150684931506855E-2</v>
      </c>
      <c r="D41" s="484">
        <f>$R$13</f>
        <v>1.4701388888885805E-3</v>
      </c>
      <c r="E41" s="484">
        <f>$R$10+$R$9*C41</f>
        <v>1.5062406566936765E-3</v>
      </c>
      <c r="F41" s="437">
        <f>($R$5+$R$4*C41+$R$3*C41^2)</f>
        <v>1.4623471067140626E-3</v>
      </c>
      <c r="H41" s="448"/>
      <c r="I41" s="448"/>
    </row>
    <row r="42" spans="2:19" ht="12" thickBot="1" x14ac:dyDescent="0.25">
      <c r="B42" s="483">
        <f>_xll.qlCalendarAdvance(Calendar,B41,"1d","mf")</f>
        <v>41891</v>
      </c>
      <c r="C42" s="476">
        <f>_xll.qlDayCounterYearFraction(DayCounterON,SettlementDate,B42,,,Trigger)</f>
        <v>9.5890410958904104E-2</v>
      </c>
      <c r="D42" s="484">
        <f>$R$13</f>
        <v>1.4701388888885805E-3</v>
      </c>
      <c r="E42" s="484">
        <f>$R$10+$R$9*C42</f>
        <v>1.5032321760432518E-3</v>
      </c>
      <c r="F42" s="437">
        <f>($R$5+$R$4*C42+$R$3*C42^2)</f>
        <v>1.4549646184607743E-3</v>
      </c>
      <c r="H42" s="448"/>
      <c r="I42" s="448"/>
    </row>
    <row r="43" spans="2:19" x14ac:dyDescent="0.2">
      <c r="B43" s="483">
        <f>_xll.qlCalendarAdvance(Calendar,B42,"1d","mf")</f>
        <v>41892</v>
      </c>
      <c r="C43" s="476">
        <f>_xll.qlDayCounterYearFraction(DayCounterON,SettlementDate,B43,,,Trigger)</f>
        <v>9.8630136986301367E-2</v>
      </c>
      <c r="D43" s="484">
        <f>$R$13</f>
        <v>1.4701388888885805E-3</v>
      </c>
      <c r="E43" s="484">
        <f>$R$10+$R$9*C43</f>
        <v>1.5002236953928273E-3</v>
      </c>
      <c r="F43" s="437">
        <f>($R$5+$R$4*C43+$R$3*C43^2)</f>
        <v>1.4478123411339528E-3</v>
      </c>
      <c r="H43" s="443" t="s">
        <v>169</v>
      </c>
      <c r="I43" s="444" t="s">
        <v>127</v>
      </c>
      <c r="J43" s="471" t="s">
        <v>128</v>
      </c>
      <c r="K43" s="472"/>
      <c r="L43" s="473"/>
      <c r="M43" s="443" t="s">
        <v>45</v>
      </c>
      <c r="N43" s="473"/>
      <c r="O43" s="473"/>
      <c r="P43" s="473"/>
      <c r="Q43" s="473" t="s">
        <v>158</v>
      </c>
      <c r="R43" s="473" t="s">
        <v>157</v>
      </c>
      <c r="S43" s="473" t="s">
        <v>156</v>
      </c>
    </row>
    <row r="44" spans="2:19" x14ac:dyDescent="0.2">
      <c r="B44" s="483">
        <f>_xll.qlCalendarAdvance(Calendar,B43,"1d","mf")</f>
        <v>41893</v>
      </c>
      <c r="C44" s="476">
        <f>_xll.qlDayCounterYearFraction(DayCounterON,SettlementDate,B44,,,Trigger)</f>
        <v>0.10136986301369863</v>
      </c>
      <c r="D44" s="484">
        <f>$R$13</f>
        <v>1.4701388888885805E-3</v>
      </c>
      <c r="E44" s="484">
        <f>$R$10+$R$9*C44</f>
        <v>1.4972152147424026E-3</v>
      </c>
      <c r="F44" s="437">
        <f>($R$5+$R$4*C44+$R$3*C44^2)</f>
        <v>1.4408902747335974E-3</v>
      </c>
      <c r="H44" s="531" t="s">
        <v>66</v>
      </c>
      <c r="I44" s="498">
        <f t="shared" ref="I44:I50" si="4">SettlementDate</f>
        <v>41856</v>
      </c>
      <c r="J44" s="499">
        <f>_xll.qlCalendarAdvance(Calendar,SettlementDate,H44,"Following")</f>
        <v>41857</v>
      </c>
      <c r="K44" s="500" t="str">
        <f>_xll.qlMakeDatedOIS(,I44,J44,OvernightIndex,0,,,,EvaluationDate)</f>
        <v>obj_003b0#0000</v>
      </c>
      <c r="L44" s="500" t="b">
        <f>_xll.qlInstrumentSetPricingEngine(K44,OisEngine)</f>
        <v>1</v>
      </c>
      <c r="M44" s="497">
        <f>_xll.qlOvernightIndexedSwapFairRate(K44,_xll.ohTrigger(InterestRatesTrigger))</f>
        <v>4.999998017218843E-4</v>
      </c>
      <c r="N44" s="474">
        <f>_xll.qlDayCounterYearFraction(DayCounterOIS,I44,J44,,,Trigger)</f>
        <v>2.7777777777777779E-3</v>
      </c>
      <c r="O44" s="474">
        <f>_xll.qlDayCounterYearFraction(DayCounter3M,I44,J44,,,Trigger)</f>
        <v>2.7777777777777779E-3</v>
      </c>
      <c r="P44" s="474">
        <f>_xll.qlDayCounterYearFraction(DayCounterON,I44,J44,,,Trigger)</f>
        <v>2.7397260273972603E-3</v>
      </c>
      <c r="Q44" s="474">
        <f>$R$13*P44</f>
        <v>4.0277777777769333E-6</v>
      </c>
      <c r="R44" s="474">
        <f>$R$10*P44+$R$9*P44^2/2</f>
        <v>4.4028075574873978E-6</v>
      </c>
      <c r="S44" s="475">
        <f>$R$5*P44+$R$4*P44^2/2+$R$3*P44^3/3</f>
        <v>5.0485019026109059E-6</v>
      </c>
    </row>
    <row r="45" spans="2:19" x14ac:dyDescent="0.2">
      <c r="B45" s="483">
        <f>_xll.qlCalendarAdvance(Calendar,B44,"1d","mf")</f>
        <v>41894</v>
      </c>
      <c r="C45" s="476">
        <f>_xll.qlDayCounterYearFraction(DayCounterON,SettlementDate,B45,,,Trigger)</f>
        <v>0.10410958904109589</v>
      </c>
      <c r="D45" s="484">
        <f>$R$13</f>
        <v>1.4701388888885805E-3</v>
      </c>
      <c r="E45" s="484">
        <f>$R$10+$R$9*C45</f>
        <v>1.4942067340919781E-3</v>
      </c>
      <c r="F45" s="437">
        <f>($R$5+$R$4*C45+$R$3*C45^2)</f>
        <v>1.434198419259709E-3</v>
      </c>
      <c r="H45" s="529" t="s">
        <v>67</v>
      </c>
      <c r="I45" s="434">
        <f t="shared" si="4"/>
        <v>41856</v>
      </c>
      <c r="J45" s="501">
        <f>_xll.qlCalendarAdvance(Calendar,SettlementDate,H45,"Following")</f>
        <v>41863</v>
      </c>
      <c r="K45" s="502" t="str">
        <f>_xll.qlMakeDatedOIS(,I45,J45,OvernightIndex,0,,,,EvaluationDate)</f>
        <v>obj_003bf#0000</v>
      </c>
      <c r="L45" s="502" t="b">
        <f>_xll.qlInstrumentSetPricingEngine(K45,OisEngine)</f>
        <v>1</v>
      </c>
      <c r="M45" s="436">
        <f>_xll.qlOvernightIndexedSwapFairRate(K45,_xll.ohTrigger(InterestRatesTrigger))</f>
        <v>3.2999999998902955E-4</v>
      </c>
      <c r="N45" s="476">
        <f>_xll.qlDayCounterYearFraction(DayCounterOIS,I45,J45,,,Trigger)</f>
        <v>1.9444444444444445E-2</v>
      </c>
      <c r="O45" s="476">
        <f>_xll.qlDayCounterYearFraction(DayCounter3M,I45,J45,,,Trigger)</f>
        <v>1.9444444444444445E-2</v>
      </c>
      <c r="P45" s="476">
        <f>_xll.qlDayCounterYearFraction(DayCounterON,I45,J45,,,Trigger)</f>
        <v>1.9178082191780823E-2</v>
      </c>
      <c r="Q45" s="476">
        <f>$R$13*P45</f>
        <v>2.8194444444438532E-5</v>
      </c>
      <c r="R45" s="476">
        <f>$R$10*P45+$R$9*P45^2/2</f>
        <v>3.0646562234853107E-5</v>
      </c>
      <c r="S45" s="477">
        <f>$R$5*P45+$R$4*P45^2/2+$R$3*P45^3/3</f>
        <v>3.4493134530161523E-5</v>
      </c>
    </row>
    <row r="46" spans="2:19" x14ac:dyDescent="0.2">
      <c r="B46" s="483">
        <f>_xll.qlCalendarAdvance(Calendar,B45,"1d","mf")</f>
        <v>41897</v>
      </c>
      <c r="C46" s="476">
        <f>_xll.qlDayCounterYearFraction(DayCounterON,SettlementDate,B46,,,Trigger)</f>
        <v>0.11232876712328767</v>
      </c>
      <c r="D46" s="484">
        <f>$R$13</f>
        <v>1.4701388888885805E-3</v>
      </c>
      <c r="E46" s="484">
        <f>$R$10+$R$9*C46</f>
        <v>1.4851812921407043E-3</v>
      </c>
      <c r="F46" s="437">
        <f>($R$5+$R$4*C46+$R$3*C46^2)</f>
        <v>1.415504118396842E-3</v>
      </c>
      <c r="H46" s="529" t="s">
        <v>68</v>
      </c>
      <c r="I46" s="434">
        <f t="shared" si="4"/>
        <v>41856</v>
      </c>
      <c r="J46" s="501">
        <f>_xll.qlCalendarAdvance(Calendar,SettlementDate,H46,"Following")</f>
        <v>41870</v>
      </c>
      <c r="K46" s="502" t="str">
        <f>_xll.qlMakeDatedOIS(,I46,J46,OvernightIndex,0,,,,EvaluationDate)</f>
        <v>obj_003c0#0000</v>
      </c>
      <c r="L46" s="502" t="b">
        <f>_xll.qlInstrumentSetPricingEngine(K46,OisEngine)</f>
        <v>1</v>
      </c>
      <c r="M46" s="436">
        <f>_xll.qlOvernightIndexedSwapFairRate(K46,_xll.ohTrigger(InterestRatesTrigger))</f>
        <v>4.10000000002115E-4</v>
      </c>
      <c r="N46" s="476">
        <f>_xll.qlDayCounterYearFraction(DayCounterOIS,I46,J46,,,Trigger)</f>
        <v>3.888888888888889E-2</v>
      </c>
      <c r="O46" s="476">
        <f>_xll.qlDayCounterYearFraction(DayCounter3M,I46,J46,,,Trigger)</f>
        <v>3.888888888888889E-2</v>
      </c>
      <c r="P46" s="476">
        <f>_xll.qlDayCounterYearFraction(DayCounterON,I46,J46,,,Trigger)</f>
        <v>3.8356164383561646E-2</v>
      </c>
      <c r="Q46" s="476">
        <f>$R$13*P46</f>
        <v>5.6388888888877065E-5</v>
      </c>
      <c r="R46" s="476">
        <f>$R$10*P46+$R$9*P46^2/2</f>
        <v>6.0889246245402635E-5</v>
      </c>
      <c r="S46" s="477">
        <f>$R$5*P46+$R$4*P46^2/2+$R$3*P46^3/3</f>
        <v>6.7145307011488181E-5</v>
      </c>
    </row>
    <row r="47" spans="2:19" x14ac:dyDescent="0.2">
      <c r="B47" s="483">
        <f>_xll.qlCalendarAdvance(Calendar,B46,"1d","mf")</f>
        <v>41898</v>
      </c>
      <c r="C47" s="476">
        <f>_xll.qlDayCounterYearFraction(DayCounterON,SettlementDate,B47,,,Trigger)</f>
        <v>0.11506849315068493</v>
      </c>
      <c r="D47" s="484">
        <f>$R$13</f>
        <v>1.4701388888885805E-3</v>
      </c>
      <c r="E47" s="484">
        <f>$R$10+$R$9*C47</f>
        <v>1.4821728114902796E-3</v>
      </c>
      <c r="F47" s="437">
        <f>($R$5+$R$4*C47+$R$3*C47^2)</f>
        <v>1.4097331066288193E-3</v>
      </c>
      <c r="H47" s="529" t="s">
        <v>69</v>
      </c>
      <c r="I47" s="434">
        <f t="shared" si="4"/>
        <v>41856</v>
      </c>
      <c r="J47" s="501">
        <f>_xll.qlCalendarAdvance(Calendar,SettlementDate,H47,"Following")</f>
        <v>41877</v>
      </c>
      <c r="K47" s="502" t="str">
        <f>_xll.qlMakeDatedOIS(,I47,J47,OvernightIndex,0,,,,EvaluationDate)</f>
        <v>obj_003ac#0000</v>
      </c>
      <c r="L47" s="502" t="b">
        <f>_xll.qlInstrumentSetPricingEngine(K47,OisEngine)</f>
        <v>1</v>
      </c>
      <c r="M47" s="436">
        <f>_xll.qlOvernightIndexedSwapFairRate(K47,_xll.ohTrigger(InterestRatesTrigger))</f>
        <v>4.400000000005986E-4</v>
      </c>
      <c r="N47" s="476">
        <f>_xll.qlDayCounterYearFraction(DayCounterOIS,I47,J47,,,Trigger)</f>
        <v>5.8333333333333334E-2</v>
      </c>
      <c r="O47" s="476">
        <f>_xll.qlDayCounterYearFraction(DayCounter3M,I47,J47,,,Trigger)</f>
        <v>5.8333333333333334E-2</v>
      </c>
      <c r="P47" s="476">
        <f>_xll.qlDayCounterYearFraction(DayCounterON,I47,J47,,,Trigger)</f>
        <v>5.7534246575342465E-2</v>
      </c>
      <c r="Q47" s="476">
        <f>$R$13*P47</f>
        <v>8.4583333333315594E-5</v>
      </c>
      <c r="R47" s="476">
        <f>$R$10*P47+$R$9*P47^2/2</f>
        <v>9.0728052031648605E-5</v>
      </c>
      <c r="S47" s="477">
        <f>$R$5*P47+$R$4*P47^2/2+$R$3*P47^3/3</f>
        <v>9.8172852643371768E-5</v>
      </c>
    </row>
    <row r="48" spans="2:19" x14ac:dyDescent="0.2">
      <c r="B48" s="483">
        <f>_xll.qlCalendarAdvance(Calendar,B47,"1d","mf")</f>
        <v>41899</v>
      </c>
      <c r="C48" s="476">
        <f>_xll.qlDayCounterYearFraction(DayCounterON,SettlementDate,B48,,,Trigger)</f>
        <v>0.11780821917808219</v>
      </c>
      <c r="D48" s="484">
        <f>$R$13</f>
        <v>1.4701388888885805E-3</v>
      </c>
      <c r="E48" s="484">
        <f>$R$10+$R$9*C48</f>
        <v>1.4791643308398551E-3</v>
      </c>
      <c r="F48" s="437">
        <f>($R$5+$R$4*C48+$R$3*C48^2)</f>
        <v>1.4041923057872632E-3</v>
      </c>
      <c r="H48" s="529" t="s">
        <v>62</v>
      </c>
      <c r="I48" s="434">
        <f t="shared" si="4"/>
        <v>41856</v>
      </c>
      <c r="J48" s="501">
        <f>_xll.qlCalendarAdvance(Calendar,SettlementDate,H48,"mf",TRUE)</f>
        <v>41887</v>
      </c>
      <c r="K48" s="502" t="str">
        <f>_xll.qlMakeDatedOIS(,I48,J48,OvernightIndex,0,,,,EvaluationDate)</f>
        <v>obj_003a9#0000</v>
      </c>
      <c r="L48" s="502" t="b">
        <f>_xll.qlInstrumentSetPricingEngine(K48,OisEngine)</f>
        <v>1</v>
      </c>
      <c r="M48" s="436">
        <f>_xll.qlOvernightIndexedSwapFairRate(K48,_xll.ohTrigger(InterestRatesTrigger))</f>
        <v>6.2000000000070961E-4</v>
      </c>
      <c r="N48" s="476">
        <f>_xll.qlDayCounterYearFraction(DayCounterOIS,I48,J48,,,Trigger)</f>
        <v>8.611111111111111E-2</v>
      </c>
      <c r="O48" s="476">
        <f>_xll.qlDayCounterYearFraction(DayCounter3M,I48,J48,,,Trigger)</f>
        <v>8.611111111111111E-2</v>
      </c>
      <c r="P48" s="476">
        <f>_xll.qlDayCounterYearFraction(DayCounterON,I48,J48,,,Trigger)</f>
        <v>8.4931506849315067E-2</v>
      </c>
      <c r="Q48" s="476">
        <f>$R$13*P48</f>
        <v>1.2486111111108491E-4</v>
      </c>
      <c r="R48" s="476">
        <f>$R$10*P48+$R$9*P48^2/2</f>
        <v>1.326543123575958E-4</v>
      </c>
      <c r="S48" s="477">
        <f>$R$5*P48+$R$4*P48^2/2+$R$3*P48^3/3</f>
        <v>1.4010857369232445E-4</v>
      </c>
    </row>
    <row r="49" spans="2:19" x14ac:dyDescent="0.2">
      <c r="B49" s="483">
        <f>_xll.qlCalendarAdvance(Calendar,B48,"1d","mf")</f>
        <v>41900</v>
      </c>
      <c r="C49" s="476">
        <f>_xll.qlDayCounterYearFraction(DayCounterON,SettlementDate,B49,,,Trigger)</f>
        <v>0.12054794520547946</v>
      </c>
      <c r="D49" s="484">
        <f>$R$13</f>
        <v>1.4701388888885805E-3</v>
      </c>
      <c r="E49" s="484">
        <f>$R$10+$R$9*C49</f>
        <v>1.4761558501894306E-3</v>
      </c>
      <c r="F49" s="437">
        <f>($R$5+$R$4*C49+$R$3*C49^2)</f>
        <v>1.3988817158721732E-3</v>
      </c>
      <c r="H49" s="529" t="s">
        <v>70</v>
      </c>
      <c r="I49" s="434">
        <f t="shared" si="4"/>
        <v>41856</v>
      </c>
      <c r="J49" s="501">
        <f>_xll.qlCalendarAdvance(Calendar,SettlementDate,H49,"mf",TRUE)</f>
        <v>41918</v>
      </c>
      <c r="K49" s="502" t="str">
        <f>_xll.qlMakeDatedOIS(,I49,J49,OvernightIndex,0,,,,EvaluationDate)</f>
        <v>obj_003b3#0000</v>
      </c>
      <c r="L49" s="502" t="b">
        <f>_xll.qlInstrumentSetPricingEngine(K49,OisEngine)</f>
        <v>1</v>
      </c>
      <c r="M49" s="436">
        <f>_xll.qlOvernightIndexedSwapFairRate(K49,_xll.ohTrigger(InterestRatesTrigger))</f>
        <v>6.6000000000071394E-4</v>
      </c>
      <c r="N49" s="476">
        <f>_xll.qlDayCounterYearFraction(DayCounterOIS,I49,J49,,,Trigger)</f>
        <v>0.17222222222222222</v>
      </c>
      <c r="O49" s="476">
        <f>_xll.qlDayCounterYearFraction(DayCounter3M,I49,J49,,,Trigger)</f>
        <v>0.17222222222222222</v>
      </c>
      <c r="P49" s="476">
        <f>_xll.qlDayCounterYearFraction(DayCounterON,I49,J49,,,Trigger)</f>
        <v>0.16986301369863013</v>
      </c>
      <c r="Q49" s="476">
        <f>$R$13*P49</f>
        <v>2.4972222222216983E-4</v>
      </c>
      <c r="R49" s="476">
        <f>$R$10*P49+$R$9*P49^2/2</f>
        <v>2.5738766607119704E-4</v>
      </c>
      <c r="S49" s="477">
        <f>$R$5*P49+$R$4*P49^2/2+$R$3*P49^3/3</f>
        <v>2.586585565282653E-4</v>
      </c>
    </row>
    <row r="50" spans="2:19" ht="12" thickBot="1" x14ac:dyDescent="0.25">
      <c r="B50" s="483">
        <f>_xll.qlCalendarAdvance(Calendar,B49,"1d","mf")</f>
        <v>41901</v>
      </c>
      <c r="C50" s="476">
        <f>_xll.qlDayCounterYearFraction(DayCounterON,SettlementDate,B50,,,Trigger)</f>
        <v>0.12328767123287671</v>
      </c>
      <c r="D50" s="484">
        <f>$R$13</f>
        <v>1.4701388888885805E-3</v>
      </c>
      <c r="E50" s="484">
        <f>$R$10+$R$9*C50</f>
        <v>1.4731473695390059E-3</v>
      </c>
      <c r="F50" s="437">
        <f>($R$5+$R$4*C50+$R$3*C50^2)</f>
        <v>1.3938013368835504E-3</v>
      </c>
      <c r="H50" s="530" t="s">
        <v>63</v>
      </c>
      <c r="I50" s="439">
        <f t="shared" si="4"/>
        <v>41856</v>
      </c>
      <c r="J50" s="503">
        <f>_xll.qlCalendarAdvance(Calendar,SettlementDate,H50,"mf",TRUE)</f>
        <v>41948</v>
      </c>
      <c r="K50" s="504" t="str">
        <f>_xll.qlMakeDatedOIS(,I50,J50,OvernightIndex,0,,,,EvaluationDate)</f>
        <v>obj_003bb#0000</v>
      </c>
      <c r="L50" s="504" t="b">
        <f>_xll.qlInstrumentSetPricingEngine(K50,OisEngine)</f>
        <v>1</v>
      </c>
      <c r="M50" s="441">
        <f>_xll.qlOvernightIndexedSwapFairRate(K50,_xll.ohTrigger(InterestRatesTrigger))</f>
        <v>6.3000000000030425E-4</v>
      </c>
      <c r="N50" s="478">
        <f>_xll.qlDayCounterYearFraction(DayCounterOIS,I50,J50,,,Trigger)</f>
        <v>0.25555555555555554</v>
      </c>
      <c r="O50" s="478">
        <f>_xll.qlDayCounterYearFraction(DayCounter3M,I50,J50,,,Trigger)</f>
        <v>0.25555555555555554</v>
      </c>
      <c r="P50" s="478">
        <f>_xll.qlDayCounterYearFraction(DayCounterON,I50,J50,,,Trigger)</f>
        <v>0.25205479452054796</v>
      </c>
      <c r="Q50" s="478">
        <f>$R$13*P50</f>
        <v>3.7055555555547787E-4</v>
      </c>
      <c r="R50" s="478">
        <f>$R$10*P50+$R$9*P50^2/2</f>
        <v>3.7055555555547809E-4</v>
      </c>
      <c r="S50" s="479">
        <f>$R$5*P50+$R$4*P50^2/2+$R$3*P50^3/3</f>
        <v>3.7055555555547755E-4</v>
      </c>
    </row>
    <row r="51" spans="2:19" x14ac:dyDescent="0.2">
      <c r="B51" s="483">
        <f>_xll.qlCalendarAdvance(Calendar,B50,"1d","mf")</f>
        <v>41904</v>
      </c>
      <c r="C51" s="476">
        <f>_xll.qlDayCounterYearFraction(DayCounterON,SettlementDate,B51,,,Trigger)</f>
        <v>0.13150684931506848</v>
      </c>
      <c r="D51" s="484">
        <f>$R$13</f>
        <v>1.4701388888885805E-3</v>
      </c>
      <c r="E51" s="484">
        <f>$R$10+$R$9*C51</f>
        <v>1.4641219275877322E-3</v>
      </c>
      <c r="F51" s="437">
        <f>($R$5+$R$4*C51+$R$3*C51^2)</f>
        <v>1.3799414654764798E-3</v>
      </c>
    </row>
    <row r="52" spans="2:19" ht="12" thickBot="1" x14ac:dyDescent="0.25">
      <c r="B52" s="483">
        <f>_xll.qlCalendarAdvance(Calendar,B51,"1d","mf")</f>
        <v>41905</v>
      </c>
      <c r="C52" s="476">
        <f>_xll.qlDayCounterYearFraction(DayCounterON,SettlementDate,B52,,,Trigger)</f>
        <v>0.13424657534246576</v>
      </c>
      <c r="D52" s="484">
        <f>$R$13</f>
        <v>1.4701388888885805E-3</v>
      </c>
      <c r="E52" s="484">
        <f>$R$10+$R$9*C52</f>
        <v>1.4611134469373077E-3</v>
      </c>
      <c r="F52" s="437">
        <f>($R$5+$R$4*C52+$R$3*C52^2)</f>
        <v>1.3757819301937226E-3</v>
      </c>
    </row>
    <row r="53" spans="2:19" ht="12" thickBot="1" x14ac:dyDescent="0.25">
      <c r="B53" s="483">
        <f>_xll.qlCalendarAdvance(Calendar,B52,"1d","mf")</f>
        <v>41906</v>
      </c>
      <c r="C53" s="476">
        <f>_xll.qlDayCounterYearFraction(DayCounterON,SettlementDate,B53,,,Trigger)</f>
        <v>0.13698630136986301</v>
      </c>
      <c r="D53" s="484">
        <f>$R$13</f>
        <v>1.4701388888885805E-3</v>
      </c>
      <c r="E53" s="484">
        <f>$R$10+$R$9*C53</f>
        <v>1.458104966286883E-3</v>
      </c>
      <c r="F53" s="437">
        <f>($R$5+$R$4*C53+$R$3*C53^2)</f>
        <v>1.3718526058374321E-3</v>
      </c>
      <c r="M53" s="525" t="s">
        <v>170</v>
      </c>
      <c r="N53" s="526"/>
      <c r="O53" s="527"/>
    </row>
    <row r="54" spans="2:19" ht="12" thickBot="1" x14ac:dyDescent="0.25">
      <c r="B54" s="483">
        <f>_xll.qlCalendarAdvance(Calendar,B53,"1d","mf")</f>
        <v>41907</v>
      </c>
      <c r="C54" s="476">
        <f>_xll.qlDayCounterYearFraction(DayCounterON,SettlementDate,B54,,,Trigger)</f>
        <v>0.13972602739726028</v>
      </c>
      <c r="D54" s="484">
        <f>$R$13</f>
        <v>1.4701388888885805E-3</v>
      </c>
      <c r="E54" s="484">
        <f>$R$10+$R$9*C54</f>
        <v>1.4550964856364585E-3</v>
      </c>
      <c r="F54" s="437">
        <f>($R$5+$R$4*C54+$R$3*C54^2)</f>
        <v>1.368153492407608E-3</v>
      </c>
      <c r="H54" s="505" t="s">
        <v>169</v>
      </c>
      <c r="I54" s="506" t="s">
        <v>127</v>
      </c>
      <c r="J54" s="507" t="s">
        <v>128</v>
      </c>
      <c r="M54" s="508" t="s">
        <v>158</v>
      </c>
      <c r="N54" s="508" t="s">
        <v>157</v>
      </c>
      <c r="O54" s="508" t="s">
        <v>156</v>
      </c>
    </row>
    <row r="55" spans="2:19" x14ac:dyDescent="0.2">
      <c r="B55" s="483">
        <f>_xll.qlCalendarAdvance(Calendar,B54,"1d","mf")</f>
        <v>41908</v>
      </c>
      <c r="C55" s="476">
        <f>_xll.qlDayCounterYearFraction(DayCounterON,SettlementDate,B55,,,Trigger)</f>
        <v>0.14246575342465753</v>
      </c>
      <c r="D55" s="484">
        <f>$R$13</f>
        <v>1.4701388888885805E-3</v>
      </c>
      <c r="E55" s="484">
        <f>$R$10+$R$9*C55</f>
        <v>1.452088004986034E-3</v>
      </c>
      <c r="F55" s="437">
        <f>($R$5+$R$4*C55+$R$3*C55^2)</f>
        <v>1.3646845899042501E-3</v>
      </c>
      <c r="H55" s="528" t="s">
        <v>66</v>
      </c>
      <c r="I55" s="516">
        <f t="shared" ref="I55:I61" si="5">SettlementDate</f>
        <v>41856</v>
      </c>
      <c r="J55" s="517">
        <f>_xll.qlCalendarAdvance(Calendar,SettlementDate,H55,"Following")</f>
        <v>41857</v>
      </c>
      <c r="K55" s="509"/>
      <c r="M55" s="510">
        <f>($M44*$N44+Q44)/$O44</f>
        <v>1.9499998017215802E-3</v>
      </c>
      <c r="N55" s="510">
        <f>($M44*$N44+R44)/$O44</f>
        <v>2.0850105224173472E-3</v>
      </c>
      <c r="O55" s="511">
        <f>($M44*$N44+S44)/$O44</f>
        <v>2.3174604866618102E-3</v>
      </c>
      <c r="P55" s="453"/>
    </row>
    <row r="56" spans="2:19" x14ac:dyDescent="0.2">
      <c r="B56" s="483">
        <f>_xll.qlCalendarAdvance(Calendar,B55,"1d","mf")</f>
        <v>41911</v>
      </c>
      <c r="C56" s="476">
        <f>_xll.qlDayCounterYearFraction(DayCounterON,SettlementDate,B56,,,Trigger)</f>
        <v>0.15068493150684931</v>
      </c>
      <c r="D56" s="484">
        <f>$R$13</f>
        <v>1.4701388888885805E-3</v>
      </c>
      <c r="E56" s="484">
        <f>$R$10+$R$9*C56</f>
        <v>1.44306256303476E-3</v>
      </c>
      <c r="F56" s="437">
        <f>($R$5+$R$4*C56+$R$3*C56^2)</f>
        <v>1.3556591479529762E-3</v>
      </c>
      <c r="H56" s="529" t="s">
        <v>67</v>
      </c>
      <c r="I56" s="434">
        <f t="shared" si="5"/>
        <v>41856</v>
      </c>
      <c r="J56" s="501">
        <f>_xll.qlCalendarAdvance(Calendar,SettlementDate,H56,"Following")</f>
        <v>41863</v>
      </c>
      <c r="K56" s="476"/>
      <c r="M56" s="512">
        <f>($M45*$N45+Q45)/$O45</f>
        <v>1.7799999999887257E-3</v>
      </c>
      <c r="N56" s="512">
        <f>($M45*$N45+R45)/$O45</f>
        <v>1.9061089149243322E-3</v>
      </c>
      <c r="O56" s="513">
        <f>($M45*$N45+S45)/$O45</f>
        <v>2.1039326329687648E-3</v>
      </c>
      <c r="P56" s="453"/>
    </row>
    <row r="57" spans="2:19" x14ac:dyDescent="0.2">
      <c r="B57" s="483">
        <f>_xll.qlCalendarAdvance(Calendar,B56,"1d","mf")</f>
        <v>41912</v>
      </c>
      <c r="C57" s="476">
        <f>_xll.qlDayCounterYearFraction(DayCounterON,SettlementDate,B57,,,Trigger)</f>
        <v>0.15342465753424658</v>
      </c>
      <c r="D57" s="484">
        <f>$R$13</f>
        <v>1.4701388888885805E-3</v>
      </c>
      <c r="E57" s="484">
        <f>$R$10+$R$9*C57</f>
        <v>1.4400540823843355E-3</v>
      </c>
      <c r="F57" s="437">
        <f>($R$5+$R$4*C57+$R$3*C57^2)</f>
        <v>1.3531110891554846E-3</v>
      </c>
      <c r="H57" s="529" t="s">
        <v>68</v>
      </c>
      <c r="I57" s="434">
        <f t="shared" si="5"/>
        <v>41856</v>
      </c>
      <c r="J57" s="501">
        <f>_xll.qlCalendarAdvance(Calendar,SettlementDate,H57,"Following")</f>
        <v>41870</v>
      </c>
      <c r="K57" s="476"/>
      <c r="M57" s="512">
        <f>($M46*$N46+Q46)/$O46</f>
        <v>1.8600000000018112E-3</v>
      </c>
      <c r="N57" s="512">
        <f>($M46*$N46+R46)/$O46</f>
        <v>1.9757234748838969E-3</v>
      </c>
      <c r="O57" s="513">
        <f>($M46*$N46+S46)/$O46</f>
        <v>2.136593608868954E-3</v>
      </c>
      <c r="P57" s="453"/>
    </row>
    <row r="58" spans="2:19" x14ac:dyDescent="0.2">
      <c r="B58" s="483">
        <f>_xll.qlCalendarAdvance(Calendar,B57,"1d","mf")</f>
        <v>41913</v>
      </c>
      <c r="C58" s="476">
        <f>_xll.qlDayCounterYearFraction(DayCounterON,SettlementDate,B58,,,Trigger)</f>
        <v>0.15616438356164383</v>
      </c>
      <c r="D58" s="484">
        <f>$R$13</f>
        <v>1.4701388888885805E-3</v>
      </c>
      <c r="E58" s="484">
        <f>$R$10+$R$9*C58</f>
        <v>1.437045601733911E-3</v>
      </c>
      <c r="F58" s="437">
        <f>($R$5+$R$4*C58+$R$3*C58^2)</f>
        <v>1.3507932412844593E-3</v>
      </c>
      <c r="H58" s="529" t="s">
        <v>69</v>
      </c>
      <c r="I58" s="434">
        <f t="shared" si="5"/>
        <v>41856</v>
      </c>
      <c r="J58" s="501">
        <f>_xll.qlCalendarAdvance(Calendar,SettlementDate,H58,"Following")</f>
        <v>41877</v>
      </c>
      <c r="K58" s="476"/>
      <c r="M58" s="512">
        <f>($M47*$N47+Q47)/$O47</f>
        <v>1.8900000000002944E-3</v>
      </c>
      <c r="N58" s="512">
        <f>($M47*$N47+R47)/$O47</f>
        <v>1.9953380348288604E-3</v>
      </c>
      <c r="O58" s="513">
        <f>($M47*$N47+S47)/$O47</f>
        <v>2.1229631881726856E-3</v>
      </c>
      <c r="P58" s="453"/>
    </row>
    <row r="59" spans="2:19" x14ac:dyDescent="0.2">
      <c r="B59" s="483">
        <f>_xll.qlCalendarAdvance(Calendar,B58,"1d","mf")</f>
        <v>41914</v>
      </c>
      <c r="C59" s="476">
        <f>_xll.qlDayCounterYearFraction(DayCounterON,SettlementDate,B59,,,Trigger)</f>
        <v>0.15890410958904111</v>
      </c>
      <c r="D59" s="484">
        <f>$R$13</f>
        <v>1.4701388888885805E-3</v>
      </c>
      <c r="E59" s="484">
        <f>$R$10+$R$9*C59</f>
        <v>1.4340371210834863E-3</v>
      </c>
      <c r="F59" s="437">
        <f>($R$5+$R$4*C59+$R$3*C59^2)</f>
        <v>1.3487056043399008E-3</v>
      </c>
      <c r="H59" s="529" t="s">
        <v>62</v>
      </c>
      <c r="I59" s="434">
        <f t="shared" si="5"/>
        <v>41856</v>
      </c>
      <c r="J59" s="501">
        <f>_xll.qlCalendarAdvance(Calendar,SettlementDate,H59,"mf",TRUE)</f>
        <v>41887</v>
      </c>
      <c r="K59" s="476"/>
      <c r="M59" s="512">
        <f>($M48*$N48+Q48)/$O48</f>
        <v>2.0700000000004053E-3</v>
      </c>
      <c r="N59" s="512">
        <f>($M48*$N48+R48)/$O48</f>
        <v>2.1605016918953704E-3</v>
      </c>
      <c r="O59" s="513">
        <f>($M48*$N48+S48)/$O48</f>
        <v>2.2470673073954452E-3</v>
      </c>
      <c r="P59" s="453"/>
    </row>
    <row r="60" spans="2:19" x14ac:dyDescent="0.2">
      <c r="B60" s="483">
        <f>_xll.qlCalendarAdvance(Calendar,B59,"1d","mf")</f>
        <v>41915</v>
      </c>
      <c r="C60" s="476">
        <f>_xll.qlDayCounterYearFraction(DayCounterON,SettlementDate,B60,,,Trigger)</f>
        <v>0.16164383561643836</v>
      </c>
      <c r="D60" s="484">
        <f>$R$13</f>
        <v>1.4701388888885805E-3</v>
      </c>
      <c r="E60" s="484">
        <f>$R$10+$R$9*C60</f>
        <v>1.4310286404330618E-3</v>
      </c>
      <c r="F60" s="437">
        <f>($R$5+$R$4*C60+$R$3*C60^2)</f>
        <v>1.3468481783218086E-3</v>
      </c>
      <c r="H60" s="529" t="s">
        <v>70</v>
      </c>
      <c r="I60" s="434">
        <f t="shared" si="5"/>
        <v>41856</v>
      </c>
      <c r="J60" s="501">
        <f>_xll.qlCalendarAdvance(Calendar,SettlementDate,H60,"mf",TRUE)</f>
        <v>41918</v>
      </c>
      <c r="K60" s="476"/>
      <c r="M60" s="512">
        <f>($M49*$N49+Q49)/$O49</f>
        <v>2.1100000000004097E-3</v>
      </c>
      <c r="N60" s="512">
        <f>($M49*$N49+R49)/$O49</f>
        <v>2.1545090288012129E-3</v>
      </c>
      <c r="O60" s="513">
        <f>($M49*$N49+S49)/$O49</f>
        <v>2.1618883927454805E-3</v>
      </c>
      <c r="P60" s="453"/>
    </row>
    <row r="61" spans="2:19" ht="12" thickBot="1" x14ac:dyDescent="0.25">
      <c r="B61" s="483">
        <f>_xll.qlCalendarAdvance(Calendar,B60,"1d","mf")</f>
        <v>41918</v>
      </c>
      <c r="C61" s="476">
        <f>_xll.qlDayCounterYearFraction(DayCounterON,SettlementDate,B61,,,Trigger)</f>
        <v>0.16986301369863013</v>
      </c>
      <c r="D61" s="484">
        <f>$R$13</f>
        <v>1.4701388888885805E-3</v>
      </c>
      <c r="E61" s="484">
        <f>$R$10+$R$9*C61</f>
        <v>1.4220031984817881E-3</v>
      </c>
      <c r="F61" s="437">
        <f>($R$5+$R$4*C61+$R$3*C61^2)</f>
        <v>1.3426571658263313E-3</v>
      </c>
      <c r="H61" s="530" t="s">
        <v>63</v>
      </c>
      <c r="I61" s="439">
        <f t="shared" si="5"/>
        <v>41856</v>
      </c>
      <c r="J61" s="503">
        <f>_xll.qlCalendarAdvance(Calendar,SettlementDate,H61,"mf",TRUE)</f>
        <v>41948</v>
      </c>
      <c r="K61" s="478"/>
      <c r="M61" s="514">
        <f>($M50*$N50+Q50)/$O50</f>
        <v>2.0800000000000003E-3</v>
      </c>
      <c r="N61" s="514">
        <f>($M50*$N50+R50)/$O50</f>
        <v>2.0800000000000011E-3</v>
      </c>
      <c r="O61" s="515">
        <f>($M50*$N50+S50)/$O50</f>
        <v>2.079999999999999E-3</v>
      </c>
      <c r="P61" s="453"/>
    </row>
    <row r="62" spans="2:19" x14ac:dyDescent="0.2">
      <c r="B62" s="483">
        <f>_xll.qlCalendarAdvance(Calendar,B61,"1d","mf")</f>
        <v>41919</v>
      </c>
      <c r="C62" s="476">
        <f>_xll.qlDayCounterYearFraction(DayCounterON,SettlementDate,B62,,,Trigger)</f>
        <v>0.17260273972602741</v>
      </c>
      <c r="D62" s="484">
        <f>$R$13</f>
        <v>1.4701388888885805E-3</v>
      </c>
      <c r="E62" s="484">
        <f>$R$10+$R$9*C62</f>
        <v>1.4189947178313634E-3</v>
      </c>
      <c r="F62" s="437">
        <f>($R$5+$R$4*C62+$R$3*C62^2)</f>
        <v>1.3417205835141051E-3</v>
      </c>
      <c r="H62" s="448"/>
      <c r="I62" s="448"/>
    </row>
    <row r="63" spans="2:19" x14ac:dyDescent="0.2">
      <c r="B63" s="483">
        <f>_xll.qlCalendarAdvance(Calendar,B62,"1d","mf")</f>
        <v>41920</v>
      </c>
      <c r="C63" s="476">
        <f>_xll.qlDayCounterYearFraction(DayCounterON,SettlementDate,B63,,,Trigger)</f>
        <v>0.17534246575342466</v>
      </c>
      <c r="D63" s="484">
        <f>$R$13</f>
        <v>1.4701388888885805E-3</v>
      </c>
      <c r="E63" s="484">
        <f>$R$10+$R$9*C63</f>
        <v>1.4159862371809389E-3</v>
      </c>
      <c r="F63" s="437">
        <f>($R$5+$R$4*C63+$R$3*C63^2)</f>
        <v>1.3410142121283452E-3</v>
      </c>
      <c r="H63" s="448"/>
      <c r="I63" s="448"/>
    </row>
    <row r="64" spans="2:19" x14ac:dyDescent="0.2">
      <c r="B64" s="483">
        <f>_xll.qlCalendarAdvance(Calendar,B63,"1d","mf")</f>
        <v>41921</v>
      </c>
      <c r="C64" s="476">
        <f>_xll.qlDayCounterYearFraction(DayCounterON,SettlementDate,B64,,,Trigger)</f>
        <v>0.17808219178082191</v>
      </c>
      <c r="D64" s="484">
        <f>$R$13</f>
        <v>1.4701388888885805E-3</v>
      </c>
      <c r="E64" s="484">
        <f>$R$10+$R$9*C64</f>
        <v>1.4129777565305142E-3</v>
      </c>
      <c r="F64" s="437">
        <f>($R$5+$R$4*C64+$R$3*C64^2)</f>
        <v>1.3405380516690523E-3</v>
      </c>
      <c r="H64" s="448"/>
      <c r="I64" s="448"/>
    </row>
    <row r="65" spans="2:9" x14ac:dyDescent="0.2">
      <c r="B65" s="483">
        <f>_xll.qlCalendarAdvance(Calendar,B64,"1d","mf")</f>
        <v>41922</v>
      </c>
      <c r="C65" s="476">
        <f>_xll.qlDayCounterYearFraction(DayCounterON,SettlementDate,B65,,,Trigger)</f>
        <v>0.18082191780821918</v>
      </c>
      <c r="D65" s="484">
        <f>$R$13</f>
        <v>1.4701388888885805E-3</v>
      </c>
      <c r="E65" s="484">
        <f>$R$10+$R$9*C65</f>
        <v>1.4099692758800897E-3</v>
      </c>
      <c r="F65" s="437">
        <f>($R$5+$R$4*C65+$R$3*C65^2)</f>
        <v>1.3402921021362256E-3</v>
      </c>
      <c r="H65" s="448"/>
      <c r="I65" s="448"/>
    </row>
    <row r="66" spans="2:9" x14ac:dyDescent="0.2">
      <c r="B66" s="483">
        <f>_xll.qlCalendarAdvance(Calendar,B65,"1d","mf")</f>
        <v>41925</v>
      </c>
      <c r="C66" s="476">
        <f>_xll.qlDayCounterYearFraction(DayCounterON,SettlementDate,B66,,,Trigger)</f>
        <v>0.18904109589041096</v>
      </c>
      <c r="D66" s="484">
        <f>$R$13</f>
        <v>1.4701388888885805E-3</v>
      </c>
      <c r="E66" s="484">
        <f>$R$10+$R$9*C66</f>
        <v>1.400943833928816E-3</v>
      </c>
      <c r="F66" s="437">
        <f>($R$5+$R$4*C66+$R$3*C66^2)</f>
        <v>1.3409355190965447E-3</v>
      </c>
      <c r="H66" s="448"/>
      <c r="I66" s="448"/>
    </row>
    <row r="67" spans="2:9" x14ac:dyDescent="0.2">
      <c r="B67" s="483">
        <f>_xll.qlCalendarAdvance(Calendar,B66,"1d","mf")</f>
        <v>41926</v>
      </c>
      <c r="C67" s="476">
        <f>_xll.qlDayCounterYearFraction(DayCounterON,SettlementDate,B67,,,Trigger)</f>
        <v>0.19178082191780821</v>
      </c>
      <c r="D67" s="484">
        <f>$R$13</f>
        <v>1.4701388888885805E-3</v>
      </c>
      <c r="E67" s="484">
        <f>$R$10+$R$9*C67</f>
        <v>1.3979353532783912E-3</v>
      </c>
      <c r="F67" s="437">
        <f>($R$5+$R$4*C67+$R$3*C67^2)</f>
        <v>1.3416104132695839E-3</v>
      </c>
      <c r="H67" s="448"/>
      <c r="I67" s="448"/>
    </row>
    <row r="68" spans="2:9" x14ac:dyDescent="0.2">
      <c r="B68" s="483">
        <f>_xll.qlCalendarAdvance(Calendar,B67,"1d","mf")</f>
        <v>41927</v>
      </c>
      <c r="C68" s="476">
        <f>_xll.qlDayCounterYearFraction(DayCounterON,SettlementDate,B68,,,Trigger)</f>
        <v>0.19452054794520549</v>
      </c>
      <c r="D68" s="484">
        <f>$R$13</f>
        <v>1.4701388888885805E-3</v>
      </c>
      <c r="E68" s="484">
        <f>$R$10+$R$9*C68</f>
        <v>1.3949268726279667E-3</v>
      </c>
      <c r="F68" s="437">
        <f>($R$5+$R$4*C68+$R$3*C68^2)</f>
        <v>1.3425155183690897E-3</v>
      </c>
      <c r="H68" s="448"/>
      <c r="I68" s="448"/>
    </row>
    <row r="69" spans="2:9" x14ac:dyDescent="0.2">
      <c r="B69" s="483">
        <f>_xll.qlCalendarAdvance(Calendar,B68,"1d","mf")</f>
        <v>41928</v>
      </c>
      <c r="C69" s="476">
        <f>_xll.qlDayCounterYearFraction(DayCounterON,SettlementDate,B69,,,Trigger)</f>
        <v>0.19726027397260273</v>
      </c>
      <c r="D69" s="484">
        <f>$R$13</f>
        <v>1.4701388888885805E-3</v>
      </c>
      <c r="E69" s="484">
        <f>$R$10+$R$9*C69</f>
        <v>1.3919183919775422E-3</v>
      </c>
      <c r="F69" s="437">
        <f>($R$5+$R$4*C69+$R$3*C69^2)</f>
        <v>1.3436508343950622E-3</v>
      </c>
      <c r="H69" s="448"/>
      <c r="I69" s="448"/>
    </row>
    <row r="70" spans="2:9" x14ac:dyDescent="0.2">
      <c r="B70" s="483">
        <f>_xll.qlCalendarAdvance(Calendar,B69,"1d","mf")</f>
        <v>41929</v>
      </c>
      <c r="C70" s="476">
        <f>_xll.qlDayCounterYearFraction(DayCounterON,SettlementDate,B70,,,Trigger)</f>
        <v>0.2</v>
      </c>
      <c r="D70" s="484">
        <f>$R$13</f>
        <v>1.4701388888885805E-3</v>
      </c>
      <c r="E70" s="484">
        <f>$R$10+$R$9*C70</f>
        <v>1.3889099113271175E-3</v>
      </c>
      <c r="F70" s="437">
        <f>($R$5+$R$4*C70+$R$3*C70^2)</f>
        <v>1.3450163613475011E-3</v>
      </c>
      <c r="H70" s="448"/>
      <c r="I70" s="448"/>
    </row>
    <row r="71" spans="2:9" x14ac:dyDescent="0.2">
      <c r="B71" s="483">
        <f>_xll.qlCalendarAdvance(Calendar,B70,"1d","mf")</f>
        <v>41932</v>
      </c>
      <c r="C71" s="476">
        <f>_xll.qlDayCounterYearFraction(DayCounterON,SettlementDate,B71,,,Trigger)</f>
        <v>0.20821917808219179</v>
      </c>
      <c r="D71" s="484">
        <f>$R$13</f>
        <v>1.4701388888885805E-3</v>
      </c>
      <c r="E71" s="484">
        <f>$R$10+$R$9*C71</f>
        <v>1.3798844693758438E-3</v>
      </c>
      <c r="F71" s="437">
        <f>($R$5+$R$4*C71+$R$3*C71^2)</f>
        <v>1.3504942077636165E-3</v>
      </c>
      <c r="H71" s="448"/>
      <c r="I71" s="448"/>
    </row>
    <row r="72" spans="2:9" x14ac:dyDescent="0.2">
      <c r="B72" s="483">
        <f>_xll.qlCalendarAdvance(Calendar,B71,"1d","mf")</f>
        <v>41933</v>
      </c>
      <c r="C72" s="476">
        <f>_xll.qlDayCounterYearFraction(DayCounterON,SettlementDate,B72,,,Trigger)</f>
        <v>0.21095890410958903</v>
      </c>
      <c r="D72" s="484">
        <f>$R$13</f>
        <v>1.4701388888885805E-3</v>
      </c>
      <c r="E72" s="484">
        <f>$R$10+$R$9*C72</f>
        <v>1.3768759887254193E-3</v>
      </c>
      <c r="F72" s="437">
        <f>($R$5+$R$4*C72+$R$3*C72^2)</f>
        <v>1.3527805784219215E-3</v>
      </c>
      <c r="H72" s="448"/>
      <c r="I72" s="448"/>
    </row>
    <row r="73" spans="2:9" x14ac:dyDescent="0.2">
      <c r="B73" s="483">
        <f>_xll.qlCalendarAdvance(Calendar,B72,"1d","mf")</f>
        <v>41934</v>
      </c>
      <c r="C73" s="476">
        <f>_xll.qlDayCounterYearFraction(DayCounterON,SettlementDate,B73,,,Trigger)</f>
        <v>0.21369863013698631</v>
      </c>
      <c r="D73" s="484">
        <f>$R$13</f>
        <v>1.4701388888885805E-3</v>
      </c>
      <c r="E73" s="484">
        <f>$R$10+$R$9*C73</f>
        <v>1.3738675080749946E-3</v>
      </c>
      <c r="F73" s="437">
        <f>($R$5+$R$4*C73+$R$3*C73^2)</f>
        <v>1.3552971600066929E-3</v>
      </c>
      <c r="H73" s="448"/>
      <c r="I73" s="448"/>
    </row>
    <row r="74" spans="2:9" x14ac:dyDescent="0.2">
      <c r="B74" s="483">
        <f>_xll.qlCalendarAdvance(Calendar,B73,"1d","mf")</f>
        <v>41935</v>
      </c>
      <c r="C74" s="476">
        <f>_xll.qlDayCounterYearFraction(DayCounterON,SettlementDate,B74,,,Trigger)</f>
        <v>0.21643835616438356</v>
      </c>
      <c r="D74" s="484">
        <f>$R$13</f>
        <v>1.4701388888885805E-3</v>
      </c>
      <c r="E74" s="484">
        <f>$R$10+$R$9*C74</f>
        <v>1.3708590274245701E-3</v>
      </c>
      <c r="F74" s="437">
        <f>($R$5+$R$4*C74+$R$3*C74^2)</f>
        <v>1.3580439525179306E-3</v>
      </c>
      <c r="H74" s="448"/>
      <c r="I74" s="448"/>
    </row>
    <row r="75" spans="2:9" x14ac:dyDescent="0.2">
      <c r="B75" s="483">
        <f>_xll.qlCalendarAdvance(Calendar,B74,"1d","mf")</f>
        <v>41936</v>
      </c>
      <c r="C75" s="476">
        <f>_xll.qlDayCounterYearFraction(DayCounterON,SettlementDate,B75,,,Trigger)</f>
        <v>0.21917808219178081</v>
      </c>
      <c r="D75" s="484">
        <f>$R$13</f>
        <v>1.4701388888885805E-3</v>
      </c>
      <c r="E75" s="484">
        <f>$R$10+$R$9*C75</f>
        <v>1.3678505467741454E-3</v>
      </c>
      <c r="F75" s="437">
        <f>($R$5+$R$4*C75+$R$3*C75^2)</f>
        <v>1.3610209559556351E-3</v>
      </c>
      <c r="H75" s="448"/>
      <c r="I75" s="448"/>
    </row>
    <row r="76" spans="2:9" x14ac:dyDescent="0.2">
      <c r="B76" s="483">
        <f>_xll.qlCalendarAdvance(Calendar,B75,"1d","mf")</f>
        <v>41939</v>
      </c>
      <c r="C76" s="476">
        <f>_xll.qlDayCounterYearFraction(DayCounterON,SettlementDate,B76,,,Trigger)</f>
        <v>0.22739726027397261</v>
      </c>
      <c r="D76" s="484">
        <f>$R$13</f>
        <v>1.4701388888885805E-3</v>
      </c>
      <c r="E76" s="484">
        <f>$R$10+$R$9*C76</f>
        <v>1.3588251048228717E-3</v>
      </c>
      <c r="F76" s="437">
        <f>($R$5+$R$4*C76+$R$3*C76^2)</f>
        <v>1.3713332318275469E-3</v>
      </c>
      <c r="H76" s="448"/>
      <c r="I76" s="448"/>
    </row>
    <row r="77" spans="2:9" x14ac:dyDescent="0.2">
      <c r="B77" s="483">
        <f>_xll.qlCalendarAdvance(Calendar,B76,"1d","mf")</f>
        <v>41940</v>
      </c>
      <c r="C77" s="476">
        <f>_xll.qlDayCounterYearFraction(DayCounterON,SettlementDate,B77,,,Trigger)</f>
        <v>0.23013698630136986</v>
      </c>
      <c r="D77" s="484">
        <f>$R$13</f>
        <v>1.4701388888885805E-3</v>
      </c>
      <c r="E77" s="484">
        <f>$R$10+$R$9*C77</f>
        <v>1.3558166241724472E-3</v>
      </c>
      <c r="F77" s="437">
        <f>($R$5+$R$4*C77+$R$3*C77^2)</f>
        <v>1.3752310789711174E-3</v>
      </c>
      <c r="H77" s="448"/>
      <c r="I77" s="448"/>
    </row>
    <row r="78" spans="2:9" x14ac:dyDescent="0.2">
      <c r="B78" s="483">
        <f>_xll.qlCalendarAdvance(Calendar,B77,"1d","mf")</f>
        <v>41941</v>
      </c>
      <c r="C78" s="476">
        <f>_xll.qlDayCounterYearFraction(DayCounterON,SettlementDate,B78,,,Trigger)</f>
        <v>0.23287671232876711</v>
      </c>
      <c r="D78" s="484">
        <f>$R$13</f>
        <v>1.4701388888885805E-3</v>
      </c>
      <c r="E78" s="484">
        <f>$R$10+$R$9*C78</f>
        <v>1.3528081435220224E-3</v>
      </c>
      <c r="F78" s="437">
        <f>($R$5+$R$4*C78+$R$3*C78^2)</f>
        <v>1.3793591370411542E-3</v>
      </c>
      <c r="H78" s="448"/>
      <c r="I78" s="448"/>
    </row>
    <row r="79" spans="2:9" x14ac:dyDescent="0.2">
      <c r="B79" s="483">
        <f>_xll.qlCalendarAdvance(Calendar,B78,"1d","mf")</f>
        <v>41942</v>
      </c>
      <c r="C79" s="476">
        <f>_xll.qlDayCounterYearFraction(DayCounterON,SettlementDate,B79,,,Trigger)</f>
        <v>0.23561643835616439</v>
      </c>
      <c r="D79" s="484">
        <f>$R$13</f>
        <v>1.4701388888885805E-3</v>
      </c>
      <c r="E79" s="484">
        <f>$R$10+$R$9*C79</f>
        <v>1.3497996628715979E-3</v>
      </c>
      <c r="F79" s="437">
        <f>($R$5+$R$4*C79+$R$3*C79^2)</f>
        <v>1.3837174060376575E-3</v>
      </c>
      <c r="H79" s="448"/>
      <c r="I79" s="448"/>
    </row>
    <row r="80" spans="2:9" x14ac:dyDescent="0.2">
      <c r="B80" s="483">
        <f>_xll.qlCalendarAdvance(Calendar,B79,"1d","mf")</f>
        <v>41943</v>
      </c>
      <c r="C80" s="476">
        <f>_xll.qlDayCounterYearFraction(DayCounterON,SettlementDate,B80,,,Trigger)</f>
        <v>0.23835616438356164</v>
      </c>
      <c r="D80" s="484">
        <f>$R$13</f>
        <v>1.4701388888885805E-3</v>
      </c>
      <c r="E80" s="484">
        <f>$R$10+$R$9*C80</f>
        <v>1.3467911822211734E-3</v>
      </c>
      <c r="F80" s="437">
        <f>($R$5+$R$4*C80+$R$3*C80^2)</f>
        <v>1.3883058859606274E-3</v>
      </c>
      <c r="H80" s="448"/>
      <c r="I80" s="448"/>
    </row>
    <row r="81" spans="2:9" x14ac:dyDescent="0.2">
      <c r="B81" s="483">
        <f>_xll.qlCalendarAdvance(Calendar,B80,"1d","mf")</f>
        <v>41946</v>
      </c>
      <c r="C81" s="476">
        <f>_xll.qlDayCounterYearFraction(DayCounterON,SettlementDate,B81,,,Trigger)</f>
        <v>0.24657534246575341</v>
      </c>
      <c r="D81" s="484">
        <f>$R$13</f>
        <v>1.4701388888885805E-3</v>
      </c>
      <c r="E81" s="484">
        <f>$R$10+$R$9*C81</f>
        <v>1.3377657402698995E-3</v>
      </c>
      <c r="F81" s="437">
        <f>($R$5+$R$4*C81+$R$3*C81^2)</f>
        <v>1.4034525912883359E-3</v>
      </c>
      <c r="H81" s="448"/>
      <c r="I81" s="448"/>
    </row>
    <row r="82" spans="2:9" x14ac:dyDescent="0.2">
      <c r="B82" s="483">
        <f>_xll.qlCalendarAdvance(Calendar,B81,"1d","mf")</f>
        <v>41947</v>
      </c>
      <c r="C82" s="476">
        <f>_xll.qlDayCounterYearFraction(DayCounterON,SettlementDate,B82,,,Trigger)</f>
        <v>0.24931506849315069</v>
      </c>
      <c r="D82" s="484">
        <f>$R$13</f>
        <v>1.4701388888885805E-3</v>
      </c>
      <c r="E82" s="484">
        <f>$R$10+$R$9*C82</f>
        <v>1.334757259619475E-3</v>
      </c>
      <c r="F82" s="437">
        <f>($R$5+$R$4*C82+$R$3*C82^2)</f>
        <v>1.4089619149171718E-3</v>
      </c>
      <c r="H82" s="448"/>
      <c r="I82" s="448"/>
    </row>
    <row r="83" spans="2:9" x14ac:dyDescent="0.2">
      <c r="B83" s="483">
        <f>_xll.qlCalendarAdvance(Calendar,B82,"1d","mf")</f>
        <v>41948</v>
      </c>
      <c r="C83" s="476">
        <f>_xll.qlDayCounterYearFraction(DayCounterON,SettlementDate,B83,,,Trigger)</f>
        <v>0.25205479452054796</v>
      </c>
      <c r="D83" s="484">
        <f>$R$13</f>
        <v>1.4701388888885805E-3</v>
      </c>
      <c r="E83" s="484">
        <f>$R$10+$R$9*C83</f>
        <v>1.3317487789690505E-3</v>
      </c>
      <c r="F83" s="437">
        <f>($R$5+$R$4*C83+$R$3*C83^2)</f>
        <v>1.4147014494724744E-3</v>
      </c>
      <c r="H83" s="448"/>
      <c r="I83" s="448"/>
    </row>
    <row r="84" spans="2:9" x14ac:dyDescent="0.2">
      <c r="B84" s="483"/>
      <c r="C84" s="476"/>
      <c r="D84" s="484"/>
      <c r="E84" s="484"/>
      <c r="F84" s="437"/>
      <c r="H84" s="448"/>
      <c r="I84" s="448"/>
    </row>
    <row r="85" spans="2:9" x14ac:dyDescent="0.2">
      <c r="B85" s="483"/>
      <c r="C85" s="476"/>
      <c r="D85" s="484"/>
      <c r="E85" s="484"/>
      <c r="F85" s="437"/>
      <c r="H85" s="448"/>
      <c r="I85" s="448"/>
    </row>
    <row r="86" spans="2:9" x14ac:dyDescent="0.2">
      <c r="B86" s="483"/>
      <c r="C86" s="476"/>
      <c r="D86" s="484"/>
      <c r="E86" s="484"/>
      <c r="F86" s="437"/>
      <c r="H86" s="448"/>
      <c r="I86" s="448"/>
    </row>
    <row r="87" spans="2:9" x14ac:dyDescent="0.2">
      <c r="B87" s="483"/>
      <c r="C87" s="476"/>
      <c r="D87" s="484"/>
      <c r="E87" s="484"/>
      <c r="F87" s="437"/>
      <c r="H87" s="448"/>
      <c r="I87" s="448"/>
    </row>
    <row r="88" spans="2:9" x14ac:dyDescent="0.2">
      <c r="B88" s="483"/>
      <c r="C88" s="476"/>
      <c r="D88" s="484"/>
      <c r="E88" s="484"/>
      <c r="F88" s="437"/>
      <c r="H88" s="448"/>
      <c r="I88" s="448"/>
    </row>
    <row r="89" spans="2:9" x14ac:dyDescent="0.2">
      <c r="B89" s="483"/>
      <c r="C89" s="476"/>
      <c r="D89" s="484"/>
      <c r="E89" s="484"/>
      <c r="F89" s="437"/>
      <c r="H89" s="448"/>
      <c r="I89" s="448"/>
    </row>
    <row r="90" spans="2:9" x14ac:dyDescent="0.2">
      <c r="B90" s="483"/>
      <c r="C90" s="476"/>
      <c r="D90" s="484"/>
      <c r="E90" s="484"/>
      <c r="F90" s="437"/>
      <c r="H90" s="448"/>
      <c r="I90" s="448"/>
    </row>
    <row r="91" spans="2:9" x14ac:dyDescent="0.2">
      <c r="B91" s="483"/>
      <c r="C91" s="476"/>
      <c r="D91" s="484"/>
      <c r="E91" s="484"/>
      <c r="F91" s="437"/>
      <c r="H91" s="448"/>
      <c r="I91" s="448"/>
    </row>
    <row r="92" spans="2:9" x14ac:dyDescent="0.2">
      <c r="B92" s="483"/>
      <c r="C92" s="476"/>
      <c r="D92" s="484"/>
      <c r="E92" s="484"/>
      <c r="F92" s="437"/>
      <c r="H92" s="448"/>
      <c r="I92" s="448"/>
    </row>
    <row r="93" spans="2:9" x14ac:dyDescent="0.2">
      <c r="B93" s="483"/>
      <c r="C93" s="476"/>
      <c r="D93" s="484"/>
      <c r="E93" s="484"/>
      <c r="F93" s="437"/>
      <c r="H93" s="448"/>
      <c r="I93" s="448"/>
    </row>
    <row r="94" spans="2:9" x14ac:dyDescent="0.2">
      <c r="B94" s="483"/>
      <c r="C94" s="476"/>
      <c r="D94" s="484"/>
      <c r="E94" s="484"/>
      <c r="F94" s="437"/>
      <c r="H94" s="448"/>
      <c r="I94" s="448"/>
    </row>
    <row r="95" spans="2:9" x14ac:dyDescent="0.2">
      <c r="B95" s="483"/>
      <c r="C95" s="476"/>
      <c r="D95" s="484"/>
      <c r="E95" s="484"/>
      <c r="F95" s="437"/>
      <c r="H95" s="448"/>
      <c r="I95" s="448"/>
    </row>
    <row r="96" spans="2:9" x14ac:dyDescent="0.2">
      <c r="B96" s="483"/>
      <c r="C96" s="476"/>
      <c r="D96" s="484"/>
      <c r="E96" s="484"/>
      <c r="F96" s="437"/>
      <c r="H96" s="448"/>
      <c r="I96" s="448"/>
    </row>
    <row r="97" spans="2:9" x14ac:dyDescent="0.2">
      <c r="B97" s="483"/>
      <c r="C97" s="476"/>
      <c r="D97" s="484"/>
      <c r="E97" s="484"/>
      <c r="F97" s="437"/>
      <c r="H97" s="448"/>
      <c r="I97" s="448"/>
    </row>
    <row r="98" spans="2:9" x14ac:dyDescent="0.2">
      <c r="B98" s="483"/>
      <c r="C98" s="476"/>
      <c r="D98" s="484"/>
      <c r="E98" s="484"/>
      <c r="F98" s="437"/>
      <c r="H98" s="448"/>
      <c r="I98" s="448"/>
    </row>
    <row r="99" spans="2:9" x14ac:dyDescent="0.2">
      <c r="B99" s="483"/>
      <c r="C99" s="476"/>
      <c r="D99" s="484"/>
      <c r="E99" s="484"/>
      <c r="F99" s="437"/>
      <c r="H99" s="448"/>
      <c r="I99" s="448"/>
    </row>
    <row r="100" spans="2:9" x14ac:dyDescent="0.2">
      <c r="B100" s="483"/>
      <c r="C100" s="476"/>
      <c r="D100" s="484"/>
      <c r="E100" s="484"/>
      <c r="F100" s="437"/>
      <c r="H100" s="448"/>
      <c r="I100" s="448"/>
    </row>
    <row r="101" spans="2:9" x14ac:dyDescent="0.2">
      <c r="B101" s="483"/>
      <c r="C101" s="476"/>
      <c r="D101" s="484"/>
      <c r="E101" s="484"/>
      <c r="F101" s="437"/>
      <c r="H101" s="448"/>
      <c r="I101" s="448"/>
    </row>
    <row r="102" spans="2:9" x14ac:dyDescent="0.2">
      <c r="B102" s="483"/>
      <c r="C102" s="476"/>
      <c r="D102" s="484"/>
      <c r="E102" s="484"/>
      <c r="F102" s="437"/>
      <c r="H102" s="448"/>
      <c r="I102" s="448"/>
    </row>
    <row r="103" spans="2:9" x14ac:dyDescent="0.2">
      <c r="B103" s="483"/>
      <c r="C103" s="476"/>
      <c r="D103" s="484"/>
      <c r="E103" s="484"/>
      <c r="F103" s="437"/>
      <c r="H103" s="448"/>
      <c r="I103" s="448"/>
    </row>
    <row r="104" spans="2:9" x14ac:dyDescent="0.2">
      <c r="B104" s="483"/>
      <c r="C104" s="476"/>
      <c r="D104" s="484"/>
      <c r="E104" s="484"/>
      <c r="F104" s="437"/>
      <c r="H104" s="448"/>
      <c r="I104" s="448"/>
    </row>
    <row r="105" spans="2:9" x14ac:dyDescent="0.2">
      <c r="B105" s="483"/>
      <c r="C105" s="476"/>
      <c r="D105" s="484"/>
      <c r="E105" s="484"/>
      <c r="F105" s="437"/>
      <c r="H105" s="448"/>
      <c r="I105" s="448"/>
    </row>
    <row r="106" spans="2:9" x14ac:dyDescent="0.2">
      <c r="B106" s="483"/>
      <c r="C106" s="476"/>
      <c r="D106" s="484"/>
      <c r="E106" s="484"/>
      <c r="F106" s="437"/>
      <c r="H106" s="448"/>
      <c r="I106" s="448"/>
    </row>
    <row r="107" spans="2:9" x14ac:dyDescent="0.2">
      <c r="B107" s="483"/>
      <c r="C107" s="476"/>
      <c r="D107" s="484"/>
      <c r="E107" s="484"/>
      <c r="F107" s="437"/>
      <c r="H107" s="448"/>
      <c r="I107" s="448"/>
    </row>
    <row r="108" spans="2:9" x14ac:dyDescent="0.2">
      <c r="B108" s="483"/>
      <c r="C108" s="476"/>
      <c r="D108" s="484"/>
      <c r="E108" s="484"/>
      <c r="F108" s="437"/>
      <c r="H108" s="448"/>
      <c r="I108" s="448"/>
    </row>
    <row r="109" spans="2:9" x14ac:dyDescent="0.2">
      <c r="B109" s="483"/>
      <c r="C109" s="476"/>
      <c r="D109" s="484"/>
      <c r="E109" s="484"/>
      <c r="F109" s="437"/>
      <c r="H109" s="448"/>
      <c r="I109" s="448"/>
    </row>
    <row r="110" spans="2:9" x14ac:dyDescent="0.2">
      <c r="B110" s="483"/>
      <c r="C110" s="476"/>
      <c r="D110" s="484"/>
      <c r="E110" s="484"/>
      <c r="F110" s="437"/>
      <c r="H110" s="448"/>
      <c r="I110" s="448"/>
    </row>
    <row r="111" spans="2:9" x14ac:dyDescent="0.2">
      <c r="B111" s="483"/>
      <c r="C111" s="476"/>
      <c r="D111" s="484"/>
      <c r="E111" s="484"/>
      <c r="F111" s="437"/>
      <c r="H111" s="448"/>
      <c r="I111" s="448"/>
    </row>
    <row r="112" spans="2:9" x14ac:dyDescent="0.2">
      <c r="B112" s="483"/>
      <c r="C112" s="476"/>
      <c r="D112" s="484"/>
      <c r="E112" s="484"/>
      <c r="F112" s="437"/>
      <c r="H112" s="448"/>
      <c r="I112" s="448"/>
    </row>
    <row r="113" spans="2:9" x14ac:dyDescent="0.2">
      <c r="B113" s="483"/>
      <c r="C113" s="476"/>
      <c r="D113" s="484"/>
      <c r="E113" s="484"/>
      <c r="F113" s="437"/>
      <c r="H113" s="448"/>
      <c r="I113" s="448"/>
    </row>
    <row r="114" spans="2:9" ht="12" thickBot="1" x14ac:dyDescent="0.25">
      <c r="B114" s="485"/>
      <c r="C114" s="478"/>
      <c r="D114" s="486"/>
      <c r="E114" s="486"/>
      <c r="F114" s="442"/>
      <c r="H114" s="448"/>
      <c r="I114" s="448"/>
    </row>
    <row r="115" spans="2:9" x14ac:dyDescent="0.2">
      <c r="C115" s="452"/>
      <c r="D115" s="425"/>
      <c r="E115" s="425"/>
      <c r="F115" s="425"/>
      <c r="G115" s="425"/>
      <c r="H115" s="425"/>
      <c r="I115" s="425"/>
    </row>
    <row r="116" spans="2:9" x14ac:dyDescent="0.2">
      <c r="C116" s="452"/>
      <c r="D116" s="425"/>
      <c r="E116" s="425"/>
      <c r="F116" s="425"/>
      <c r="G116" s="425"/>
      <c r="H116" s="425"/>
      <c r="I116" s="425"/>
    </row>
    <row r="117" spans="2:9" x14ac:dyDescent="0.2">
      <c r="C117" s="452"/>
      <c r="D117" s="425"/>
      <c r="E117" s="425"/>
      <c r="F117" s="425"/>
      <c r="G117" s="425"/>
      <c r="H117" s="425"/>
      <c r="I117" s="425"/>
    </row>
    <row r="118" spans="2:9" x14ac:dyDescent="0.2">
      <c r="C118" s="452"/>
      <c r="D118" s="425"/>
      <c r="E118" s="425"/>
      <c r="F118" s="425"/>
      <c r="G118" s="425"/>
      <c r="H118" s="425"/>
      <c r="I118" s="425"/>
    </row>
    <row r="119" spans="2:9" x14ac:dyDescent="0.2">
      <c r="C119" s="452"/>
      <c r="D119" s="425"/>
      <c r="E119" s="425"/>
      <c r="F119" s="425"/>
      <c r="G119" s="425"/>
      <c r="H119" s="425"/>
      <c r="I119" s="425"/>
    </row>
    <row r="120" spans="2:9" x14ac:dyDescent="0.2">
      <c r="C120" s="452"/>
      <c r="D120" s="425"/>
      <c r="E120" s="425"/>
      <c r="F120" s="425"/>
      <c r="G120" s="425"/>
      <c r="H120" s="425"/>
      <c r="I120" s="425"/>
    </row>
    <row r="121" spans="2:9" x14ac:dyDescent="0.2">
      <c r="C121" s="452"/>
      <c r="D121" s="425"/>
      <c r="E121" s="425"/>
      <c r="F121" s="425"/>
      <c r="G121" s="425"/>
      <c r="H121" s="425"/>
      <c r="I121" s="425"/>
    </row>
    <row r="122" spans="2:9" x14ac:dyDescent="0.2">
      <c r="C122" s="452"/>
      <c r="D122" s="425"/>
      <c r="E122" s="425"/>
      <c r="F122" s="425"/>
      <c r="G122" s="425"/>
      <c r="H122" s="425"/>
      <c r="I122" s="425"/>
    </row>
    <row r="123" spans="2:9" x14ac:dyDescent="0.2">
      <c r="C123" s="452"/>
      <c r="D123" s="425"/>
      <c r="E123" s="425"/>
      <c r="F123" s="425"/>
      <c r="G123" s="425"/>
      <c r="H123" s="425"/>
      <c r="I123" s="425"/>
    </row>
    <row r="124" spans="2:9" x14ac:dyDescent="0.2">
      <c r="C124" s="452"/>
      <c r="D124" s="425"/>
      <c r="E124" s="425"/>
      <c r="F124" s="425"/>
      <c r="G124" s="425"/>
      <c r="H124" s="425"/>
      <c r="I124" s="425"/>
    </row>
    <row r="125" spans="2:9" x14ac:dyDescent="0.2">
      <c r="C125" s="452"/>
      <c r="D125" s="425"/>
      <c r="E125" s="425"/>
      <c r="F125" s="425"/>
      <c r="G125" s="425"/>
      <c r="H125" s="425"/>
      <c r="I125" s="425"/>
    </row>
    <row r="126" spans="2:9" x14ac:dyDescent="0.2">
      <c r="C126" s="452"/>
      <c r="D126" s="425"/>
      <c r="E126" s="425"/>
      <c r="F126" s="425"/>
      <c r="G126" s="425"/>
      <c r="H126" s="425"/>
      <c r="I126" s="425"/>
    </row>
    <row r="127" spans="2:9" x14ac:dyDescent="0.2">
      <c r="C127" s="452"/>
      <c r="D127" s="425"/>
      <c r="E127" s="425"/>
      <c r="F127" s="425"/>
      <c r="G127" s="425"/>
      <c r="H127" s="425"/>
      <c r="I127" s="425"/>
    </row>
    <row r="128" spans="2:9" x14ac:dyDescent="0.2">
      <c r="C128" s="452"/>
      <c r="D128" s="425"/>
      <c r="E128" s="425"/>
      <c r="F128" s="425"/>
      <c r="G128" s="425"/>
      <c r="H128" s="425"/>
      <c r="I128" s="425"/>
    </row>
    <row r="129" spans="3:9" x14ac:dyDescent="0.2">
      <c r="C129" s="452"/>
      <c r="D129" s="425"/>
      <c r="E129" s="425"/>
      <c r="F129" s="425"/>
      <c r="G129" s="425"/>
      <c r="H129" s="425"/>
      <c r="I129" s="425"/>
    </row>
    <row r="130" spans="3:9" x14ac:dyDescent="0.2">
      <c r="C130" s="452"/>
      <c r="D130" s="425"/>
      <c r="E130" s="425"/>
      <c r="F130" s="425"/>
      <c r="G130" s="425"/>
      <c r="H130" s="425"/>
      <c r="I130" s="425"/>
    </row>
  </sheetData>
  <mergeCells count="2">
    <mergeCell ref="M3:M5"/>
    <mergeCell ref="M9:M10"/>
  </mergeCells>
  <dataValidations disablePrompts="1" count="1">
    <dataValidation type="list" allowBlank="1" showInputMessage="1" showErrorMessage="1" sqref="C9:C11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54</vt:i4>
      </vt:variant>
    </vt:vector>
  </HeadingPairs>
  <TitlesOfParts>
    <vt:vector size="61" baseType="lpstr">
      <vt:lpstr>General Settings</vt:lpstr>
      <vt:lpstr>SynthDepo</vt:lpstr>
      <vt:lpstr>RateHelpersFra</vt:lpstr>
      <vt:lpstr>SynthFra</vt:lpstr>
      <vt:lpstr>Contribution</vt:lpstr>
      <vt:lpstr>FRACharts</vt:lpstr>
      <vt:lpstr>3M Depo Charts</vt:lpstr>
      <vt:lpstr>Accuracy</vt:lpstr>
      <vt:lpstr>AllTriggers</vt:lpstr>
      <vt:lpstr>BasisInterpolation</vt:lpstr>
      <vt:lpstr>BasisInterpolator</vt:lpstr>
      <vt:lpstr>Calendar</vt:lpstr>
      <vt:lpstr>Currency</vt:lpstr>
      <vt:lpstr>DayCounter</vt:lpstr>
      <vt:lpstr>DayCounter3M</vt:lpstr>
      <vt:lpstr>DayCounterOIS</vt:lpstr>
      <vt:lpstr>DayCounterON</vt:lpstr>
      <vt:lpstr>EvaluationDate</vt:lpstr>
      <vt:lpstr>FileOverwrite</vt:lpstr>
      <vt:lpstr>GENERAL_SETTINGS</vt:lpstr>
      <vt:lpstr>IborIndex</vt:lpstr>
      <vt:lpstr>IborTenor</vt:lpstr>
      <vt:lpstr>IborType</vt:lpstr>
      <vt:lpstr>InterestRatesTrigger</vt:lpstr>
      <vt:lpstr>InterpolatorID</vt:lpstr>
      <vt:lpstr>LastDayInNextYear</vt:lpstr>
      <vt:lpstr>LastDayInYear</vt:lpstr>
      <vt:lpstr>LastFixingsTrigger</vt:lpstr>
      <vt:lpstr>LastUpdate</vt:lpstr>
      <vt:lpstr>LiveDataFeed</vt:lpstr>
      <vt:lpstr>MinDistance</vt:lpstr>
      <vt:lpstr>Contribution!Months12M</vt:lpstr>
      <vt:lpstr>Contribution!Months1M</vt:lpstr>
      <vt:lpstr>Contribution!Months3M</vt:lpstr>
      <vt:lpstr>Contribution!Months6M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RateHelpers</vt:lpstr>
      <vt:lpstr>RateHelpersIncluded</vt:lpstr>
      <vt:lpstr>RateHelpersPriority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TraitsID</vt:lpstr>
      <vt:lpstr>Trigger</vt:lpstr>
      <vt:lpstr>TriggerCounter</vt:lpstr>
      <vt:lpstr>YieldCurve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2014-08-01T15:09:38Z</dcterms:modified>
</cp:coreProperties>
</file>