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-15" windowWidth="3195" windowHeight="11715" tabRatio="695" activeTab="3"/>
  </bookViews>
  <sheets>
    <sheet name="General Settings" sheetId="29" r:id="rId1"/>
    <sheet name="SynthDepo" sheetId="32" r:id="rId2"/>
    <sheet name="RateHelpersFra" sheetId="34" r:id="rId3"/>
    <sheet name="Contribution" sheetId="33" r:id="rId4"/>
    <sheet name="SynthFra" sheetId="35" r:id="rId5"/>
    <sheet name="FRACharts" sheetId="36" r:id="rId6"/>
    <sheet name="3M Depo Charts" sheetId="38" r:id="rId7"/>
    <sheet name="6M Depo Charts" sheetId="39" r:id="rId8"/>
    <sheet name="basis 3M" sheetId="42" r:id="rId9"/>
    <sheet name="basis 6M " sheetId="40" r:id="rId10"/>
  </sheets>
  <externalReferences>
    <externalReference r:id="rId11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ayCounter3M" localSheetId="7">'6M Depo Charts'!$C$9</definedName>
    <definedName name="DayCounter3M">'3M Depo Charts'!$C$9</definedName>
    <definedName name="DayCounterOIS" localSheetId="7">'6M Depo Charts'!$C$10</definedName>
    <definedName name="DayCounterOIS">'3M Depo Charts'!$C$10</definedName>
    <definedName name="DayCounterON" localSheetId="7">'6M Depo Charts'!$C$11</definedName>
    <definedName name="DayCounterON">'3M Depo Charts'!$C$11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Contribution!$N$3:$N$84</definedName>
    <definedName name="QuoteLive" localSheetId="3">Contribution!$J$3:$J$84</definedName>
    <definedName name="QuoteStatic" localSheetId="3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H11" i="36" l="1" a="1"/>
  <c r="D28" i="32"/>
  <c r="H27" i="32"/>
  <c r="H26" i="32"/>
  <c r="H25" i="32"/>
  <c r="H24" i="32"/>
  <c r="H23" i="32"/>
  <c r="H22" i="32"/>
  <c r="H21" i="32"/>
  <c r="H20" i="32"/>
  <c r="H19" i="32"/>
  <c r="H16" i="32"/>
  <c r="H15" i="32"/>
  <c r="H14" i="32"/>
  <c r="H13" i="32"/>
  <c r="H12" i="32"/>
  <c r="H11" i="32"/>
  <c r="H10" i="32"/>
  <c r="H7" i="32"/>
  <c r="H6" i="32"/>
  <c r="H4" i="32"/>
  <c r="H3" i="32"/>
  <c r="H2" i="32"/>
  <c r="F7" i="32"/>
  <c r="E7" i="32"/>
  <c r="H18" i="36" l="1"/>
  <c r="H26" i="36"/>
  <c r="H34" i="36"/>
  <c r="H42" i="36"/>
  <c r="H50" i="36"/>
  <c r="H58" i="36"/>
  <c r="H11" i="36"/>
  <c r="H19" i="36"/>
  <c r="H27" i="36"/>
  <c r="H35" i="36"/>
  <c r="H43" i="36"/>
  <c r="H51" i="36"/>
  <c r="H59" i="36"/>
  <c r="H12" i="36"/>
  <c r="H20" i="36"/>
  <c r="H28" i="36"/>
  <c r="H36" i="36"/>
  <c r="H44" i="36"/>
  <c r="H52" i="36"/>
  <c r="H13" i="36"/>
  <c r="H21" i="36"/>
  <c r="H29" i="36"/>
  <c r="H37" i="36"/>
  <c r="H45" i="36"/>
  <c r="H53" i="36"/>
  <c r="H14" i="36"/>
  <c r="H22" i="36"/>
  <c r="H30" i="36"/>
  <c r="H38" i="36"/>
  <c r="H46" i="36"/>
  <c r="H54" i="36"/>
  <c r="H15" i="36"/>
  <c r="H23" i="36"/>
  <c r="H31" i="36"/>
  <c r="H39" i="36"/>
  <c r="H47" i="36"/>
  <c r="H55" i="36"/>
  <c r="H16" i="36"/>
  <c r="H24" i="36"/>
  <c r="H32" i="36"/>
  <c r="H40" i="36"/>
  <c r="H48" i="36"/>
  <c r="H56" i="36"/>
  <c r="H17" i="36"/>
  <c r="H25" i="36"/>
  <c r="H33" i="36"/>
  <c r="H41" i="36"/>
  <c r="H49" i="36"/>
  <c r="H57" i="36"/>
  <c r="D2" i="42" l="1"/>
  <c r="C4" i="40" l="1"/>
  <c r="D4" i="40" s="1"/>
  <c r="C3" i="40"/>
  <c r="D3" i="40" s="1"/>
  <c r="A5" i="40"/>
  <c r="A6" i="40" s="1"/>
  <c r="A7" i="40" s="1"/>
  <c r="G4" i="40"/>
  <c r="G3" i="40"/>
  <c r="A8" i="40" l="1"/>
  <c r="C7" i="40"/>
  <c r="D7" i="40" s="1"/>
  <c r="C6" i="40"/>
  <c r="D6" i="40"/>
  <c r="C5" i="40"/>
  <c r="D5" i="40" s="1"/>
  <c r="T4" i="39"/>
  <c r="R4" i="39"/>
  <c r="G5" i="40"/>
  <c r="G6" i="40"/>
  <c r="G7" i="40"/>
  <c r="A9" i="40" l="1"/>
  <c r="C8" i="40"/>
  <c r="D8" i="40" s="1"/>
  <c r="T4" i="38"/>
  <c r="R4" i="38"/>
  <c r="G8" i="40"/>
  <c r="A10" i="40" l="1"/>
  <c r="C9" i="40"/>
  <c r="D9" i="40" s="1"/>
  <c r="B12" i="36"/>
  <c r="G9" i="40"/>
  <c r="A11" i="40" l="1"/>
  <c r="C10" i="40"/>
  <c r="D10" i="40" s="1"/>
  <c r="B13" i="36"/>
  <c r="G10" i="40"/>
  <c r="A12" i="40" l="1"/>
  <c r="C11" i="40"/>
  <c r="D11" i="40" s="1"/>
  <c r="B14" i="36"/>
  <c r="G11" i="40"/>
  <c r="A13" i="40" l="1"/>
  <c r="C12" i="40"/>
  <c r="D12" i="40" s="1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G12" i="40"/>
  <c r="A14" i="40" l="1"/>
  <c r="C13" i="40"/>
  <c r="D13" i="40" s="1"/>
  <c r="I9" i="32"/>
  <c r="I8" i="32"/>
  <c r="I18" i="32"/>
  <c r="I17" i="32"/>
  <c r="J22" i="29"/>
  <c r="G13" i="40"/>
  <c r="J19" i="29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G14" i="40"/>
  <c r="A16" i="40" l="1"/>
  <c r="C15" i="40"/>
  <c r="D15" i="40" s="1"/>
  <c r="C2" i="33"/>
  <c r="A9" i="33"/>
  <c r="G15" i="40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G16" i="40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G17" i="40"/>
  <c r="D50" i="33"/>
  <c r="D57" i="33"/>
  <c r="D71" i="33"/>
  <c r="D54" i="33"/>
  <c r="D80" i="33"/>
  <c r="D78" i="33"/>
  <c r="D53" i="33"/>
  <c r="D72" i="33"/>
  <c r="D79" i="33"/>
  <c r="D67" i="33"/>
  <c r="D44" i="33"/>
  <c r="D66" i="33"/>
  <c r="D49" i="33"/>
  <c r="D48" i="33"/>
  <c r="D41" i="33"/>
  <c r="D58" i="33"/>
  <c r="D52" i="33"/>
  <c r="D65" i="33"/>
  <c r="D46" i="33"/>
  <c r="D60" i="33"/>
  <c r="D84" i="33"/>
  <c r="D75" i="33"/>
  <c r="D69" i="33"/>
  <c r="D55" i="33"/>
  <c r="D83" i="33"/>
  <c r="D56" i="33"/>
  <c r="D61" i="33"/>
  <c r="D70" i="33"/>
  <c r="D62" i="33"/>
  <c r="D51" i="33"/>
  <c r="D59" i="33"/>
  <c r="D77" i="33"/>
  <c r="D76" i="33"/>
  <c r="D45" i="33"/>
  <c r="D47" i="33"/>
  <c r="D63" i="33"/>
  <c r="D42" i="33"/>
  <c r="D81" i="33"/>
  <c r="D64" i="33"/>
  <c r="D43" i="33"/>
  <c r="D68" i="33"/>
  <c r="D73" i="33"/>
  <c r="D74" i="33"/>
  <c r="D82" i="33"/>
  <c r="A19" i="40" l="1"/>
  <c r="C18" i="40"/>
  <c r="D18" i="40" s="1"/>
  <c r="C9" i="33"/>
  <c r="C12" i="33"/>
  <c r="C13" i="33"/>
  <c r="C8" i="33"/>
  <c r="C14" i="33"/>
  <c r="C11" i="33"/>
  <c r="C10" i="33"/>
  <c r="A16" i="32"/>
  <c r="A26" i="32"/>
  <c r="A7" i="32"/>
  <c r="A3" i="32"/>
  <c r="A4" i="33"/>
  <c r="A16" i="33"/>
  <c r="A26" i="33"/>
  <c r="G18" i="40"/>
  <c r="E61" i="33"/>
  <c r="E46" i="33"/>
  <c r="E73" i="33"/>
  <c r="E81" i="33"/>
  <c r="E47" i="33"/>
  <c r="E80" i="33"/>
  <c r="E71" i="33"/>
  <c r="E65" i="33"/>
  <c r="E78" i="33"/>
  <c r="E67" i="33"/>
  <c r="E59" i="33"/>
  <c r="E69" i="33"/>
  <c r="E45" i="33"/>
  <c r="E43" i="33"/>
  <c r="E84" i="33"/>
  <c r="E53" i="33"/>
  <c r="E55" i="33"/>
  <c r="E48" i="33"/>
  <c r="E68" i="33"/>
  <c r="E54" i="33"/>
  <c r="E50" i="33"/>
  <c r="E79" i="33"/>
  <c r="E44" i="33"/>
  <c r="E76" i="33"/>
  <c r="E74" i="33"/>
  <c r="E75" i="33"/>
  <c r="E51" i="33"/>
  <c r="E57" i="33"/>
  <c r="E63" i="33"/>
  <c r="E64" i="33"/>
  <c r="E77" i="33"/>
  <c r="E66" i="33"/>
  <c r="E72" i="33"/>
  <c r="E83" i="33"/>
  <c r="E60" i="33"/>
  <c r="E49" i="33"/>
  <c r="E62" i="33"/>
  <c r="E56" i="33"/>
  <c r="E52" i="33"/>
  <c r="E82" i="33"/>
  <c r="E58" i="33"/>
  <c r="E42" i="33"/>
  <c r="E41" i="33"/>
  <c r="E70" i="33"/>
  <c r="A20" i="40" l="1"/>
  <c r="C19" i="40"/>
  <c r="D19" i="40" s="1"/>
  <c r="D25" i="32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6" i="29"/>
  <c r="G19" i="40"/>
  <c r="O4" i="35"/>
  <c r="D25" i="33"/>
  <c r="D23" i="33"/>
  <c r="D33" i="33"/>
  <c r="O3" i="35"/>
  <c r="B1" i="29"/>
  <c r="D19" i="29"/>
  <c r="D7" i="33"/>
  <c r="D29" i="33"/>
  <c r="D17" i="33"/>
  <c r="D12" i="33"/>
  <c r="D31" i="33"/>
  <c r="D38" i="33"/>
  <c r="D18" i="33"/>
  <c r="D15" i="33"/>
  <c r="D21" i="33"/>
  <c r="D35" i="33"/>
  <c r="D16" i="33"/>
  <c r="D26" i="33"/>
  <c r="F10" i="34"/>
  <c r="D14" i="33"/>
  <c r="D3" i="33"/>
  <c r="D32" i="33"/>
  <c r="D27" i="33"/>
  <c r="D4" i="33"/>
  <c r="D18" i="29"/>
  <c r="O5" i="35"/>
  <c r="K55" i="38"/>
  <c r="D13" i="33"/>
  <c r="E22" i="32"/>
  <c r="E23" i="32"/>
  <c r="K49" i="38"/>
  <c r="F45" i="32"/>
  <c r="F34" i="32"/>
  <c r="K61" i="39"/>
  <c r="D11" i="33"/>
  <c r="D20" i="33"/>
  <c r="K64" i="39"/>
  <c r="K67" i="39"/>
  <c r="K59" i="38"/>
  <c r="D24" i="33"/>
  <c r="K48" i="39"/>
  <c r="D39" i="33"/>
  <c r="K46" i="39"/>
  <c r="E12" i="32"/>
  <c r="D8" i="33"/>
  <c r="D40" i="33"/>
  <c r="O6" i="35"/>
  <c r="D5" i="33"/>
  <c r="D19" i="33"/>
  <c r="D30" i="33"/>
  <c r="D22" i="33"/>
  <c r="K49" i="39"/>
  <c r="D9" i="33"/>
  <c r="F40" i="32"/>
  <c r="F37" i="32"/>
  <c r="K50" i="38"/>
  <c r="D37" i="33"/>
  <c r="O2" i="35"/>
  <c r="F35" i="32"/>
  <c r="E21" i="32"/>
  <c r="K44" i="39"/>
  <c r="D6" i="33"/>
  <c r="F39" i="32"/>
  <c r="D28" i="33"/>
  <c r="D34" i="33"/>
  <c r="D10" i="33"/>
  <c r="D36" i="33"/>
  <c r="F6" i="34"/>
  <c r="F5" i="34"/>
  <c r="F4" i="34"/>
  <c r="E14" i="32"/>
  <c r="K53" i="39"/>
  <c r="K48" i="38"/>
  <c r="K58" i="38"/>
  <c r="F48" i="32"/>
  <c r="K45" i="38"/>
  <c r="F41" i="32"/>
  <c r="K52" i="39"/>
  <c r="K44" i="38"/>
  <c r="E13" i="32"/>
  <c r="K51" i="39"/>
  <c r="F49" i="32"/>
  <c r="F42" i="32"/>
  <c r="E24" i="32"/>
  <c r="F43" i="32"/>
  <c r="K45" i="39"/>
  <c r="K47" i="38"/>
  <c r="K65" i="39"/>
  <c r="E27" i="32"/>
  <c r="E20" i="32"/>
  <c r="K63" i="39"/>
  <c r="K60" i="38"/>
  <c r="K56" i="38"/>
  <c r="F38" i="32"/>
  <c r="K50" i="39"/>
  <c r="K66" i="39"/>
  <c r="K62" i="39"/>
  <c r="K57" i="38"/>
  <c r="E19" i="32"/>
  <c r="F47" i="32"/>
  <c r="K60" i="39"/>
  <c r="K61" i="38"/>
  <c r="F46" i="32"/>
  <c r="K58" i="39"/>
  <c r="K46" i="38"/>
  <c r="F44" i="32"/>
  <c r="K59" i="39"/>
  <c r="K47" i="39"/>
  <c r="F36" i="32"/>
  <c r="L2" i="40" l="1"/>
  <c r="L2" i="42"/>
  <c r="E2" i="42"/>
  <c r="D2" i="40"/>
  <c r="E2" i="40"/>
  <c r="C20" i="40"/>
  <c r="D20" i="40" s="1"/>
  <c r="J64" i="39"/>
  <c r="J50" i="39"/>
  <c r="J65" i="39"/>
  <c r="J51" i="39"/>
  <c r="J66" i="39"/>
  <c r="J52" i="39"/>
  <c r="J67" i="39"/>
  <c r="J63" i="39"/>
  <c r="J61" i="39"/>
  <c r="J59" i="39"/>
  <c r="J49" i="39"/>
  <c r="J45" i="39"/>
  <c r="J48" i="39"/>
  <c r="J44" i="39"/>
  <c r="J53" i="39"/>
  <c r="J62" i="39"/>
  <c r="J58" i="39"/>
  <c r="J47" i="39"/>
  <c r="B17" i="39"/>
  <c r="J46" i="39"/>
  <c r="J60" i="39"/>
  <c r="J61" i="38"/>
  <c r="J49" i="38"/>
  <c r="J60" i="38"/>
  <c r="J48" i="38"/>
  <c r="J59" i="38"/>
  <c r="J47" i="38"/>
  <c r="J58" i="38"/>
  <c r="J46" i="38"/>
  <c r="J57" i="38"/>
  <c r="J45" i="38"/>
  <c r="J56" i="38"/>
  <c r="J44" i="38"/>
  <c r="J55" i="38"/>
  <c r="J50" i="38"/>
  <c r="B17" i="38"/>
  <c r="AB30" i="32"/>
  <c r="E2" i="34"/>
  <c r="D2" i="35"/>
  <c r="K34" i="32"/>
  <c r="E25" i="32"/>
  <c r="N25" i="32" s="1"/>
  <c r="E15" i="32"/>
  <c r="N15" i="32" s="1"/>
  <c r="E6" i="32"/>
  <c r="E5" i="32"/>
  <c r="E2" i="32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P8" i="32" s="1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G2" i="40"/>
  <c r="G2" i="42"/>
  <c r="G20" i="40"/>
  <c r="N2" i="32" l="1"/>
  <c r="P9" i="32"/>
  <c r="N6" i="32"/>
  <c r="A6" i="35"/>
  <c r="A5" i="35"/>
  <c r="A7" i="35"/>
  <c r="D7" i="32"/>
  <c r="T8" i="32"/>
  <c r="U8" i="32"/>
  <c r="P17" i="32"/>
  <c r="U17" i="32"/>
  <c r="T17" i="32"/>
  <c r="T9" i="32"/>
  <c r="U9" i="32"/>
  <c r="P18" i="32"/>
  <c r="U18" i="32"/>
  <c r="T18" i="32"/>
  <c r="L3" i="40"/>
  <c r="O2" i="40"/>
  <c r="M2" i="40"/>
  <c r="F19" i="32"/>
  <c r="B35" i="32"/>
  <c r="B49" i="32"/>
  <c r="F22" i="32"/>
  <c r="F24" i="32"/>
  <c r="B47" i="32"/>
  <c r="L51" i="39"/>
  <c r="F2" i="34"/>
  <c r="L48" i="39"/>
  <c r="O49" i="38"/>
  <c r="B18" i="38"/>
  <c r="E7" i="33"/>
  <c r="B34" i="32"/>
  <c r="L46" i="38"/>
  <c r="P47" i="38"/>
  <c r="F2" i="40"/>
  <c r="E31" i="33"/>
  <c r="E14" i="40"/>
  <c r="O51" i="39"/>
  <c r="Q48" i="39"/>
  <c r="P51" i="39"/>
  <c r="O2" i="42"/>
  <c r="E19" i="33"/>
  <c r="O52" i="39"/>
  <c r="P49" i="39"/>
  <c r="B36" i="32"/>
  <c r="O46" i="38"/>
  <c r="L53" i="39"/>
  <c r="B39" i="32"/>
  <c r="Q47" i="39"/>
  <c r="P44" i="39"/>
  <c r="Q48" i="38"/>
  <c r="E20" i="33"/>
  <c r="P47" i="39"/>
  <c r="B42" i="32"/>
  <c r="Q50" i="38"/>
  <c r="E35" i="33"/>
  <c r="O46" i="39"/>
  <c r="E18" i="40"/>
  <c r="E11" i="40"/>
  <c r="E4" i="40"/>
  <c r="D21" i="29"/>
  <c r="L3" i="42"/>
  <c r="F25" i="32"/>
  <c r="E39" i="33"/>
  <c r="F6" i="32"/>
  <c r="O50" i="38"/>
  <c r="E19" i="40"/>
  <c r="E36" i="33"/>
  <c r="P53" i="39"/>
  <c r="AB31" i="32"/>
  <c r="E5" i="33"/>
  <c r="F20" i="32"/>
  <c r="B43" i="32"/>
  <c r="E15" i="40"/>
  <c r="Q49" i="39"/>
  <c r="F5" i="32"/>
  <c r="F15" i="32"/>
  <c r="L49" i="38"/>
  <c r="E17" i="33"/>
  <c r="H2" i="40"/>
  <c r="I2" i="40" s="1"/>
  <c r="E6" i="33"/>
  <c r="O45" i="39"/>
  <c r="I44" i="35"/>
  <c r="F4" i="40"/>
  <c r="M2" i="42"/>
  <c r="L47" i="39"/>
  <c r="E10" i="40"/>
  <c r="B44" i="32"/>
  <c r="E3" i="40"/>
  <c r="E32" i="33"/>
  <c r="B46" i="32"/>
  <c r="E21" i="33"/>
  <c r="Q53" i="39"/>
  <c r="E6" i="40"/>
  <c r="Q49" i="38"/>
  <c r="E16" i="33"/>
  <c r="P46" i="39"/>
  <c r="L45" i="38"/>
  <c r="L52" i="39"/>
  <c r="L50" i="39"/>
  <c r="Q44" i="39"/>
  <c r="E9" i="40"/>
  <c r="O49" i="39"/>
  <c r="Q45" i="39"/>
  <c r="E24" i="33"/>
  <c r="Q47" i="38"/>
  <c r="H4" i="40"/>
  <c r="I4" i="40" s="1"/>
  <c r="N2" i="42"/>
  <c r="O48" i="39"/>
  <c r="I32" i="35"/>
  <c r="O45" i="38"/>
  <c r="E22" i="33"/>
  <c r="L44" i="38"/>
  <c r="O44" i="38"/>
  <c r="I8" i="35"/>
  <c r="B45" i="32"/>
  <c r="E20" i="40"/>
  <c r="Q46" i="38"/>
  <c r="E34" i="33"/>
  <c r="O53" i="39"/>
  <c r="P48" i="38"/>
  <c r="E8" i="40"/>
  <c r="P50" i="39"/>
  <c r="L48" i="38"/>
  <c r="P45" i="39"/>
  <c r="Q51" i="39"/>
  <c r="E27" i="33"/>
  <c r="E12" i="40"/>
  <c r="B41" i="32"/>
  <c r="F2" i="42"/>
  <c r="F23" i="32"/>
  <c r="P46" i="38"/>
  <c r="B40" i="32"/>
  <c r="Q50" i="39"/>
  <c r="F27" i="32"/>
  <c r="E38" i="33"/>
  <c r="C17" i="38"/>
  <c r="A10" i="32"/>
  <c r="E17" i="40"/>
  <c r="E26" i="33"/>
  <c r="E3" i="33"/>
  <c r="B38" i="32"/>
  <c r="O50" i="39"/>
  <c r="E18" i="33"/>
  <c r="L49" i="39"/>
  <c r="D20" i="29"/>
  <c r="E23" i="33"/>
  <c r="E28" i="33"/>
  <c r="L47" i="38"/>
  <c r="O48" i="38"/>
  <c r="E30" i="33"/>
  <c r="H2" i="42"/>
  <c r="L50" i="38"/>
  <c r="O47" i="39"/>
  <c r="E4" i="33"/>
  <c r="E40" i="33"/>
  <c r="E7" i="40"/>
  <c r="Q52" i="39"/>
  <c r="Q46" i="39"/>
  <c r="F3" i="40"/>
  <c r="F2" i="32"/>
  <c r="O44" i="39"/>
  <c r="Q44" i="38"/>
  <c r="P50" i="38"/>
  <c r="F12" i="32"/>
  <c r="E25" i="33"/>
  <c r="E15" i="33"/>
  <c r="P44" i="38"/>
  <c r="I20" i="35"/>
  <c r="B18" i="39"/>
  <c r="B19" i="39" s="1"/>
  <c r="E29" i="33"/>
  <c r="L46" i="39"/>
  <c r="E5" i="40"/>
  <c r="F5" i="40" s="1"/>
  <c r="H5" i="40"/>
  <c r="I5" i="40" s="1"/>
  <c r="F3" i="34"/>
  <c r="F21" i="32"/>
  <c r="P48" i="39"/>
  <c r="F13" i="32"/>
  <c r="P45" i="38"/>
  <c r="E33" i="33"/>
  <c r="B37" i="32"/>
  <c r="E16" i="40"/>
  <c r="O47" i="38"/>
  <c r="P52" i="39"/>
  <c r="F14" i="32"/>
  <c r="I56" i="35"/>
  <c r="Q45" i="38"/>
  <c r="E13" i="40"/>
  <c r="L44" i="39"/>
  <c r="L45" i="39"/>
  <c r="P49" i="38"/>
  <c r="C17" i="39"/>
  <c r="H3" i="40"/>
  <c r="I3" i="40" s="1"/>
  <c r="E37" i="33"/>
  <c r="B48" i="32"/>
  <c r="I2" i="42"/>
  <c r="C40" i="32"/>
  <c r="B22" i="32"/>
  <c r="B15" i="32"/>
  <c r="C43" i="32"/>
  <c r="B21" i="32"/>
  <c r="C47" i="32"/>
  <c r="F11" i="40"/>
  <c r="C41" i="32"/>
  <c r="F19" i="40"/>
  <c r="C18" i="39"/>
  <c r="B2" i="32"/>
  <c r="C48" i="32"/>
  <c r="C46" i="32"/>
  <c r="C44" i="32"/>
  <c r="M48" i="39"/>
  <c r="M47" i="39"/>
  <c r="F15" i="40"/>
  <c r="AB32" i="32"/>
  <c r="H15" i="40"/>
  <c r="B20" i="32"/>
  <c r="H19" i="40"/>
  <c r="B19" i="38"/>
  <c r="C19" i="38" s="1"/>
  <c r="B27" i="32"/>
  <c r="C37" i="32"/>
  <c r="H11" i="40"/>
  <c r="I11" i="40" s="1"/>
  <c r="B12" i="32"/>
  <c r="M52" i="39"/>
  <c r="F14" i="40"/>
  <c r="H14" i="40" s="1"/>
  <c r="B25" i="32"/>
  <c r="F6" i="40"/>
  <c r="H6" i="40" s="1"/>
  <c r="C35" i="32"/>
  <c r="B14" i="32"/>
  <c r="C38" i="32"/>
  <c r="M45" i="38"/>
  <c r="M50" i="38"/>
  <c r="B13" i="32"/>
  <c r="M53" i="39"/>
  <c r="F12" i="40"/>
  <c r="F13" i="40"/>
  <c r="H13" i="40" s="1"/>
  <c r="F10" i="40"/>
  <c r="M44" i="38"/>
  <c r="M49" i="39"/>
  <c r="B23" i="32"/>
  <c r="C18" i="38"/>
  <c r="C34" i="32"/>
  <c r="B6" i="32"/>
  <c r="E10" i="32"/>
  <c r="M46" i="39"/>
  <c r="F17" i="40"/>
  <c r="F18" i="40"/>
  <c r="H18" i="40" s="1"/>
  <c r="C45" i="32"/>
  <c r="M46" i="38"/>
  <c r="C49" i="32"/>
  <c r="M44" i="39"/>
  <c r="M49" i="38"/>
  <c r="B20" i="39"/>
  <c r="B21" i="39" s="1"/>
  <c r="C21" i="39" s="1"/>
  <c r="F20" i="40"/>
  <c r="H20" i="40" s="1"/>
  <c r="C36" i="32"/>
  <c r="M50" i="39"/>
  <c r="I6" i="40"/>
  <c r="M48" i="38"/>
  <c r="C42" i="32"/>
  <c r="M51" i="39"/>
  <c r="B24" i="32"/>
  <c r="C39" i="32"/>
  <c r="I13" i="40"/>
  <c r="B20" i="38"/>
  <c r="B21" i="38" s="1"/>
  <c r="F16" i="40"/>
  <c r="H16" i="40" s="1"/>
  <c r="F8" i="40"/>
  <c r="B19" i="32"/>
  <c r="F9" i="40"/>
  <c r="C21" i="38"/>
  <c r="C20" i="38"/>
  <c r="M47" i="38"/>
  <c r="L4" i="40"/>
  <c r="O3" i="40"/>
  <c r="M3" i="40"/>
  <c r="N3" i="40" s="1"/>
  <c r="M3" i="42"/>
  <c r="N3" i="42" s="1"/>
  <c r="L4" i="42"/>
  <c r="O3" i="42"/>
  <c r="F7" i="40"/>
  <c r="H7" i="40" s="1"/>
  <c r="I7" i="40" s="1"/>
  <c r="O4" i="40"/>
  <c r="M4" i="40"/>
  <c r="L5" i="40"/>
  <c r="N4" i="40"/>
  <c r="M4" i="42"/>
  <c r="N4" i="42" s="1"/>
  <c r="L5" i="42"/>
  <c r="O4" i="42"/>
  <c r="L6" i="40"/>
  <c r="O5" i="40"/>
  <c r="M5" i="40"/>
  <c r="N5" i="40" s="1"/>
  <c r="M5" i="42"/>
  <c r="L6" i="42"/>
  <c r="N5" i="42"/>
  <c r="O5" i="42"/>
  <c r="O6" i="40"/>
  <c r="L7" i="40"/>
  <c r="M6" i="40"/>
  <c r="N6" i="40" s="1"/>
  <c r="L7" i="42"/>
  <c r="M6" i="42"/>
  <c r="N6" i="42" s="1"/>
  <c r="O6" i="42"/>
  <c r="O7" i="40"/>
  <c r="L8" i="40"/>
  <c r="M7" i="40"/>
  <c r="N7" i="40" s="1"/>
  <c r="M7" i="42"/>
  <c r="N7" i="42" s="1"/>
  <c r="L8" i="42"/>
  <c r="O7" i="42"/>
  <c r="O8" i="40"/>
  <c r="M8" i="40"/>
  <c r="N8" i="40"/>
  <c r="L9" i="40"/>
  <c r="L9" i="42"/>
  <c r="M8" i="42"/>
  <c r="N8" i="42" s="1"/>
  <c r="O8" i="42"/>
  <c r="O9" i="40"/>
  <c r="L10" i="40"/>
  <c r="M9" i="40"/>
  <c r="N9" i="40" s="1"/>
  <c r="M9" i="42"/>
  <c r="N9" i="42" s="1"/>
  <c r="L10" i="42"/>
  <c r="O9" i="42"/>
  <c r="O10" i="40"/>
  <c r="L11" i="40"/>
  <c r="M10" i="40"/>
  <c r="N10" i="40" s="1"/>
  <c r="M10" i="42"/>
  <c r="N10" i="42" s="1"/>
  <c r="L11" i="42"/>
  <c r="O10" i="42"/>
  <c r="O11" i="40"/>
  <c r="M11" i="40"/>
  <c r="N11" i="40" s="1"/>
  <c r="L12" i="40"/>
  <c r="L12" i="42"/>
  <c r="M11" i="42"/>
  <c r="N11" i="42" s="1"/>
  <c r="O11" i="42"/>
  <c r="O12" i="40"/>
  <c r="L13" i="40"/>
  <c r="M12" i="40"/>
  <c r="N12" i="40" s="1"/>
  <c r="L13" i="42"/>
  <c r="M12" i="42"/>
  <c r="N12" i="42" s="1"/>
  <c r="O12" i="42"/>
  <c r="O13" i="40"/>
  <c r="L14" i="40"/>
  <c r="M13" i="40"/>
  <c r="N13" i="40" s="1"/>
  <c r="M13" i="42"/>
  <c r="N13" i="42" s="1"/>
  <c r="L14" i="42"/>
  <c r="O13" i="42"/>
  <c r="O14" i="40"/>
  <c r="M14" i="40"/>
  <c r="N14" i="40" s="1"/>
  <c r="L15" i="40"/>
  <c r="L15" i="42"/>
  <c r="M14" i="42"/>
  <c r="N14" i="42" s="1"/>
  <c r="O14" i="42"/>
  <c r="M15" i="40"/>
  <c r="N15" i="40"/>
  <c r="O15" i="40"/>
  <c r="L16" i="40"/>
  <c r="M15" i="42"/>
  <c r="N15" i="42" s="1"/>
  <c r="L16" i="42"/>
  <c r="O15" i="42"/>
  <c r="O16" i="40"/>
  <c r="M16" i="40"/>
  <c r="N16" i="40" s="1"/>
  <c r="L17" i="40"/>
  <c r="L17" i="42"/>
  <c r="M16" i="42"/>
  <c r="N16" i="42" s="1"/>
  <c r="O16" i="42"/>
  <c r="O17" i="40"/>
  <c r="M17" i="40"/>
  <c r="N17" i="40" s="1"/>
  <c r="L18" i="40"/>
  <c r="L18" i="42"/>
  <c r="M17" i="42"/>
  <c r="N17" i="42" s="1"/>
  <c r="O17" i="42"/>
  <c r="O18" i="40"/>
  <c r="M18" i="40"/>
  <c r="N18" i="40" s="1"/>
  <c r="L19" i="40"/>
  <c r="L19" i="42"/>
  <c r="M18" i="42"/>
  <c r="N18" i="42" s="1"/>
  <c r="O18" i="42"/>
  <c r="M19" i="40"/>
  <c r="N19" i="40" s="1"/>
  <c r="O19" i="40"/>
  <c r="L20" i="40"/>
  <c r="L20" i="42"/>
  <c r="M19" i="42"/>
  <c r="N19" i="42" s="1"/>
  <c r="O19" i="42"/>
  <c r="O20" i="40"/>
  <c r="L21" i="40"/>
  <c r="M20" i="40"/>
  <c r="N20" i="40"/>
  <c r="L21" i="42"/>
  <c r="M20" i="42"/>
  <c r="N20" i="42" s="1"/>
  <c r="O20" i="42"/>
  <c r="M21" i="40"/>
  <c r="O21" i="40"/>
  <c r="N21" i="40"/>
  <c r="L22" i="40"/>
  <c r="M21" i="42"/>
  <c r="N21" i="42" s="1"/>
  <c r="L22" i="42"/>
  <c r="O21" i="42"/>
  <c r="O22" i="40"/>
  <c r="L23" i="40"/>
  <c r="M22" i="40"/>
  <c r="N22" i="40" s="1"/>
  <c r="L23" i="42"/>
  <c r="M22" i="42"/>
  <c r="N22" i="42" s="1"/>
  <c r="O22" i="42"/>
  <c r="O23" i="40"/>
  <c r="M23" i="40"/>
  <c r="N23" i="40" s="1"/>
  <c r="L24" i="40"/>
  <c r="L24" i="42"/>
  <c r="M23" i="42"/>
  <c r="N23" i="42" s="1"/>
  <c r="O23" i="42"/>
  <c r="O24" i="40"/>
  <c r="L25" i="40"/>
  <c r="M24" i="40"/>
  <c r="N24" i="40"/>
  <c r="M24" i="42"/>
  <c r="L25" i="42"/>
  <c r="N24" i="42"/>
  <c r="O24" i="42"/>
  <c r="O25" i="40"/>
  <c r="L26" i="40"/>
  <c r="M25" i="40"/>
  <c r="N25" i="40" s="1"/>
  <c r="L26" i="42"/>
  <c r="M25" i="42"/>
  <c r="N25" i="42" s="1"/>
  <c r="O25" i="42"/>
  <c r="O26" i="40"/>
  <c r="M26" i="40"/>
  <c r="N26" i="40" s="1"/>
  <c r="L27" i="40"/>
  <c r="L27" i="42"/>
  <c r="M26" i="42"/>
  <c r="N26" i="42" s="1"/>
  <c r="O26" i="42"/>
  <c r="O27" i="40"/>
  <c r="M27" i="40"/>
  <c r="N27" i="40" s="1"/>
  <c r="L28" i="40"/>
  <c r="L28" i="42"/>
  <c r="M27" i="42"/>
  <c r="N27" i="42" s="1"/>
  <c r="O27" i="42"/>
  <c r="O28" i="40"/>
  <c r="L29" i="40"/>
  <c r="M28" i="40"/>
  <c r="N28" i="40" s="1"/>
  <c r="L29" i="42"/>
  <c r="M28" i="42"/>
  <c r="N28" i="42" s="1"/>
  <c r="O28" i="42"/>
  <c r="O29" i="40"/>
  <c r="L30" i="40"/>
  <c r="M29" i="40"/>
  <c r="N29" i="40" s="1"/>
  <c r="M29" i="42"/>
  <c r="N29" i="42" s="1"/>
  <c r="L30" i="42"/>
  <c r="O29" i="42"/>
  <c r="O30" i="40"/>
  <c r="M30" i="40"/>
  <c r="N30" i="40" s="1"/>
  <c r="L31" i="40"/>
  <c r="L31" i="42"/>
  <c r="M30" i="42"/>
  <c r="N30" i="42" s="1"/>
  <c r="O30" i="42"/>
  <c r="M31" i="40"/>
  <c r="L32" i="40"/>
  <c r="N31" i="40"/>
  <c r="O31" i="40"/>
  <c r="L32" i="42"/>
  <c r="M31" i="42"/>
  <c r="N31" i="42" s="1"/>
  <c r="O31" i="42"/>
  <c r="O32" i="40"/>
  <c r="L33" i="40"/>
  <c r="M32" i="40"/>
  <c r="N32" i="40" s="1"/>
  <c r="M32" i="42"/>
  <c r="L33" i="42"/>
  <c r="N32" i="42"/>
  <c r="O32" i="42"/>
  <c r="O33" i="40"/>
  <c r="L34" i="40"/>
  <c r="M33" i="40"/>
  <c r="N33" i="40" s="1"/>
  <c r="L34" i="42"/>
  <c r="M33" i="42"/>
  <c r="N33" i="42" s="1"/>
  <c r="O33" i="42"/>
  <c r="O34" i="40"/>
  <c r="L35" i="40"/>
  <c r="M34" i="40"/>
  <c r="N34" i="40" s="1"/>
  <c r="L35" i="42"/>
  <c r="M34" i="42"/>
  <c r="N34" i="42" s="1"/>
  <c r="O34" i="42"/>
  <c r="M35" i="40"/>
  <c r="N35" i="40" s="1"/>
  <c r="L36" i="40"/>
  <c r="O35" i="40"/>
  <c r="L36" i="42"/>
  <c r="M35" i="42"/>
  <c r="N35" i="42" s="1"/>
  <c r="O35" i="42"/>
  <c r="O36" i="40"/>
  <c r="M36" i="40"/>
  <c r="N36" i="40"/>
  <c r="L37" i="40"/>
  <c r="L37" i="42"/>
  <c r="M36" i="42"/>
  <c r="N36" i="42" s="1"/>
  <c r="O36" i="42"/>
  <c r="O37" i="40"/>
  <c r="L38" i="40"/>
  <c r="M37" i="40"/>
  <c r="N37" i="40" s="1"/>
  <c r="M37" i="42"/>
  <c r="N37" i="42" s="1"/>
  <c r="L38" i="42"/>
  <c r="O37" i="42"/>
  <c r="M38" i="40"/>
  <c r="O38" i="40"/>
  <c r="N38" i="40"/>
  <c r="L39" i="40"/>
  <c r="L39" i="42"/>
  <c r="M38" i="42"/>
  <c r="N38" i="42" s="1"/>
  <c r="O38" i="42"/>
  <c r="M39" i="40"/>
  <c r="N39" i="40" s="1"/>
  <c r="L40" i="40"/>
  <c r="O39" i="40"/>
  <c r="L40" i="42"/>
  <c r="M39" i="42"/>
  <c r="N39" i="42" s="1"/>
  <c r="O39" i="42"/>
  <c r="O40" i="40"/>
  <c r="L41" i="40"/>
  <c r="M40" i="40"/>
  <c r="N40" i="40" s="1"/>
  <c r="M40" i="42"/>
  <c r="L41" i="42"/>
  <c r="N40" i="42"/>
  <c r="O40" i="42"/>
  <c r="O41" i="40"/>
  <c r="L42" i="40"/>
  <c r="M41" i="40"/>
  <c r="N41" i="40" s="1"/>
  <c r="L42" i="42"/>
  <c r="M41" i="42"/>
  <c r="N41" i="42" s="1"/>
  <c r="O41" i="42"/>
  <c r="O42" i="40"/>
  <c r="L43" i="40"/>
  <c r="M42" i="40"/>
  <c r="N42" i="40" s="1"/>
  <c r="L43" i="42"/>
  <c r="M42" i="42"/>
  <c r="N42" i="42" s="1"/>
  <c r="O42" i="42"/>
  <c r="M43" i="40"/>
  <c r="N43" i="40" s="1"/>
  <c r="L44" i="40"/>
  <c r="O43" i="40"/>
  <c r="L44" i="42"/>
  <c r="M43" i="42"/>
  <c r="N43" i="42" s="1"/>
  <c r="O43" i="42"/>
  <c r="O44" i="40"/>
  <c r="L45" i="40"/>
  <c r="M44" i="40"/>
  <c r="N44" i="40"/>
  <c r="L45" i="42"/>
  <c r="M44" i="42"/>
  <c r="N44" i="42" s="1"/>
  <c r="O44" i="42"/>
  <c r="O45" i="40"/>
  <c r="M45" i="40"/>
  <c r="N45" i="40" s="1"/>
  <c r="L46" i="40"/>
  <c r="M45" i="42"/>
  <c r="N45" i="42" s="1"/>
  <c r="L46" i="42"/>
  <c r="O45" i="42"/>
  <c r="O46" i="40"/>
  <c r="L47" i="40"/>
  <c r="M46" i="40"/>
  <c r="N46" i="40" s="1"/>
  <c r="L47" i="42"/>
  <c r="M46" i="42"/>
  <c r="N46" i="42" s="1"/>
  <c r="O46" i="42"/>
  <c r="M47" i="40"/>
  <c r="N47" i="40"/>
  <c r="O47" i="40"/>
  <c r="L48" i="40"/>
  <c r="L48" i="42"/>
  <c r="M47" i="42"/>
  <c r="N47" i="42" s="1"/>
  <c r="O47" i="42"/>
  <c r="O48" i="40"/>
  <c r="L49" i="40"/>
  <c r="M48" i="40"/>
  <c r="N48" i="40" s="1"/>
  <c r="M48" i="42"/>
  <c r="L49" i="42"/>
  <c r="N48" i="42"/>
  <c r="O48" i="42"/>
  <c r="O49" i="40"/>
  <c r="M49" i="40"/>
  <c r="N49" i="40" s="1"/>
  <c r="L50" i="40"/>
  <c r="M49" i="42"/>
  <c r="N49" i="42" s="1"/>
  <c r="L50" i="42"/>
  <c r="O49" i="42"/>
  <c r="O50" i="40"/>
  <c r="M50" i="40"/>
  <c r="N50" i="40" s="1"/>
  <c r="L51" i="40"/>
  <c r="M50" i="42"/>
  <c r="N50" i="42" s="1"/>
  <c r="L51" i="42"/>
  <c r="O50" i="42"/>
  <c r="O51" i="40"/>
  <c r="M51" i="40"/>
  <c r="N51" i="40" s="1"/>
  <c r="L52" i="40"/>
  <c r="L52" i="42"/>
  <c r="M51" i="42"/>
  <c r="N51" i="42" s="1"/>
  <c r="O51" i="42"/>
  <c r="O52" i="40"/>
  <c r="L53" i="40"/>
  <c r="M52" i="40"/>
  <c r="N52" i="40"/>
  <c r="L53" i="42"/>
  <c r="M52" i="42"/>
  <c r="N52" i="42" s="1"/>
  <c r="O52" i="42"/>
  <c r="M53" i="40"/>
  <c r="L54" i="40"/>
  <c r="O53" i="40"/>
  <c r="N53" i="40"/>
  <c r="M53" i="42"/>
  <c r="N53" i="42" s="1"/>
  <c r="L54" i="42"/>
  <c r="O53" i="42"/>
  <c r="O54" i="40"/>
  <c r="M54" i="40"/>
  <c r="N54" i="40" s="1"/>
  <c r="L55" i="40"/>
  <c r="L55" i="42"/>
  <c r="M54" i="42"/>
  <c r="N54" i="42" s="1"/>
  <c r="O54" i="42"/>
  <c r="O55" i="40"/>
  <c r="M55" i="40"/>
  <c r="N55" i="40" s="1"/>
  <c r="L56" i="40"/>
  <c r="L56" i="42"/>
  <c r="M55" i="42"/>
  <c r="N55" i="42" s="1"/>
  <c r="O55" i="42"/>
  <c r="O56" i="40"/>
  <c r="L57" i="40"/>
  <c r="M56" i="40"/>
  <c r="N56" i="40" s="1"/>
  <c r="M56" i="42"/>
  <c r="L57" i="42"/>
  <c r="N56" i="42"/>
  <c r="O56" i="42"/>
  <c r="O57" i="40"/>
  <c r="L58" i="40"/>
  <c r="M57" i="40"/>
  <c r="N57" i="40" s="1"/>
  <c r="L58" i="42"/>
  <c r="M57" i="42"/>
  <c r="N57" i="42" s="1"/>
  <c r="O57" i="42"/>
  <c r="O58" i="40"/>
  <c r="M58" i="40"/>
  <c r="N58" i="40" s="1"/>
  <c r="L59" i="40"/>
  <c r="L59" i="42"/>
  <c r="M58" i="42"/>
  <c r="N58" i="42" s="1"/>
  <c r="O58" i="42"/>
  <c r="L60" i="40"/>
  <c r="O59" i="40"/>
  <c r="M59" i="40"/>
  <c r="N59" i="40" s="1"/>
  <c r="L60" i="42"/>
  <c r="M59" i="42"/>
  <c r="N59" i="42" s="1"/>
  <c r="O59" i="42"/>
  <c r="O60" i="40"/>
  <c r="L61" i="40"/>
  <c r="M60" i="40"/>
  <c r="N60" i="40" s="1"/>
  <c r="L61" i="42"/>
  <c r="M60" i="42"/>
  <c r="N60" i="42" s="1"/>
  <c r="O60" i="42"/>
  <c r="O61" i="40"/>
  <c r="M61" i="40"/>
  <c r="N61" i="40" s="1"/>
  <c r="L62" i="40"/>
  <c r="M61" i="42"/>
  <c r="N61" i="42" s="1"/>
  <c r="L62" i="42"/>
  <c r="O61" i="42"/>
  <c r="O62" i="40"/>
  <c r="M62" i="40"/>
  <c r="N62" i="40" s="1"/>
  <c r="L63" i="40"/>
  <c r="L63" i="42"/>
  <c r="M62" i="42"/>
  <c r="N62" i="42" s="1"/>
  <c r="O62" i="42"/>
  <c r="M63" i="40"/>
  <c r="N63" i="40" s="1"/>
  <c r="L64" i="40"/>
  <c r="O63" i="40"/>
  <c r="L64" i="42"/>
  <c r="M63" i="42"/>
  <c r="N63" i="42" s="1"/>
  <c r="O63" i="42"/>
  <c r="O64" i="40"/>
  <c r="L65" i="40"/>
  <c r="M64" i="40"/>
  <c r="N64" i="40" s="1"/>
  <c r="M64" i="42"/>
  <c r="L65" i="42"/>
  <c r="N64" i="42"/>
  <c r="O64" i="42"/>
  <c r="O65" i="40"/>
  <c r="L66" i="40"/>
  <c r="M65" i="40"/>
  <c r="N65" i="40" s="1"/>
  <c r="L66" i="42"/>
  <c r="M65" i="42"/>
  <c r="N65" i="42" s="1"/>
  <c r="O65" i="42"/>
  <c r="O66" i="40"/>
  <c r="M66" i="40"/>
  <c r="N66" i="40" s="1"/>
  <c r="L67" i="40"/>
  <c r="M66" i="42"/>
  <c r="N66" i="42" s="1"/>
  <c r="L67" i="42"/>
  <c r="O66" i="42"/>
  <c r="M67" i="40"/>
  <c r="N67" i="40" s="1"/>
  <c r="L68" i="40"/>
  <c r="O67" i="40"/>
  <c r="L68" i="42"/>
  <c r="M67" i="42"/>
  <c r="N67" i="42" s="1"/>
  <c r="O67" i="42"/>
  <c r="O68" i="40"/>
  <c r="M68" i="40"/>
  <c r="N68" i="40" s="1"/>
  <c r="L69" i="40"/>
  <c r="L69" i="42"/>
  <c r="M68" i="42"/>
  <c r="N68" i="42" s="1"/>
  <c r="O68" i="42"/>
  <c r="O69" i="40"/>
  <c r="L70" i="40"/>
  <c r="M69" i="40"/>
  <c r="N69" i="40" s="1"/>
  <c r="M69" i="42"/>
  <c r="N69" i="42" s="1"/>
  <c r="L70" i="42"/>
  <c r="O69" i="42"/>
  <c r="O70" i="40"/>
  <c r="M70" i="40"/>
  <c r="N70" i="40" s="1"/>
  <c r="L71" i="40"/>
  <c r="L71" i="42"/>
  <c r="M70" i="42"/>
  <c r="N70" i="42" s="1"/>
  <c r="O70" i="42"/>
  <c r="M71" i="40"/>
  <c r="N71" i="40" s="1"/>
  <c r="L72" i="40"/>
  <c r="O71" i="40"/>
  <c r="L72" i="42"/>
  <c r="M71" i="42"/>
  <c r="N71" i="42" s="1"/>
  <c r="O71" i="42"/>
  <c r="O72" i="40"/>
  <c r="L73" i="40"/>
  <c r="M72" i="40"/>
  <c r="N72" i="40" s="1"/>
  <c r="M72" i="42"/>
  <c r="L73" i="42"/>
  <c r="N72" i="42"/>
  <c r="O72" i="42"/>
  <c r="O73" i="40"/>
  <c r="L74" i="40"/>
  <c r="M73" i="40"/>
  <c r="N73" i="40" s="1"/>
  <c r="L74" i="42"/>
  <c r="M73" i="42"/>
  <c r="N73" i="42" s="1"/>
  <c r="O73" i="42"/>
  <c r="O74" i="40"/>
  <c r="L75" i="40"/>
  <c r="M74" i="40"/>
  <c r="N74" i="40" s="1"/>
  <c r="L75" i="42"/>
  <c r="M74" i="42"/>
  <c r="N74" i="42" s="1"/>
  <c r="O74" i="42"/>
  <c r="M75" i="40"/>
  <c r="N75" i="40" s="1"/>
  <c r="O75" i="40"/>
  <c r="L76" i="40"/>
  <c r="L76" i="42"/>
  <c r="M75" i="42"/>
  <c r="N75" i="42" s="1"/>
  <c r="O75" i="42"/>
  <c r="O76" i="40"/>
  <c r="L77" i="40"/>
  <c r="M76" i="40"/>
  <c r="N76" i="40" s="1"/>
  <c r="L77" i="42"/>
  <c r="M76" i="42"/>
  <c r="N76" i="42" s="1"/>
  <c r="O76" i="42"/>
  <c r="O77" i="40"/>
  <c r="M77" i="40"/>
  <c r="N77" i="40" s="1"/>
  <c r="L78" i="40"/>
  <c r="M77" i="42"/>
  <c r="N77" i="42" s="1"/>
  <c r="L78" i="42"/>
  <c r="O77" i="42"/>
  <c r="O78" i="40"/>
  <c r="L79" i="40"/>
  <c r="M78" i="40"/>
  <c r="N78" i="40" s="1"/>
  <c r="L79" i="42"/>
  <c r="M78" i="42"/>
  <c r="N78" i="42" s="1"/>
  <c r="O78" i="42"/>
  <c r="M79" i="40"/>
  <c r="N79" i="40"/>
  <c r="L80" i="40"/>
  <c r="O79" i="40"/>
  <c r="L80" i="42"/>
  <c r="M79" i="42"/>
  <c r="N79" i="42" s="1"/>
  <c r="O79" i="42"/>
  <c r="O80" i="40"/>
  <c r="M80" i="40"/>
  <c r="N80" i="40" s="1"/>
  <c r="L81" i="40"/>
  <c r="M80" i="42"/>
  <c r="L81" i="42"/>
  <c r="N80" i="42"/>
  <c r="O80" i="42"/>
  <c r="O81" i="40"/>
  <c r="M81" i="40"/>
  <c r="N81" i="40" s="1"/>
  <c r="L82" i="40"/>
  <c r="L82" i="42"/>
  <c r="M81" i="42"/>
  <c r="N81" i="42" s="1"/>
  <c r="O81" i="42"/>
  <c r="O82" i="40"/>
  <c r="M82" i="40"/>
  <c r="N82" i="40" s="1"/>
  <c r="L83" i="40"/>
  <c r="M82" i="42"/>
  <c r="N82" i="42" s="1"/>
  <c r="L83" i="42"/>
  <c r="O82" i="42"/>
  <c r="M83" i="40"/>
  <c r="N83" i="40" s="1"/>
  <c r="O83" i="40"/>
  <c r="L84" i="40"/>
  <c r="L84" i="42"/>
  <c r="M83" i="42"/>
  <c r="N83" i="42" s="1"/>
  <c r="O83" i="42"/>
  <c r="O84" i="40"/>
  <c r="L85" i="40"/>
  <c r="M84" i="40"/>
  <c r="N84" i="40"/>
  <c r="L85" i="42"/>
  <c r="M84" i="42"/>
  <c r="N84" i="42" s="1"/>
  <c r="O84" i="42"/>
  <c r="O85" i="40"/>
  <c r="M85" i="40"/>
  <c r="N85" i="40" s="1"/>
  <c r="L86" i="40"/>
  <c r="M85" i="42"/>
  <c r="N85" i="42" s="1"/>
  <c r="L86" i="42"/>
  <c r="O85" i="42"/>
  <c r="O86" i="40"/>
  <c r="M86" i="40"/>
  <c r="N86" i="40" s="1"/>
  <c r="L87" i="40"/>
  <c r="L87" i="42"/>
  <c r="M86" i="42"/>
  <c r="N86" i="42" s="1"/>
  <c r="O86" i="42"/>
  <c r="O87" i="40"/>
  <c r="M87" i="40"/>
  <c r="N87" i="40" s="1"/>
  <c r="L88" i="40"/>
  <c r="L88" i="42"/>
  <c r="M87" i="42"/>
  <c r="N87" i="42" s="1"/>
  <c r="O87" i="42"/>
  <c r="O88" i="40"/>
  <c r="L89" i="40"/>
  <c r="M88" i="40"/>
  <c r="N88" i="40" s="1"/>
  <c r="M88" i="42"/>
  <c r="L89" i="42"/>
  <c r="N88" i="42"/>
  <c r="O88" i="42"/>
  <c r="O89" i="40"/>
  <c r="L90" i="40"/>
  <c r="M89" i="40"/>
  <c r="N89" i="40" s="1"/>
  <c r="L90" i="42"/>
  <c r="M89" i="42"/>
  <c r="N89" i="42"/>
  <c r="O89" i="42"/>
  <c r="O90" i="40"/>
  <c r="M90" i="40"/>
  <c r="N90" i="40" s="1"/>
  <c r="L91" i="40"/>
  <c r="L91" i="42"/>
  <c r="M90" i="42"/>
  <c r="N90" i="42" s="1"/>
  <c r="O90" i="42"/>
  <c r="L92" i="40"/>
  <c r="O91" i="40"/>
  <c r="M91" i="40"/>
  <c r="N91" i="40" s="1"/>
  <c r="L92" i="42"/>
  <c r="M91" i="42"/>
  <c r="N91" i="42" s="1"/>
  <c r="O91" i="42"/>
  <c r="L93" i="40"/>
  <c r="O92" i="40"/>
  <c r="M92" i="40"/>
  <c r="N92" i="40" s="1"/>
  <c r="L93" i="42"/>
  <c r="M92" i="42"/>
  <c r="N92" i="42" s="1"/>
  <c r="O92" i="42"/>
  <c r="O93" i="40"/>
  <c r="M93" i="40"/>
  <c r="N93" i="40" s="1"/>
  <c r="L94" i="40"/>
  <c r="M93" i="42"/>
  <c r="N93" i="42" s="1"/>
  <c r="L94" i="42"/>
  <c r="O93" i="42"/>
  <c r="O94" i="40"/>
  <c r="M94" i="40"/>
  <c r="N94" i="40" s="1"/>
  <c r="L95" i="40"/>
  <c r="L95" i="42"/>
  <c r="M94" i="42"/>
  <c r="N94" i="42" s="1"/>
  <c r="O94" i="42"/>
  <c r="M95" i="40"/>
  <c r="N95" i="40" s="1"/>
  <c r="L96" i="40"/>
  <c r="O95" i="40"/>
  <c r="L96" i="42"/>
  <c r="M95" i="42"/>
  <c r="N95" i="42" s="1"/>
  <c r="O95" i="42"/>
  <c r="O96" i="40"/>
  <c r="L97" i="40"/>
  <c r="M96" i="40"/>
  <c r="N96" i="40" s="1"/>
  <c r="M96" i="42"/>
  <c r="L97" i="42"/>
  <c r="N96" i="42"/>
  <c r="O96" i="42"/>
  <c r="L98" i="40"/>
  <c r="M97" i="40"/>
  <c r="O97" i="40"/>
  <c r="N97" i="40"/>
  <c r="L98" i="42"/>
  <c r="M97" i="42"/>
  <c r="N97" i="42"/>
  <c r="O97" i="42"/>
  <c r="O98" i="40"/>
  <c r="L99" i="40"/>
  <c r="M98" i="40"/>
  <c r="N98" i="40" s="1"/>
  <c r="L99" i="42"/>
  <c r="M98" i="42"/>
  <c r="N98" i="42" s="1"/>
  <c r="O98" i="42"/>
  <c r="M99" i="40"/>
  <c r="N99" i="40" s="1"/>
  <c r="O99" i="40"/>
  <c r="L100" i="40"/>
  <c r="L100" i="42"/>
  <c r="M99" i="42"/>
  <c r="N99" i="42" s="1"/>
  <c r="O99" i="42"/>
  <c r="O100" i="40"/>
  <c r="M100" i="40"/>
  <c r="N100" i="40" s="1"/>
  <c r="L101" i="40"/>
  <c r="L101" i="42"/>
  <c r="M100" i="42"/>
  <c r="N100" i="42" s="1"/>
  <c r="O100" i="42"/>
  <c r="O101" i="40"/>
  <c r="L102" i="40"/>
  <c r="M101" i="40"/>
  <c r="N101" i="40" s="1"/>
  <c r="M101" i="42"/>
  <c r="N101" i="42" s="1"/>
  <c r="L102" i="42"/>
  <c r="O101" i="42"/>
  <c r="O102" i="40"/>
  <c r="M102" i="40"/>
  <c r="N102" i="40" s="1"/>
  <c r="L103" i="40"/>
  <c r="L103" i="42"/>
  <c r="M102" i="42"/>
  <c r="N102" i="42" s="1"/>
  <c r="O102" i="42"/>
  <c r="M103" i="40"/>
  <c r="N103" i="40" s="1"/>
  <c r="L104" i="40"/>
  <c r="O103" i="40"/>
  <c r="L104" i="42"/>
  <c r="M103" i="42"/>
  <c r="N103" i="42" s="1"/>
  <c r="O103" i="42"/>
  <c r="O104" i="40"/>
  <c r="M104" i="40"/>
  <c r="N104" i="40" s="1"/>
  <c r="L105" i="40"/>
  <c r="M104" i="42"/>
  <c r="L105" i="42"/>
  <c r="N104" i="42"/>
  <c r="O104" i="42"/>
  <c r="O105" i="40"/>
  <c r="L106" i="40"/>
  <c r="M105" i="40"/>
  <c r="N105" i="40" s="1"/>
  <c r="L106" i="42"/>
  <c r="M105" i="42"/>
  <c r="N105" i="42"/>
  <c r="O105" i="42"/>
  <c r="O106" i="40"/>
  <c r="M106" i="40"/>
  <c r="N106" i="40" s="1"/>
  <c r="L107" i="40"/>
  <c r="L107" i="42"/>
  <c r="M106" i="42"/>
  <c r="N106" i="42" s="1"/>
  <c r="O106" i="42"/>
  <c r="M107" i="40"/>
  <c r="N107" i="40" s="1"/>
  <c r="L108" i="40"/>
  <c r="O107" i="40"/>
  <c r="L108" i="42"/>
  <c r="M107" i="42"/>
  <c r="N107" i="42" s="1"/>
  <c r="O107" i="42"/>
  <c r="O108" i="40"/>
  <c r="M108" i="40"/>
  <c r="N108" i="40" s="1"/>
  <c r="L109" i="40"/>
  <c r="L109" i="42"/>
  <c r="M108" i="42"/>
  <c r="N108" i="42" s="1"/>
  <c r="O108" i="42"/>
  <c r="O109" i="40"/>
  <c r="L110" i="40"/>
  <c r="M109" i="40"/>
  <c r="N109" i="40" s="1"/>
  <c r="M109" i="42"/>
  <c r="N109" i="42" s="1"/>
  <c r="L110" i="42"/>
  <c r="O109" i="42"/>
  <c r="O110" i="40"/>
  <c r="M110" i="40"/>
  <c r="N110" i="40" s="1"/>
  <c r="L111" i="40"/>
  <c r="L111" i="42"/>
  <c r="M110" i="42"/>
  <c r="N110" i="42" s="1"/>
  <c r="O110" i="42"/>
  <c r="L112" i="40"/>
  <c r="O111" i="40"/>
  <c r="M111" i="40"/>
  <c r="N111" i="40" s="1"/>
  <c r="L112" i="42"/>
  <c r="M111" i="42"/>
  <c r="N111" i="42" s="1"/>
  <c r="O111" i="42"/>
  <c r="O112" i="40"/>
  <c r="L113" i="40"/>
  <c r="M112" i="40"/>
  <c r="N112" i="40" s="1"/>
  <c r="M112" i="42"/>
  <c r="L113" i="42"/>
  <c r="N112" i="42"/>
  <c r="O112" i="42"/>
  <c r="O113" i="40"/>
  <c r="L114" i="40"/>
  <c r="M113" i="40"/>
  <c r="N113" i="40" s="1"/>
  <c r="L114" i="42"/>
  <c r="M113" i="42"/>
  <c r="N113" i="42"/>
  <c r="O113" i="42"/>
  <c r="O114" i="40"/>
  <c r="L115" i="40"/>
  <c r="M114" i="40"/>
  <c r="N114" i="40" s="1"/>
  <c r="L115" i="42"/>
  <c r="M114" i="42"/>
  <c r="N114" i="42" s="1"/>
  <c r="O114" i="42"/>
  <c r="M115" i="40"/>
  <c r="N115" i="40"/>
  <c r="O115" i="40"/>
  <c r="L116" i="40"/>
  <c r="L116" i="42"/>
  <c r="M115" i="42"/>
  <c r="N115" i="42" s="1"/>
  <c r="O115" i="42"/>
  <c r="M116" i="40"/>
  <c r="O116" i="40"/>
  <c r="L117" i="40"/>
  <c r="N116" i="40"/>
  <c r="L117" i="42"/>
  <c r="M116" i="42"/>
  <c r="N116" i="42" s="1"/>
  <c r="O116" i="42"/>
  <c r="O117" i="40"/>
  <c r="L118" i="40"/>
  <c r="M117" i="40"/>
  <c r="N117" i="40" s="1"/>
  <c r="M117" i="42"/>
  <c r="N117" i="42"/>
  <c r="L118" i="42"/>
  <c r="O117" i="42"/>
  <c r="O118" i="40"/>
  <c r="M118" i="40"/>
  <c r="N118" i="40" s="1"/>
  <c r="L119" i="40"/>
  <c r="M118" i="42"/>
  <c r="N118" i="42" s="1"/>
  <c r="L119" i="42"/>
  <c r="O118" i="42"/>
  <c r="O119" i="40"/>
  <c r="M119" i="40"/>
  <c r="N119" i="40" s="1"/>
  <c r="L120" i="40"/>
  <c r="L120" i="42"/>
  <c r="M119" i="42"/>
  <c r="N119" i="42" s="1"/>
  <c r="O119" i="42"/>
  <c r="O120" i="40"/>
  <c r="L121" i="40"/>
  <c r="M120" i="40"/>
  <c r="N120" i="40" s="1"/>
  <c r="M120" i="42"/>
  <c r="L121" i="42"/>
  <c r="N120" i="42"/>
  <c r="O120" i="42"/>
  <c r="O121" i="40"/>
  <c r="L122" i="40"/>
  <c r="M121" i="40"/>
  <c r="N121" i="40" s="1"/>
  <c r="L122" i="42"/>
  <c r="M121" i="42"/>
  <c r="N121" i="42" s="1"/>
  <c r="O121" i="42"/>
  <c r="O122" i="40"/>
  <c r="M122" i="40"/>
  <c r="N122" i="40" s="1"/>
  <c r="L123" i="40"/>
  <c r="L123" i="42"/>
  <c r="M122" i="42"/>
  <c r="N122" i="42" s="1"/>
  <c r="O122" i="42"/>
  <c r="O123" i="40"/>
  <c r="L124" i="40"/>
  <c r="M123" i="40"/>
  <c r="N123" i="40" s="1"/>
  <c r="L124" i="42"/>
  <c r="M123" i="42"/>
  <c r="N123" i="42" s="1"/>
  <c r="O123" i="42"/>
  <c r="O124" i="40"/>
  <c r="L125" i="40"/>
  <c r="M124" i="40"/>
  <c r="N124" i="40" s="1"/>
  <c r="L125" i="42"/>
  <c r="M124" i="42"/>
  <c r="N124" i="42" s="1"/>
  <c r="O124" i="42"/>
  <c r="O125" i="40"/>
  <c r="M125" i="40"/>
  <c r="N125" i="40"/>
  <c r="L126" i="40"/>
  <c r="M125" i="42"/>
  <c r="N125" i="42"/>
  <c r="L126" i="42"/>
  <c r="O125" i="42"/>
  <c r="O126" i="40"/>
  <c r="M126" i="40"/>
  <c r="N126" i="40" s="1"/>
  <c r="L127" i="40"/>
  <c r="M126" i="42"/>
  <c r="N126" i="42" s="1"/>
  <c r="L127" i="42"/>
  <c r="O126" i="42"/>
  <c r="L128" i="40"/>
  <c r="M127" i="40"/>
  <c r="N127" i="40" s="1"/>
  <c r="O127" i="40"/>
  <c r="L128" i="42"/>
  <c r="M127" i="42"/>
  <c r="N127" i="42" s="1"/>
  <c r="O127" i="42"/>
  <c r="O128" i="40"/>
  <c r="L129" i="40"/>
  <c r="M128" i="40"/>
  <c r="N128" i="40" s="1"/>
  <c r="M128" i="42"/>
  <c r="L129" i="42"/>
  <c r="N128" i="42"/>
  <c r="O128" i="42"/>
  <c r="O129" i="40"/>
  <c r="M129" i="40"/>
  <c r="N129" i="40" s="1"/>
  <c r="L130" i="40"/>
  <c r="L130" i="42"/>
  <c r="M129" i="42"/>
  <c r="N129" i="42"/>
  <c r="O129" i="42"/>
  <c r="O130" i="40"/>
  <c r="L131" i="40"/>
  <c r="M130" i="40"/>
  <c r="N130" i="40" s="1"/>
  <c r="L131" i="42"/>
  <c r="M130" i="42"/>
  <c r="N130" i="42" s="1"/>
  <c r="O130" i="42"/>
  <c r="M131" i="40"/>
  <c r="N131" i="40" s="1"/>
  <c r="L132" i="40"/>
  <c r="O131" i="40"/>
  <c r="L132" i="42"/>
  <c r="M131" i="42"/>
  <c r="N131" i="42" s="1"/>
  <c r="O131" i="42"/>
  <c r="O132" i="40"/>
  <c r="M132" i="40"/>
  <c r="N132" i="40" s="1"/>
  <c r="L133" i="40"/>
  <c r="L133" i="42"/>
  <c r="M132" i="42"/>
  <c r="N132" i="42" s="1"/>
  <c r="O132" i="42"/>
  <c r="L134" i="40"/>
  <c r="O133" i="40"/>
  <c r="M133" i="40"/>
  <c r="N133" i="40" s="1"/>
  <c r="M133" i="42"/>
  <c r="N133" i="42"/>
  <c r="L134" i="42"/>
  <c r="O133" i="42"/>
  <c r="O134" i="40"/>
  <c r="M134" i="40"/>
  <c r="N134" i="40"/>
  <c r="L135" i="40"/>
  <c r="L135" i="42"/>
  <c r="M134" i="42"/>
  <c r="N134" i="42" s="1"/>
  <c r="O134" i="42"/>
  <c r="L136" i="40"/>
  <c r="O135" i="40"/>
  <c r="M135" i="40"/>
  <c r="N135" i="40" s="1"/>
  <c r="L136" i="42"/>
  <c r="M135" i="42"/>
  <c r="N135" i="42" s="1"/>
  <c r="O135" i="42"/>
  <c r="O136" i="40"/>
  <c r="L137" i="40"/>
  <c r="M136" i="40"/>
  <c r="N136" i="40" s="1"/>
  <c r="M136" i="42"/>
  <c r="L137" i="42"/>
  <c r="N136" i="42"/>
  <c r="O136" i="42"/>
  <c r="O137" i="40"/>
  <c r="L138" i="40"/>
  <c r="M137" i="40"/>
  <c r="N137" i="40" s="1"/>
  <c r="L138" i="42"/>
  <c r="M137" i="42"/>
  <c r="N137" i="42"/>
  <c r="O137" i="42"/>
  <c r="M138" i="40"/>
  <c r="O138" i="40"/>
  <c r="N138" i="40"/>
  <c r="L139" i="40"/>
  <c r="L139" i="42"/>
  <c r="M138" i="42"/>
  <c r="N138" i="42" s="1"/>
  <c r="O138" i="42"/>
  <c r="M139" i="40"/>
  <c r="N139" i="40" s="1"/>
  <c r="L140" i="40"/>
  <c r="O139" i="40"/>
  <c r="L140" i="42"/>
  <c r="M139" i="42"/>
  <c r="N139" i="42" s="1"/>
  <c r="O139" i="42"/>
  <c r="O140" i="40"/>
  <c r="L141" i="40"/>
  <c r="M140" i="40"/>
  <c r="N140" i="40" s="1"/>
  <c r="L141" i="42"/>
  <c r="M140" i="42"/>
  <c r="N140" i="42" s="1"/>
  <c r="O140" i="42"/>
  <c r="O141" i="40"/>
  <c r="L142" i="40"/>
  <c r="M141" i="40"/>
  <c r="N141" i="40" s="1"/>
  <c r="M141" i="42"/>
  <c r="N141" i="42"/>
  <c r="L142" i="42"/>
  <c r="O141" i="42"/>
  <c r="O142" i="40"/>
  <c r="M142" i="40"/>
  <c r="N142" i="40" s="1"/>
  <c r="L143" i="40"/>
  <c r="M142" i="42"/>
  <c r="N142" i="42" s="1"/>
  <c r="L143" i="42"/>
  <c r="O142" i="42"/>
  <c r="M143" i="40"/>
  <c r="N143" i="40" s="1"/>
  <c r="L144" i="40"/>
  <c r="O143" i="40"/>
  <c r="L144" i="42"/>
  <c r="M143" i="42"/>
  <c r="N143" i="42" s="1"/>
  <c r="O143" i="42"/>
  <c r="O144" i="40"/>
  <c r="L145" i="40"/>
  <c r="M144" i="40"/>
  <c r="N144" i="40" s="1"/>
  <c r="M144" i="42"/>
  <c r="L145" i="42"/>
  <c r="N144" i="42"/>
  <c r="O144" i="42"/>
  <c r="O145" i="40"/>
  <c r="M145" i="40"/>
  <c r="N145" i="40" s="1"/>
  <c r="L146" i="40"/>
  <c r="L146" i="42"/>
  <c r="M145" i="42"/>
  <c r="N145" i="42"/>
  <c r="O145" i="42"/>
  <c r="O146" i="40"/>
  <c r="L147" i="40"/>
  <c r="M146" i="40"/>
  <c r="N146" i="40" s="1"/>
  <c r="L147" i="42"/>
  <c r="M146" i="42"/>
  <c r="N146" i="42" s="1"/>
  <c r="O146" i="42"/>
  <c r="M147" i="40"/>
  <c r="N147" i="40" s="1"/>
  <c r="O147" i="40"/>
  <c r="L148" i="40"/>
  <c r="L148" i="42"/>
  <c r="M147" i="42"/>
  <c r="N147" i="42" s="1"/>
  <c r="O147" i="42"/>
  <c r="O148" i="40"/>
  <c r="L149" i="40"/>
  <c r="M148" i="40"/>
  <c r="N148" i="40" s="1"/>
  <c r="L149" i="42"/>
  <c r="M148" i="42"/>
  <c r="N148" i="42" s="1"/>
  <c r="O148" i="42"/>
  <c r="O149" i="40"/>
  <c r="L150" i="40"/>
  <c r="M149" i="40"/>
  <c r="N149" i="40" s="1"/>
  <c r="M149" i="42"/>
  <c r="N149" i="42"/>
  <c r="L150" i="42"/>
  <c r="O149" i="42"/>
  <c r="O150" i="40"/>
  <c r="M150" i="40"/>
  <c r="N150" i="40" s="1"/>
  <c r="L151" i="40"/>
  <c r="L151" i="42"/>
  <c r="M150" i="42"/>
  <c r="N150" i="42" s="1"/>
  <c r="O150" i="42"/>
  <c r="O151" i="40"/>
  <c r="M151" i="40"/>
  <c r="N151" i="40" s="1"/>
  <c r="L152" i="40"/>
  <c r="L152" i="42"/>
  <c r="M151" i="42"/>
  <c r="N151" i="42" s="1"/>
  <c r="O151" i="42"/>
  <c r="L153" i="40"/>
  <c r="M152" i="40"/>
  <c r="O152" i="40"/>
  <c r="N152" i="40"/>
  <c r="M152" i="42"/>
  <c r="L153" i="42"/>
  <c r="N152" i="42"/>
  <c r="O152" i="42"/>
  <c r="O153" i="40"/>
  <c r="M153" i="40"/>
  <c r="N153" i="40" s="1"/>
  <c r="L154" i="40"/>
  <c r="L154" i="42"/>
  <c r="M153" i="42"/>
  <c r="N153" i="42" s="1"/>
  <c r="O153" i="42"/>
  <c r="O154" i="40"/>
  <c r="M154" i="40"/>
  <c r="N154" i="40" s="1"/>
  <c r="L155" i="40"/>
  <c r="L155" i="42"/>
  <c r="M154" i="42"/>
  <c r="N154" i="42" s="1"/>
  <c r="O154" i="42"/>
  <c r="L156" i="40"/>
  <c r="O155" i="40"/>
  <c r="M155" i="40"/>
  <c r="N155" i="40" s="1"/>
  <c r="L156" i="42"/>
  <c r="M155" i="42"/>
  <c r="N155" i="42" s="1"/>
  <c r="O155" i="42"/>
  <c r="L157" i="40"/>
  <c r="O156" i="40"/>
  <c r="M156" i="40"/>
  <c r="N156" i="40" s="1"/>
  <c r="L157" i="42"/>
  <c r="M156" i="42"/>
  <c r="N156" i="42" s="1"/>
  <c r="O156" i="42"/>
  <c r="O157" i="40"/>
  <c r="L158" i="40"/>
  <c r="M157" i="40"/>
  <c r="N157" i="40" s="1"/>
  <c r="M157" i="42"/>
  <c r="N157" i="42"/>
  <c r="L158" i="42"/>
  <c r="O157" i="42"/>
  <c r="O158" i="40"/>
  <c r="M158" i="40"/>
  <c r="N158" i="40" s="1"/>
  <c r="L159" i="40"/>
  <c r="L159" i="42"/>
  <c r="M158" i="42"/>
  <c r="N158" i="42" s="1"/>
  <c r="O158" i="42"/>
  <c r="L160" i="40"/>
  <c r="O159" i="40"/>
  <c r="M159" i="40"/>
  <c r="N159" i="40" s="1"/>
  <c r="L160" i="42"/>
  <c r="M159" i="42"/>
  <c r="N159" i="42" s="1"/>
  <c r="O159" i="42"/>
  <c r="O160" i="40"/>
  <c r="L161" i="40"/>
  <c r="M160" i="40"/>
  <c r="N160" i="40" s="1"/>
  <c r="M160" i="42"/>
  <c r="L161" i="42"/>
  <c r="N160" i="42"/>
  <c r="O160" i="42"/>
  <c r="O161" i="40"/>
  <c r="M161" i="40"/>
  <c r="N161" i="40" s="1"/>
  <c r="L162" i="40"/>
  <c r="L162" i="42"/>
  <c r="M161" i="42"/>
  <c r="N161" i="42"/>
  <c r="O161" i="42"/>
  <c r="O162" i="40"/>
  <c r="L163" i="40"/>
  <c r="M162" i="40"/>
  <c r="N162" i="40" s="1"/>
  <c r="L163" i="42"/>
  <c r="M162" i="42"/>
  <c r="N162" i="42" s="1"/>
  <c r="O162" i="42"/>
  <c r="M163" i="40"/>
  <c r="N163" i="40" s="1"/>
  <c r="L164" i="40"/>
  <c r="O163" i="40"/>
  <c r="L164" i="42"/>
  <c r="M163" i="42"/>
  <c r="N163" i="42" s="1"/>
  <c r="O163" i="42"/>
  <c r="M164" i="40"/>
  <c r="N164" i="40" s="1"/>
  <c r="O164" i="40"/>
  <c r="L165" i="40"/>
  <c r="L165" i="42"/>
  <c r="M164" i="42"/>
  <c r="N164" i="42" s="1"/>
  <c r="O164" i="42"/>
  <c r="L166" i="40"/>
  <c r="O165" i="40"/>
  <c r="M165" i="40"/>
  <c r="N165" i="40" s="1"/>
  <c r="M165" i="42"/>
  <c r="N165" i="42"/>
  <c r="L166" i="42"/>
  <c r="O165" i="42"/>
  <c r="O166" i="40"/>
  <c r="M166" i="40"/>
  <c r="N166" i="40" s="1"/>
  <c r="L167" i="40"/>
  <c r="L167" i="42"/>
  <c r="M166" i="42"/>
  <c r="N166" i="42" s="1"/>
  <c r="O166" i="42"/>
  <c r="M167" i="40"/>
  <c r="N167" i="40" s="1"/>
  <c r="L168" i="40"/>
  <c r="O167" i="40"/>
  <c r="L168" i="42"/>
  <c r="M167" i="42"/>
  <c r="N167" i="42" s="1"/>
  <c r="O167" i="42"/>
  <c r="O168" i="40"/>
  <c r="L169" i="40"/>
  <c r="M168" i="40"/>
  <c r="N168" i="40" s="1"/>
  <c r="M168" i="42"/>
  <c r="L169" i="42"/>
  <c r="N168" i="42"/>
  <c r="O168" i="42"/>
  <c r="O169" i="40"/>
  <c r="L170" i="40"/>
  <c r="M169" i="40"/>
  <c r="N169" i="40" s="1"/>
  <c r="L170" i="42"/>
  <c r="M169" i="42"/>
  <c r="N169" i="42"/>
  <c r="O169" i="42"/>
  <c r="O170" i="40"/>
  <c r="M170" i="40"/>
  <c r="N170" i="40"/>
  <c r="L171" i="40"/>
  <c r="L171" i="42"/>
  <c r="M170" i="42"/>
  <c r="N170" i="42" s="1"/>
  <c r="O170" i="42"/>
  <c r="M171" i="40"/>
  <c r="N171" i="40" s="1"/>
  <c r="L172" i="40"/>
  <c r="O171" i="40"/>
  <c r="L172" i="42"/>
  <c r="M171" i="42"/>
  <c r="N171" i="42" s="1"/>
  <c r="O171" i="42"/>
  <c r="O172" i="40"/>
  <c r="L173" i="40"/>
  <c r="M172" i="40"/>
  <c r="N172" i="40" s="1"/>
  <c r="L173" i="42"/>
  <c r="M172" i="42"/>
  <c r="N172" i="42" s="1"/>
  <c r="O172" i="42"/>
  <c r="O173" i="40"/>
  <c r="L174" i="40"/>
  <c r="M173" i="40"/>
  <c r="N173" i="40" s="1"/>
  <c r="M173" i="42"/>
  <c r="N173" i="42"/>
  <c r="L174" i="42"/>
  <c r="O173" i="42"/>
  <c r="O174" i="40"/>
  <c r="M174" i="40"/>
  <c r="N174" i="40" s="1"/>
  <c r="L175" i="40"/>
  <c r="M174" i="42"/>
  <c r="N174" i="42" s="1"/>
  <c r="L175" i="42"/>
  <c r="O174" i="42"/>
  <c r="M175" i="40"/>
  <c r="L176" i="40"/>
  <c r="N175" i="40"/>
  <c r="O175" i="40"/>
  <c r="L176" i="42"/>
  <c r="M175" i="42"/>
  <c r="N175" i="42" s="1"/>
  <c r="O175" i="42"/>
  <c r="O176" i="40"/>
  <c r="M176" i="40"/>
  <c r="N176" i="40"/>
  <c r="L177" i="40"/>
  <c r="M176" i="42"/>
  <c r="L177" i="42"/>
  <c r="N176" i="42"/>
  <c r="O176" i="42"/>
  <c r="O177" i="40"/>
  <c r="M177" i="40"/>
  <c r="N177" i="40" s="1"/>
  <c r="L178" i="40"/>
  <c r="M177" i="42"/>
  <c r="L178" i="42"/>
  <c r="N177" i="42"/>
  <c r="O177" i="42"/>
  <c r="O178" i="40"/>
  <c r="L179" i="40"/>
  <c r="M178" i="40"/>
  <c r="N178" i="40" s="1"/>
  <c r="M178" i="42"/>
  <c r="N178" i="42"/>
  <c r="L179" i="42"/>
  <c r="O178" i="42"/>
  <c r="M179" i="40"/>
  <c r="N179" i="40" s="1"/>
  <c r="O179" i="40"/>
  <c r="L180" i="40"/>
  <c r="L180" i="42"/>
  <c r="M179" i="42"/>
  <c r="N179" i="42" s="1"/>
  <c r="O179" i="42"/>
  <c r="O180" i="40"/>
  <c r="L181" i="40"/>
  <c r="M180" i="40"/>
  <c r="N180" i="40" s="1"/>
  <c r="L181" i="42"/>
  <c r="M180" i="42"/>
  <c r="N180" i="42"/>
  <c r="O180" i="42"/>
  <c r="O181" i="40"/>
  <c r="L182" i="40"/>
  <c r="M181" i="40"/>
  <c r="N181" i="40" s="1"/>
  <c r="M181" i="42"/>
  <c r="N181" i="42"/>
  <c r="L182" i="42"/>
  <c r="O181" i="42"/>
  <c r="O182" i="40"/>
  <c r="M182" i="40"/>
  <c r="N182" i="40" s="1"/>
  <c r="L183" i="40"/>
  <c r="M182" i="42"/>
  <c r="N182" i="42" s="1"/>
  <c r="L183" i="42"/>
  <c r="O182" i="42"/>
  <c r="O183" i="40"/>
  <c r="M183" i="40"/>
  <c r="N183" i="40" s="1"/>
  <c r="L184" i="40"/>
  <c r="L184" i="42"/>
  <c r="M183" i="42"/>
  <c r="N183" i="42" s="1"/>
  <c r="O183" i="42"/>
  <c r="M184" i="40"/>
  <c r="O184" i="40"/>
  <c r="N184" i="40"/>
  <c r="L185" i="40"/>
  <c r="M184" i="42"/>
  <c r="L185" i="42"/>
  <c r="N184" i="42"/>
  <c r="O184" i="42"/>
  <c r="O185" i="40"/>
  <c r="L186" i="40"/>
  <c r="M185" i="40"/>
  <c r="N185" i="40" s="1"/>
  <c r="L186" i="42"/>
  <c r="M185" i="42"/>
  <c r="N185" i="42"/>
  <c r="O185" i="42"/>
  <c r="M186" i="40"/>
  <c r="N186" i="40" s="1"/>
  <c r="O186" i="40"/>
  <c r="L187" i="40"/>
  <c r="L187" i="42"/>
  <c r="M186" i="42"/>
  <c r="N186" i="42" s="1"/>
  <c r="O186" i="42"/>
  <c r="L188" i="40"/>
  <c r="O187" i="40"/>
  <c r="M187" i="40"/>
  <c r="N187" i="40" s="1"/>
  <c r="L188" i="42"/>
  <c r="M187" i="42"/>
  <c r="N187" i="42" s="1"/>
  <c r="O187" i="42"/>
  <c r="O188" i="40"/>
  <c r="L189" i="40"/>
  <c r="M188" i="40"/>
  <c r="N188" i="40" s="1"/>
  <c r="L189" i="42"/>
  <c r="M188" i="42"/>
  <c r="N188" i="42" s="1"/>
  <c r="O188" i="42"/>
  <c r="O189" i="40"/>
  <c r="M189" i="40"/>
  <c r="N189" i="40"/>
  <c r="L190" i="40"/>
  <c r="M189" i="42"/>
  <c r="N189" i="42"/>
  <c r="L190" i="42"/>
  <c r="O189" i="42"/>
  <c r="O190" i="40"/>
  <c r="M190" i="40"/>
  <c r="N190" i="40" s="1"/>
  <c r="L191" i="40"/>
  <c r="M190" i="42"/>
  <c r="N190" i="42" s="1"/>
  <c r="L191" i="42"/>
  <c r="O190" i="42"/>
  <c r="M191" i="40"/>
  <c r="N191" i="40" s="1"/>
  <c r="L192" i="40"/>
  <c r="O191" i="40"/>
  <c r="L192" i="42"/>
  <c r="M191" i="42"/>
  <c r="N191" i="42" s="1"/>
  <c r="O191" i="42"/>
  <c r="O192" i="40"/>
  <c r="L193" i="40"/>
  <c r="M192" i="40"/>
  <c r="N192" i="40" s="1"/>
  <c r="M192" i="42"/>
  <c r="L193" i="42"/>
  <c r="N192" i="42"/>
  <c r="O192" i="42"/>
  <c r="L194" i="40"/>
  <c r="M193" i="40"/>
  <c r="O193" i="40"/>
  <c r="N193" i="40"/>
  <c r="L194" i="42"/>
  <c r="M193" i="42"/>
  <c r="N193" i="42"/>
  <c r="O193" i="42"/>
  <c r="L195" i="40"/>
  <c r="O194" i="40"/>
  <c r="M194" i="40"/>
  <c r="N194" i="40" s="1"/>
  <c r="L195" i="42"/>
  <c r="M194" i="42"/>
  <c r="N194" i="42" s="1"/>
  <c r="O194" i="42"/>
  <c r="L196" i="40"/>
  <c r="M195" i="40"/>
  <c r="N195" i="40" s="1"/>
  <c r="O195" i="40"/>
  <c r="L196" i="42"/>
  <c r="M195" i="42"/>
  <c r="N195" i="42" s="1"/>
  <c r="O195" i="42"/>
  <c r="O196" i="40"/>
  <c r="M196" i="40"/>
  <c r="N196" i="40" s="1"/>
  <c r="L197" i="40"/>
  <c r="L197" i="42"/>
  <c r="M196" i="42"/>
  <c r="N196" i="42" s="1"/>
  <c r="O196" i="42"/>
  <c r="O197" i="40"/>
  <c r="L198" i="40"/>
  <c r="M197" i="40"/>
  <c r="N197" i="40" s="1"/>
  <c r="M197" i="42"/>
  <c r="N197" i="42"/>
  <c r="L198" i="42"/>
  <c r="O197" i="42"/>
  <c r="O198" i="40"/>
  <c r="M198" i="40"/>
  <c r="N198" i="40" s="1"/>
  <c r="L199" i="40"/>
  <c r="M198" i="42"/>
  <c r="N198" i="42" s="1"/>
  <c r="L199" i="42"/>
  <c r="O198" i="42"/>
  <c r="M199" i="40"/>
  <c r="N199" i="40" s="1"/>
  <c r="L200" i="40"/>
  <c r="O199" i="40"/>
  <c r="L200" i="42"/>
  <c r="M199" i="42"/>
  <c r="N199" i="42" s="1"/>
  <c r="O199" i="42"/>
  <c r="O200" i="40"/>
  <c r="L201" i="40"/>
  <c r="M200" i="40"/>
  <c r="N200" i="40" s="1"/>
  <c r="M200" i="42"/>
  <c r="L201" i="42"/>
  <c r="N200" i="42"/>
  <c r="O200" i="42"/>
  <c r="O201" i="40"/>
  <c r="L202" i="40"/>
  <c r="M201" i="40"/>
  <c r="N201" i="40" s="1"/>
  <c r="L202" i="42"/>
  <c r="M201" i="42"/>
  <c r="N201" i="42"/>
  <c r="O201" i="42"/>
  <c r="M202" i="40"/>
  <c r="O202" i="40"/>
  <c r="N202" i="40"/>
  <c r="L203" i="40"/>
  <c r="L203" i="42"/>
  <c r="M202" i="42"/>
  <c r="N202" i="42" s="1"/>
  <c r="O202" i="42"/>
  <c r="M203" i="40"/>
  <c r="N203" i="40" s="1"/>
  <c r="O203" i="40"/>
  <c r="L204" i="40"/>
  <c r="L204" i="42"/>
  <c r="M203" i="42"/>
  <c r="N203" i="42" s="1"/>
  <c r="O203" i="42"/>
  <c r="O204" i="40"/>
  <c r="L205" i="40"/>
  <c r="M204" i="40"/>
  <c r="N204" i="40" s="1"/>
  <c r="L205" i="42"/>
  <c r="M204" i="42"/>
  <c r="N204" i="42" s="1"/>
  <c r="O204" i="42"/>
  <c r="L206" i="40"/>
  <c r="O205" i="40"/>
  <c r="M205" i="40"/>
  <c r="N205" i="40" s="1"/>
  <c r="M205" i="42"/>
  <c r="N205" i="42"/>
  <c r="L206" i="42"/>
  <c r="O205" i="42"/>
  <c r="O206" i="40"/>
  <c r="M206" i="40"/>
  <c r="N206" i="40" s="1"/>
  <c r="L207" i="40"/>
  <c r="M206" i="42"/>
  <c r="N206" i="42" s="1"/>
  <c r="L207" i="42"/>
  <c r="O206" i="42"/>
  <c r="M207" i="40"/>
  <c r="N207" i="40" s="1"/>
  <c r="L208" i="40"/>
  <c r="O207" i="40"/>
  <c r="L208" i="42"/>
  <c r="M207" i="42"/>
  <c r="N207" i="42" s="1"/>
  <c r="O207" i="42"/>
  <c r="O208" i="40"/>
  <c r="M208" i="40"/>
  <c r="N208" i="40" s="1"/>
  <c r="L209" i="40"/>
  <c r="M208" i="42"/>
  <c r="L209" i="42"/>
  <c r="N208" i="42"/>
  <c r="O208" i="42"/>
  <c r="O209" i="40"/>
  <c r="L210" i="40"/>
  <c r="M209" i="40"/>
  <c r="N209" i="40" s="1"/>
  <c r="L210" i="42"/>
  <c r="M209" i="42"/>
  <c r="N209" i="42"/>
  <c r="O209" i="42"/>
  <c r="O210" i="40"/>
  <c r="L211" i="40"/>
  <c r="M210" i="40"/>
  <c r="N210" i="40" s="1"/>
  <c r="L211" i="42"/>
  <c r="M210" i="42"/>
  <c r="N210" i="42" s="1"/>
  <c r="O210" i="42"/>
  <c r="M211" i="40"/>
  <c r="N211" i="40"/>
  <c r="O211" i="40"/>
  <c r="L212" i="40"/>
  <c r="L212" i="42"/>
  <c r="M211" i="42"/>
  <c r="N211" i="42" s="1"/>
  <c r="O211" i="42"/>
  <c r="O212" i="40"/>
  <c r="L213" i="40"/>
  <c r="M212" i="40"/>
  <c r="N212" i="40"/>
  <c r="L213" i="42"/>
  <c r="M212" i="42"/>
  <c r="N212" i="42" s="1"/>
  <c r="O212" i="42"/>
  <c r="O213" i="40"/>
  <c r="L214" i="40"/>
  <c r="M213" i="40"/>
  <c r="N213" i="40" s="1"/>
  <c r="M213" i="42"/>
  <c r="N213" i="42"/>
  <c r="L214" i="42"/>
  <c r="O213" i="42"/>
  <c r="O214" i="40"/>
  <c r="L215" i="40"/>
  <c r="M214" i="40"/>
  <c r="N214" i="40" s="1"/>
  <c r="M214" i="42"/>
  <c r="N214" i="42" s="1"/>
  <c r="L215" i="42"/>
  <c r="O214" i="42"/>
  <c r="O215" i="40"/>
  <c r="M215" i="40"/>
  <c r="N215" i="40" s="1"/>
  <c r="L216" i="40"/>
  <c r="L216" i="42"/>
  <c r="M215" i="42"/>
  <c r="N215" i="42" s="1"/>
  <c r="O215" i="42"/>
  <c r="O216" i="40"/>
  <c r="L217" i="40"/>
  <c r="M216" i="40"/>
  <c r="N216" i="40" s="1"/>
  <c r="M216" i="42"/>
  <c r="L217" i="42"/>
  <c r="N216" i="42"/>
  <c r="O216" i="42"/>
  <c r="O217" i="40"/>
  <c r="L218" i="40"/>
  <c r="M217" i="40"/>
  <c r="N217" i="40" s="1"/>
  <c r="L218" i="42"/>
  <c r="M217" i="42"/>
  <c r="N217" i="42"/>
  <c r="O217" i="42"/>
  <c r="O218" i="40"/>
  <c r="L219" i="40"/>
  <c r="M218" i="40"/>
  <c r="N218" i="40" s="1"/>
  <c r="L219" i="42"/>
  <c r="M218" i="42"/>
  <c r="N218" i="42" s="1"/>
  <c r="O218" i="42"/>
  <c r="O219" i="40"/>
  <c r="M219" i="40"/>
  <c r="N219" i="40" s="1"/>
  <c r="L220" i="40"/>
  <c r="L220" i="42"/>
  <c r="M219" i="42"/>
  <c r="N219" i="42" s="1"/>
  <c r="O219" i="42"/>
  <c r="M220" i="40"/>
  <c r="O220" i="40"/>
  <c r="N220" i="40"/>
  <c r="L221" i="40"/>
  <c r="L221" i="42"/>
  <c r="M220" i="42"/>
  <c r="N220" i="42" s="1"/>
  <c r="O220" i="42"/>
  <c r="O221" i="40"/>
  <c r="M221" i="40"/>
  <c r="N221" i="40" s="1"/>
  <c r="L222" i="40"/>
  <c r="M221" i="42"/>
  <c r="N221" i="42"/>
  <c r="L222" i="42"/>
  <c r="O221" i="42"/>
  <c r="O222" i="40"/>
  <c r="L223" i="40"/>
  <c r="M222" i="40"/>
  <c r="N222" i="40" s="1"/>
  <c r="L223" i="42"/>
  <c r="M222" i="42"/>
  <c r="N222" i="42" s="1"/>
  <c r="O222" i="42"/>
  <c r="O223" i="40"/>
  <c r="M223" i="40"/>
  <c r="N223" i="40" s="1"/>
  <c r="L224" i="40"/>
  <c r="L224" i="42"/>
  <c r="M223" i="42"/>
  <c r="N223" i="42" s="1"/>
  <c r="O223" i="42"/>
  <c r="M224" i="40"/>
  <c r="N224" i="40" s="1"/>
  <c r="O224" i="40"/>
  <c r="L225" i="40"/>
  <c r="M224" i="42"/>
  <c r="L225" i="42"/>
  <c r="N224" i="42"/>
  <c r="O224" i="42"/>
  <c r="O225" i="40"/>
  <c r="M225" i="40"/>
  <c r="N225" i="40" s="1"/>
  <c r="L226" i="40"/>
  <c r="M225" i="42"/>
  <c r="N225" i="42" s="1"/>
  <c r="L226" i="42"/>
  <c r="O225" i="42"/>
  <c r="O226" i="40"/>
  <c r="M226" i="40"/>
  <c r="N226" i="40" s="1"/>
  <c r="L227" i="40"/>
  <c r="L227" i="42"/>
  <c r="M226" i="42"/>
  <c r="N226" i="42" s="1"/>
  <c r="O226" i="42"/>
  <c r="O227" i="40"/>
  <c r="M227" i="40"/>
  <c r="N227" i="40" s="1"/>
  <c r="L228" i="40"/>
  <c r="L228" i="42"/>
  <c r="M227" i="42"/>
  <c r="N227" i="42" s="1"/>
  <c r="O227" i="42"/>
  <c r="O228" i="40"/>
  <c r="L229" i="40"/>
  <c r="M228" i="40"/>
  <c r="N228" i="40" s="1"/>
  <c r="L229" i="42"/>
  <c r="M228" i="42"/>
  <c r="N228" i="42" s="1"/>
  <c r="O228" i="42"/>
  <c r="L230" i="40"/>
  <c r="M229" i="40"/>
  <c r="O229" i="40"/>
  <c r="N229" i="40"/>
  <c r="M229" i="42"/>
  <c r="N229" i="42"/>
  <c r="L230" i="42"/>
  <c r="O229" i="42"/>
  <c r="O230" i="40"/>
  <c r="M230" i="40"/>
  <c r="N230" i="40"/>
  <c r="L231" i="40"/>
  <c r="L231" i="42"/>
  <c r="M230" i="42"/>
  <c r="N230" i="42" s="1"/>
  <c r="O230" i="42"/>
  <c r="O231" i="40"/>
  <c r="M231" i="40"/>
  <c r="N231" i="40" s="1"/>
  <c r="L232" i="40"/>
  <c r="L232" i="42"/>
  <c r="M231" i="42"/>
  <c r="N231" i="42" s="1"/>
  <c r="O231" i="42"/>
  <c r="O232" i="40"/>
  <c r="L233" i="40"/>
  <c r="M232" i="40"/>
  <c r="N232" i="40" s="1"/>
  <c r="M232" i="42"/>
  <c r="L233" i="42"/>
  <c r="N232" i="42"/>
  <c r="O232" i="42"/>
  <c r="M233" i="40"/>
  <c r="N233" i="40"/>
  <c r="O233" i="40"/>
  <c r="L234" i="40"/>
  <c r="M233" i="42"/>
  <c r="N233" i="42" s="1"/>
  <c r="L234" i="42"/>
  <c r="O233" i="42"/>
  <c r="O234" i="40"/>
  <c r="L235" i="40"/>
  <c r="M234" i="40"/>
  <c r="N234" i="40" s="1"/>
  <c r="L235" i="42"/>
  <c r="M234" i="42"/>
  <c r="N234" i="42" s="1"/>
  <c r="O234" i="42"/>
  <c r="O235" i="40"/>
  <c r="M235" i="40"/>
  <c r="N235" i="40" s="1"/>
  <c r="L236" i="40"/>
  <c r="L236" i="42"/>
  <c r="M235" i="42"/>
  <c r="N235" i="42" s="1"/>
  <c r="O235" i="42"/>
  <c r="O236" i="40"/>
  <c r="M236" i="40"/>
  <c r="N236" i="40" s="1"/>
  <c r="L237" i="40"/>
  <c r="L237" i="42"/>
  <c r="M236" i="42"/>
  <c r="N236" i="42" s="1"/>
  <c r="O236" i="42"/>
  <c r="O237" i="40"/>
  <c r="M237" i="40"/>
  <c r="N237" i="40" s="1"/>
  <c r="L238" i="40"/>
  <c r="M237" i="42"/>
  <c r="N237" i="42" s="1"/>
  <c r="L238" i="42"/>
  <c r="O237" i="42"/>
  <c r="L239" i="40"/>
  <c r="M238" i="40"/>
  <c r="O238" i="40"/>
  <c r="N238" i="40"/>
  <c r="L239" i="42"/>
  <c r="M238" i="42"/>
  <c r="N238" i="42" s="1"/>
  <c r="O238" i="42"/>
  <c r="O239" i="40"/>
  <c r="M239" i="40"/>
  <c r="N239" i="40" s="1"/>
  <c r="L240" i="40"/>
  <c r="L240" i="42"/>
  <c r="M239" i="42"/>
  <c r="N239" i="42"/>
  <c r="O239" i="42"/>
  <c r="L241" i="40"/>
  <c r="M240" i="40"/>
  <c r="O240" i="40"/>
  <c r="N240" i="40"/>
  <c r="M240" i="42"/>
  <c r="L241" i="42"/>
  <c r="N240" i="42"/>
  <c r="O240" i="42"/>
  <c r="O241" i="40"/>
  <c r="M241" i="40"/>
  <c r="N241" i="40" s="1"/>
  <c r="L242" i="40"/>
  <c r="M241" i="42"/>
  <c r="L242" i="42"/>
  <c r="N241" i="42"/>
  <c r="O241" i="42"/>
  <c r="O242" i="40"/>
  <c r="M242" i="40"/>
  <c r="N242" i="40" s="1"/>
  <c r="L243" i="40"/>
  <c r="L243" i="42"/>
  <c r="M242" i="42"/>
  <c r="N242" i="42" s="1"/>
  <c r="O242" i="42"/>
  <c r="O243" i="40"/>
  <c r="M243" i="40"/>
  <c r="N243" i="40" s="1"/>
  <c r="L244" i="40"/>
  <c r="L244" i="42"/>
  <c r="M243" i="42"/>
  <c r="N243" i="42" s="1"/>
  <c r="O243" i="42"/>
  <c r="O244" i="40"/>
  <c r="L245" i="40"/>
  <c r="M244" i="40"/>
  <c r="N244" i="40" s="1"/>
  <c r="L245" i="42"/>
  <c r="M244" i="42"/>
  <c r="N244" i="42" s="1"/>
  <c r="O244" i="42"/>
  <c r="O245" i="40"/>
  <c r="L246" i="40"/>
  <c r="M245" i="40"/>
  <c r="N245" i="40" s="1"/>
  <c r="M245" i="42"/>
  <c r="N245" i="42" s="1"/>
  <c r="L246" i="42"/>
  <c r="O245" i="42"/>
  <c r="M246" i="40"/>
  <c r="O246" i="40"/>
  <c r="N246" i="40"/>
  <c r="L247" i="40"/>
  <c r="L247" i="42"/>
  <c r="M246" i="42"/>
  <c r="N246" i="42" s="1"/>
  <c r="O246" i="42"/>
  <c r="O247" i="40"/>
  <c r="M247" i="40"/>
  <c r="N247" i="40" s="1"/>
  <c r="L248" i="40"/>
  <c r="L248" i="42"/>
  <c r="M247" i="42"/>
  <c r="N247" i="42"/>
  <c r="O247" i="42"/>
  <c r="O248" i="40"/>
  <c r="L249" i="40"/>
  <c r="M248" i="40"/>
  <c r="N248" i="40" s="1"/>
  <c r="M248" i="42"/>
  <c r="L249" i="42"/>
  <c r="N248" i="42"/>
  <c r="O248" i="42"/>
  <c r="O249" i="40"/>
  <c r="L250" i="40"/>
  <c r="M249" i="40"/>
  <c r="N249" i="40" s="1"/>
  <c r="M249" i="42"/>
  <c r="L250" i="42"/>
  <c r="N249" i="42"/>
  <c r="O249" i="42"/>
  <c r="O250" i="40"/>
  <c r="L251" i="40"/>
  <c r="M250" i="40"/>
  <c r="N250" i="40" s="1"/>
  <c r="L251" i="42"/>
  <c r="M250" i="42"/>
  <c r="N250" i="42" s="1"/>
  <c r="O250" i="42"/>
  <c r="O251" i="40"/>
  <c r="M251" i="40"/>
  <c r="N251" i="40" s="1"/>
  <c r="L252" i="40"/>
  <c r="L252" i="42"/>
  <c r="M251" i="42"/>
  <c r="N251" i="42" s="1"/>
  <c r="O251" i="42"/>
  <c r="O252" i="40"/>
  <c r="M252" i="40"/>
  <c r="N252" i="40" s="1"/>
  <c r="L253" i="40"/>
  <c r="L253" i="42"/>
  <c r="M252" i="42"/>
  <c r="N252" i="42"/>
  <c r="O252" i="42"/>
  <c r="O253" i="40"/>
  <c r="M253" i="40"/>
  <c r="N253" i="40" s="1"/>
  <c r="L254" i="40"/>
  <c r="M253" i="42"/>
  <c r="N253" i="42"/>
  <c r="L254" i="42"/>
  <c r="O253" i="42"/>
  <c r="L255" i="40"/>
  <c r="M254" i="40"/>
  <c r="O254" i="40"/>
  <c r="N254" i="40"/>
  <c r="M254" i="42"/>
  <c r="N254" i="42" s="1"/>
  <c r="L255" i="42"/>
  <c r="O254" i="42"/>
  <c r="O255" i="40"/>
  <c r="M255" i="40"/>
  <c r="N255" i="40" s="1"/>
  <c r="L256" i="40"/>
  <c r="L256" i="42"/>
  <c r="M255" i="42"/>
  <c r="N255" i="42" s="1"/>
  <c r="O255" i="42"/>
  <c r="O256" i="40"/>
  <c r="L257" i="40"/>
  <c r="M256" i="40"/>
  <c r="N256" i="40" s="1"/>
  <c r="M256" i="42"/>
  <c r="L257" i="42"/>
  <c r="N256" i="42"/>
  <c r="O256" i="42"/>
  <c r="M257" i="40"/>
  <c r="O257" i="40"/>
  <c r="N257" i="40"/>
  <c r="L258" i="40"/>
  <c r="L258" i="42"/>
  <c r="M257" i="42"/>
  <c r="N257" i="42" s="1"/>
  <c r="O257" i="42"/>
  <c r="O258" i="40"/>
  <c r="M258" i="40"/>
  <c r="N258" i="40" s="1"/>
  <c r="L259" i="40"/>
  <c r="L259" i="42"/>
  <c r="M258" i="42"/>
  <c r="N258" i="42" s="1"/>
  <c r="O258" i="42"/>
  <c r="O259" i="40"/>
  <c r="M259" i="40"/>
  <c r="N259" i="40" s="1"/>
  <c r="L260" i="40"/>
  <c r="L260" i="42"/>
  <c r="M259" i="42"/>
  <c r="N259" i="42" s="1"/>
  <c r="O259" i="42"/>
  <c r="O260" i="40"/>
  <c r="L261" i="40"/>
  <c r="M260" i="40"/>
  <c r="N260" i="40" s="1"/>
  <c r="L261" i="42"/>
  <c r="M260" i="42"/>
  <c r="N260" i="42" s="1"/>
  <c r="O260" i="42"/>
  <c r="O261" i="40"/>
  <c r="L262" i="40"/>
  <c r="M261" i="40"/>
  <c r="N261" i="40" s="1"/>
  <c r="M261" i="42"/>
  <c r="N261" i="42" s="1"/>
  <c r="L262" i="42"/>
  <c r="O261" i="42"/>
  <c r="M262" i="40"/>
  <c r="O262" i="40"/>
  <c r="N262" i="40"/>
  <c r="L263" i="40"/>
  <c r="M262" i="42"/>
  <c r="N262" i="42" s="1"/>
  <c r="L263" i="42"/>
  <c r="O262" i="42"/>
  <c r="O263" i="40"/>
  <c r="M263" i="40"/>
  <c r="N263" i="40" s="1"/>
  <c r="L264" i="40"/>
  <c r="L264" i="42"/>
  <c r="M263" i="42"/>
  <c r="N263" i="42" s="1"/>
  <c r="O263" i="42"/>
  <c r="O264" i="40"/>
  <c r="L265" i="40"/>
  <c r="M264" i="40"/>
  <c r="N264" i="40" s="1"/>
  <c r="M264" i="42"/>
  <c r="L265" i="42"/>
  <c r="N264" i="42"/>
  <c r="O264" i="42"/>
  <c r="L266" i="40"/>
  <c r="O265" i="40"/>
  <c r="M265" i="40"/>
  <c r="N265" i="40" s="1"/>
  <c r="M265" i="42"/>
  <c r="L266" i="42"/>
  <c r="N265" i="42"/>
  <c r="O265" i="42"/>
  <c r="M266" i="40"/>
  <c r="O266" i="40"/>
  <c r="N266" i="40"/>
  <c r="L267" i="40"/>
  <c r="L267" i="42"/>
  <c r="M266" i="42"/>
  <c r="N266" i="42" s="1"/>
  <c r="O266" i="42"/>
  <c r="O267" i="40"/>
  <c r="M267" i="40"/>
  <c r="N267" i="40" s="1"/>
  <c r="L268" i="40"/>
  <c r="L268" i="42"/>
  <c r="M267" i="42"/>
  <c r="N267" i="42" s="1"/>
  <c r="O267" i="42"/>
  <c r="O268" i="40"/>
  <c r="M268" i="40"/>
  <c r="N268" i="40" s="1"/>
  <c r="L269" i="40"/>
  <c r="L269" i="42"/>
  <c r="M268" i="42"/>
  <c r="N268" i="42"/>
  <c r="O268" i="42"/>
  <c r="O269" i="40"/>
  <c r="M269" i="40"/>
  <c r="N269" i="40" s="1"/>
  <c r="L270" i="40"/>
  <c r="M269" i="42"/>
  <c r="N269" i="42" s="1"/>
  <c r="L270" i="42"/>
  <c r="O269" i="42"/>
  <c r="L271" i="40"/>
  <c r="M270" i="40"/>
  <c r="O270" i="40"/>
  <c r="N270" i="40"/>
  <c r="L271" i="42"/>
  <c r="M270" i="42"/>
  <c r="N270" i="42"/>
  <c r="O270" i="42"/>
  <c r="O271" i="40"/>
  <c r="M271" i="40"/>
  <c r="N271" i="40" s="1"/>
  <c r="L272" i="40"/>
  <c r="L272" i="42"/>
  <c r="M271" i="42"/>
  <c r="N271" i="42"/>
  <c r="O271" i="42"/>
  <c r="O272" i="40"/>
  <c r="L273" i="40"/>
  <c r="M272" i="40"/>
  <c r="N272" i="40" s="1"/>
  <c r="M272" i="42"/>
  <c r="L273" i="42"/>
  <c r="N272" i="42"/>
  <c r="O272" i="42"/>
  <c r="L274" i="40"/>
  <c r="O273" i="40"/>
  <c r="M273" i="40"/>
  <c r="N273" i="40" s="1"/>
  <c r="M273" i="42"/>
  <c r="L274" i="42"/>
  <c r="N273" i="42"/>
  <c r="O273" i="42"/>
  <c r="O274" i="40"/>
  <c r="M274" i="40"/>
  <c r="N274" i="40" s="1"/>
  <c r="L275" i="40"/>
  <c r="L275" i="42"/>
  <c r="M274" i="42"/>
  <c r="N274" i="42" s="1"/>
  <c r="O274" i="42"/>
  <c r="O275" i="40"/>
  <c r="M275" i="40"/>
  <c r="N275" i="40" s="1"/>
  <c r="L276" i="40"/>
  <c r="L276" i="42"/>
  <c r="M275" i="42"/>
  <c r="N275" i="42" s="1"/>
  <c r="O275" i="42"/>
  <c r="M276" i="40"/>
  <c r="N276" i="40" s="1"/>
  <c r="O276" i="40"/>
  <c r="L277" i="40"/>
  <c r="L277" i="42"/>
  <c r="M276" i="42"/>
  <c r="N276" i="42" s="1"/>
  <c r="O276" i="42"/>
  <c r="O277" i="40"/>
  <c r="L278" i="40"/>
  <c r="M277" i="40"/>
  <c r="N277" i="40" s="1"/>
  <c r="M277" i="42"/>
  <c r="N277" i="42" s="1"/>
  <c r="L278" i="42"/>
  <c r="O277" i="42"/>
  <c r="M278" i="40"/>
  <c r="O278" i="40"/>
  <c r="N278" i="40"/>
  <c r="L279" i="40"/>
  <c r="L279" i="42"/>
  <c r="M278" i="42"/>
  <c r="N278" i="42" s="1"/>
  <c r="O278" i="42"/>
  <c r="O279" i="40"/>
  <c r="M279" i="40"/>
  <c r="N279" i="40" s="1"/>
  <c r="L280" i="40"/>
  <c r="L280" i="42"/>
  <c r="M279" i="42"/>
  <c r="N279" i="42" s="1"/>
  <c r="O279" i="42"/>
  <c r="O280" i="40"/>
  <c r="L281" i="40"/>
  <c r="M280" i="40"/>
  <c r="N280" i="40" s="1"/>
  <c r="M280" i="42"/>
  <c r="L281" i="42"/>
  <c r="N280" i="42"/>
  <c r="O280" i="42"/>
  <c r="O281" i="40"/>
  <c r="M281" i="40"/>
  <c r="N281" i="40" s="1"/>
  <c r="L282" i="40"/>
  <c r="M281" i="42"/>
  <c r="L282" i="42"/>
  <c r="N281" i="42"/>
  <c r="O281" i="42"/>
  <c r="L283" i="40"/>
  <c r="M282" i="40"/>
  <c r="O282" i="40"/>
  <c r="N282" i="40"/>
  <c r="L283" i="42"/>
  <c r="M282" i="42"/>
  <c r="N282" i="42" s="1"/>
  <c r="O282" i="42"/>
  <c r="O283" i="40"/>
  <c r="M283" i="40"/>
  <c r="N283" i="40" s="1"/>
  <c r="L284" i="40"/>
  <c r="L284" i="42"/>
  <c r="M283" i="42"/>
  <c r="N283" i="42" s="1"/>
  <c r="O283" i="42"/>
  <c r="O284" i="40"/>
  <c r="M284" i="40"/>
  <c r="N284" i="40" s="1"/>
  <c r="L285" i="40"/>
  <c r="L285" i="42"/>
  <c r="M284" i="42"/>
  <c r="N284" i="42"/>
  <c r="O284" i="42"/>
  <c r="O285" i="40"/>
  <c r="M285" i="40"/>
  <c r="N285" i="40" s="1"/>
  <c r="L286" i="40"/>
  <c r="M285" i="42"/>
  <c r="N285" i="42" s="1"/>
  <c r="L286" i="42"/>
  <c r="O285" i="42"/>
  <c r="L287" i="40"/>
  <c r="O286" i="40"/>
  <c r="M286" i="40"/>
  <c r="N286" i="40"/>
  <c r="L287" i="42"/>
  <c r="M286" i="42"/>
  <c r="N286" i="42" s="1"/>
  <c r="O286" i="42"/>
  <c r="O287" i="40"/>
  <c r="M287" i="40"/>
  <c r="N287" i="40" s="1"/>
  <c r="L288" i="40"/>
  <c r="L288" i="42"/>
  <c r="M287" i="42"/>
  <c r="N287" i="42" s="1"/>
  <c r="O287" i="42"/>
  <c r="O288" i="40"/>
  <c r="L289" i="40"/>
  <c r="M288" i="40"/>
  <c r="N288" i="40" s="1"/>
  <c r="M288" i="42"/>
  <c r="L289" i="42"/>
  <c r="N288" i="42"/>
  <c r="O288" i="42"/>
  <c r="O289" i="40"/>
  <c r="L290" i="40"/>
  <c r="M289" i="40"/>
  <c r="N289" i="40" s="1"/>
  <c r="L290" i="42"/>
  <c r="M289" i="42"/>
  <c r="N289" i="42"/>
  <c r="O289" i="42"/>
  <c r="O290" i="40"/>
  <c r="M290" i="40"/>
  <c r="N290" i="40" s="1"/>
  <c r="L291" i="40"/>
  <c r="L291" i="42"/>
  <c r="M290" i="42"/>
  <c r="N290" i="42" s="1"/>
  <c r="O290" i="42"/>
  <c r="O291" i="40"/>
  <c r="M291" i="40"/>
  <c r="N291" i="40" s="1"/>
  <c r="L292" i="40"/>
  <c r="L292" i="42"/>
  <c r="M291" i="42"/>
  <c r="N291" i="42" s="1"/>
  <c r="O291" i="42"/>
  <c r="O292" i="40"/>
  <c r="M292" i="40"/>
  <c r="N292" i="40"/>
  <c r="L293" i="40"/>
  <c r="M292" i="42"/>
  <c r="N292" i="42" s="1"/>
  <c r="L293" i="42"/>
  <c r="O292" i="42"/>
  <c r="O293" i="40"/>
  <c r="L294" i="40"/>
  <c r="M293" i="40"/>
  <c r="N293" i="40" s="1"/>
  <c r="M293" i="42"/>
  <c r="N293" i="42" s="1"/>
  <c r="L294" i="42"/>
  <c r="O293" i="42"/>
  <c r="L295" i="40"/>
  <c r="O294" i="40"/>
  <c r="M294" i="40"/>
  <c r="N294" i="40" s="1"/>
  <c r="M294" i="42"/>
  <c r="N294" i="42" s="1"/>
  <c r="L295" i="42"/>
  <c r="O294" i="42"/>
  <c r="O295" i="40"/>
  <c r="M295" i="40"/>
  <c r="N295" i="40" s="1"/>
  <c r="L296" i="40"/>
  <c r="L296" i="42"/>
  <c r="M295" i="42"/>
  <c r="N295" i="42" s="1"/>
  <c r="O295" i="42"/>
  <c r="O296" i="40"/>
  <c r="L297" i="40"/>
  <c r="M296" i="40"/>
  <c r="N296" i="40" s="1"/>
  <c r="M296" i="42"/>
  <c r="L297" i="42"/>
  <c r="N296" i="42"/>
  <c r="O296" i="42"/>
  <c r="O297" i="40"/>
  <c r="L298" i="40"/>
  <c r="M297" i="40"/>
  <c r="N297" i="40" s="1"/>
  <c r="L298" i="42"/>
  <c r="M297" i="42"/>
  <c r="N297" i="42" s="1"/>
  <c r="O297" i="42"/>
  <c r="L299" i="40"/>
  <c r="M298" i="40"/>
  <c r="O298" i="40"/>
  <c r="N298" i="40"/>
  <c r="L299" i="42"/>
  <c r="M298" i="42"/>
  <c r="N298" i="42" s="1"/>
  <c r="O298" i="42"/>
  <c r="O299" i="40"/>
  <c r="M299" i="40"/>
  <c r="N299" i="40" s="1"/>
  <c r="L300" i="40"/>
  <c r="L300" i="42"/>
  <c r="M299" i="42"/>
  <c r="N299" i="42" s="1"/>
  <c r="O299" i="42"/>
  <c r="O300" i="40"/>
  <c r="M300" i="40"/>
  <c r="N300" i="40" s="1"/>
  <c r="L301" i="40"/>
  <c r="L301" i="42"/>
  <c r="M300" i="42"/>
  <c r="N300" i="42" s="1"/>
  <c r="O300" i="42"/>
  <c r="O301" i="40"/>
  <c r="M301" i="40"/>
  <c r="N301" i="40" s="1"/>
  <c r="L302" i="40"/>
  <c r="M301" i="42"/>
  <c r="N301" i="42" s="1"/>
  <c r="L302" i="42"/>
  <c r="O301" i="42"/>
  <c r="O302" i="40"/>
  <c r="L303" i="40"/>
  <c r="M302" i="40"/>
  <c r="N302" i="40" s="1"/>
  <c r="L303" i="42"/>
  <c r="M302" i="42"/>
  <c r="N302" i="42" s="1"/>
  <c r="O302" i="42"/>
  <c r="O303" i="40"/>
  <c r="M303" i="40"/>
  <c r="N303" i="40" s="1"/>
  <c r="L304" i="40"/>
  <c r="L304" i="42"/>
  <c r="M303" i="42"/>
  <c r="N303" i="42" s="1"/>
  <c r="O303" i="42"/>
  <c r="O304" i="40"/>
  <c r="L305" i="40"/>
  <c r="M304" i="40"/>
  <c r="N304" i="40" s="1"/>
  <c r="M304" i="42"/>
  <c r="L305" i="42"/>
  <c r="N304" i="42"/>
  <c r="O304" i="42"/>
  <c r="O305" i="40"/>
  <c r="L306" i="40"/>
  <c r="M305" i="40"/>
  <c r="N305" i="40" s="1"/>
  <c r="L306" i="42"/>
  <c r="M305" i="42"/>
  <c r="N305" i="42"/>
  <c r="O305" i="42"/>
  <c r="O306" i="40"/>
  <c r="M306" i="40"/>
  <c r="N306" i="40" s="1"/>
  <c r="L307" i="40"/>
  <c r="L307" i="42"/>
  <c r="M306" i="42"/>
  <c r="N306" i="42" s="1"/>
  <c r="O306" i="42"/>
  <c r="O307" i="40"/>
  <c r="M307" i="40"/>
  <c r="N307" i="40" s="1"/>
  <c r="L308" i="40"/>
  <c r="L308" i="42"/>
  <c r="M307" i="42"/>
  <c r="N307" i="42" s="1"/>
  <c r="O307" i="42"/>
  <c r="L309" i="40"/>
  <c r="O308" i="40"/>
  <c r="M308" i="40"/>
  <c r="N308" i="40" s="1"/>
  <c r="M308" i="42"/>
  <c r="N308" i="42" s="1"/>
  <c r="L309" i="42"/>
  <c r="O308" i="42"/>
  <c r="M309" i="40"/>
  <c r="O309" i="40"/>
  <c r="N309" i="40"/>
  <c r="L310" i="40"/>
  <c r="M309" i="42"/>
  <c r="N309" i="42" s="1"/>
  <c r="L310" i="42"/>
  <c r="O309" i="42"/>
  <c r="O310" i="40"/>
  <c r="M310" i="40"/>
  <c r="N310" i="40"/>
  <c r="L311" i="40"/>
  <c r="L311" i="42"/>
  <c r="M310" i="42"/>
  <c r="N310" i="42" s="1"/>
  <c r="O310" i="42"/>
  <c r="O311" i="40"/>
  <c r="M311" i="40"/>
  <c r="N311" i="40" s="1"/>
  <c r="L312" i="40"/>
  <c r="L312" i="42"/>
  <c r="M311" i="42"/>
  <c r="N311" i="42" s="1"/>
  <c r="O311" i="42"/>
  <c r="O312" i="40"/>
  <c r="L313" i="40"/>
  <c r="M312" i="40"/>
  <c r="N312" i="40" s="1"/>
  <c r="M312" i="42"/>
  <c r="L313" i="42"/>
  <c r="N312" i="42"/>
  <c r="O312" i="42"/>
  <c r="O313" i="40"/>
  <c r="L314" i="40"/>
  <c r="M313" i="40"/>
  <c r="N313" i="40" s="1"/>
  <c r="L314" i="42"/>
  <c r="M313" i="42"/>
  <c r="N313" i="42" s="1"/>
  <c r="O313" i="42"/>
  <c r="L315" i="40"/>
  <c r="M314" i="40"/>
  <c r="O314" i="40"/>
  <c r="N314" i="40"/>
  <c r="L315" i="42"/>
  <c r="M314" i="42"/>
  <c r="N314" i="42" s="1"/>
  <c r="O314" i="42"/>
  <c r="O315" i="40"/>
  <c r="M315" i="40"/>
  <c r="N315" i="40" s="1"/>
  <c r="L316" i="40"/>
  <c r="L316" i="42"/>
  <c r="M315" i="42"/>
  <c r="N315" i="42" s="1"/>
  <c r="O315" i="42"/>
  <c r="O316" i="40"/>
  <c r="L317" i="40"/>
  <c r="M316" i="40"/>
  <c r="N316" i="40" s="1"/>
  <c r="M316" i="42"/>
  <c r="L317" i="42"/>
  <c r="N316" i="42"/>
  <c r="O316" i="42"/>
  <c r="O317" i="40"/>
  <c r="M317" i="40"/>
  <c r="N317" i="40" s="1"/>
  <c r="L318" i="40"/>
  <c r="M317" i="42"/>
  <c r="N317" i="42"/>
  <c r="L318" i="42"/>
  <c r="O317" i="42"/>
  <c r="M318" i="40"/>
  <c r="O318" i="40"/>
  <c r="N318" i="40"/>
  <c r="L319" i="40"/>
  <c r="L319" i="42"/>
  <c r="M318" i="42"/>
  <c r="N318" i="42"/>
  <c r="O318" i="42"/>
  <c r="O319" i="40"/>
  <c r="M319" i="40"/>
  <c r="N319" i="40" s="1"/>
  <c r="L320" i="40"/>
  <c r="L320" i="42"/>
  <c r="M319" i="42"/>
  <c r="N319" i="42"/>
  <c r="O319" i="42"/>
  <c r="O320" i="40"/>
  <c r="L321" i="40"/>
  <c r="M320" i="40"/>
  <c r="N320" i="40" s="1"/>
  <c r="M320" i="42"/>
  <c r="L321" i="42"/>
  <c r="N320" i="42"/>
  <c r="O320" i="42"/>
  <c r="O321" i="40"/>
  <c r="M321" i="40"/>
  <c r="N321" i="40" s="1"/>
  <c r="L322" i="40"/>
  <c r="M321" i="42"/>
  <c r="L322" i="42"/>
  <c r="N321" i="42"/>
  <c r="O321" i="42"/>
  <c r="O322" i="40"/>
  <c r="L323" i="40"/>
  <c r="M322" i="40"/>
  <c r="N322" i="40" s="1"/>
  <c r="L323" i="42"/>
  <c r="M322" i="42"/>
  <c r="N322" i="42" s="1"/>
  <c r="O322" i="42"/>
  <c r="O323" i="40"/>
  <c r="M323" i="40"/>
  <c r="N323" i="40"/>
  <c r="L324" i="40"/>
  <c r="L324" i="42"/>
  <c r="M323" i="42"/>
  <c r="N323" i="42" s="1"/>
  <c r="O323" i="42"/>
  <c r="O324" i="40"/>
  <c r="L325" i="40"/>
  <c r="M324" i="40"/>
  <c r="N324" i="40" s="1"/>
  <c r="L325" i="42"/>
  <c r="M324" i="42"/>
  <c r="N324" i="42"/>
  <c r="O324" i="42"/>
  <c r="O325" i="40"/>
  <c r="L326" i="40"/>
  <c r="M325" i="40"/>
  <c r="N325" i="40" s="1"/>
  <c r="M325" i="42"/>
  <c r="N325" i="42" s="1"/>
  <c r="L326" i="42"/>
  <c r="O325" i="42"/>
  <c r="O326" i="40"/>
  <c r="L327" i="40"/>
  <c r="M326" i="40"/>
  <c r="N326" i="40" s="1"/>
  <c r="L327" i="42"/>
  <c r="M326" i="42"/>
  <c r="N326" i="42"/>
  <c r="O326" i="42"/>
  <c r="O327" i="40"/>
  <c r="M327" i="40"/>
  <c r="N327" i="40" s="1"/>
  <c r="L328" i="40"/>
  <c r="L328" i="42"/>
  <c r="M327" i="42"/>
  <c r="N327" i="42" s="1"/>
  <c r="O327" i="42"/>
  <c r="O328" i="40"/>
  <c r="L329" i="40"/>
  <c r="M328" i="40"/>
  <c r="N328" i="40" s="1"/>
  <c r="M328" i="42"/>
  <c r="L329" i="42"/>
  <c r="N328" i="42"/>
  <c r="O328" i="42"/>
  <c r="O329" i="40"/>
  <c r="M329" i="40"/>
  <c r="N329" i="40" s="1"/>
  <c r="L330" i="40"/>
  <c r="L330" i="42"/>
  <c r="M329" i="42"/>
  <c r="N329" i="42"/>
  <c r="O329" i="42"/>
  <c r="M330" i="40"/>
  <c r="O330" i="40"/>
  <c r="N330" i="40"/>
  <c r="L331" i="40"/>
  <c r="L331" i="42"/>
  <c r="M330" i="42"/>
  <c r="N330" i="42" s="1"/>
  <c r="O330" i="42"/>
  <c r="O331" i="40"/>
  <c r="M331" i="40"/>
  <c r="N331" i="40" s="1"/>
  <c r="L332" i="40"/>
  <c r="L332" i="42"/>
  <c r="M331" i="42"/>
  <c r="N331" i="42" s="1"/>
  <c r="O331" i="42"/>
  <c r="O332" i="40"/>
  <c r="L333" i="40"/>
  <c r="M332" i="40"/>
  <c r="N332" i="40" s="1"/>
  <c r="L333" i="42"/>
  <c r="M332" i="42"/>
  <c r="N332" i="42" s="1"/>
  <c r="O332" i="42"/>
  <c r="M333" i="40"/>
  <c r="N333" i="40" s="1"/>
  <c r="O333" i="40"/>
  <c r="L334" i="40"/>
  <c r="M333" i="42"/>
  <c r="N333" i="42" s="1"/>
  <c r="L334" i="42"/>
  <c r="O333" i="42"/>
  <c r="M334" i="40"/>
  <c r="O334" i="40"/>
  <c r="L335" i="40"/>
  <c r="N334" i="40"/>
  <c r="L335" i="42"/>
  <c r="M334" i="42"/>
  <c r="N334" i="42" s="1"/>
  <c r="O334" i="42"/>
  <c r="O335" i="40"/>
  <c r="M335" i="40"/>
  <c r="N335" i="40" s="1"/>
  <c r="L336" i="40"/>
  <c r="L336" i="42"/>
  <c r="M335" i="42"/>
  <c r="N335" i="42"/>
  <c r="O335" i="42"/>
  <c r="O336" i="40"/>
  <c r="L337" i="40"/>
  <c r="M336" i="40"/>
  <c r="N336" i="40" s="1"/>
  <c r="M336" i="42"/>
  <c r="L337" i="42"/>
  <c r="N336" i="42"/>
  <c r="O336" i="42"/>
  <c r="O337" i="40"/>
  <c r="M337" i="40"/>
  <c r="N337" i="40" s="1"/>
  <c r="L338" i="40"/>
  <c r="M337" i="42"/>
  <c r="L338" i="42"/>
  <c r="N337" i="42"/>
  <c r="O337" i="42"/>
  <c r="L339" i="40"/>
  <c r="M338" i="40"/>
  <c r="O338" i="40"/>
  <c r="N338" i="40"/>
  <c r="L339" i="42"/>
  <c r="M338" i="42"/>
  <c r="N338" i="42" s="1"/>
  <c r="O338" i="42"/>
  <c r="O339" i="40"/>
  <c r="M339" i="40"/>
  <c r="N339" i="40"/>
  <c r="L340" i="40"/>
  <c r="L340" i="42"/>
  <c r="M339" i="42"/>
  <c r="N339" i="42" s="1"/>
  <c r="O339" i="42"/>
  <c r="O340" i="40"/>
  <c r="M340" i="40"/>
  <c r="N340" i="40" s="1"/>
  <c r="L341" i="40"/>
  <c r="L341" i="42"/>
  <c r="M340" i="42"/>
  <c r="N340" i="42" s="1"/>
  <c r="O340" i="42"/>
  <c r="O341" i="40"/>
  <c r="L342" i="40"/>
  <c r="M341" i="40"/>
  <c r="N341" i="40" s="1"/>
  <c r="M341" i="42"/>
  <c r="N341" i="42" s="1"/>
  <c r="L342" i="42"/>
  <c r="O341" i="42"/>
  <c r="L343" i="40"/>
  <c r="O342" i="40"/>
  <c r="M342" i="40"/>
  <c r="N342" i="40"/>
  <c r="M342" i="42"/>
  <c r="N342" i="42" s="1"/>
  <c r="L343" i="42"/>
  <c r="O342" i="42"/>
  <c r="O343" i="40"/>
  <c r="M343" i="40"/>
  <c r="N343" i="40"/>
  <c r="L344" i="40"/>
  <c r="L344" i="42"/>
  <c r="M343" i="42"/>
  <c r="N343" i="42"/>
  <c r="O343" i="42"/>
  <c r="O344" i="40"/>
  <c r="M344" i="40"/>
  <c r="N344" i="40" s="1"/>
  <c r="L345" i="40"/>
  <c r="M344" i="42"/>
  <c r="L345" i="42"/>
  <c r="N344" i="42"/>
  <c r="O344" i="42"/>
  <c r="O345" i="40"/>
  <c r="L346" i="40"/>
  <c r="M345" i="40"/>
  <c r="N345" i="40" s="1"/>
  <c r="L346" i="42"/>
  <c r="M345" i="42"/>
  <c r="N345" i="42" s="1"/>
  <c r="O345" i="42"/>
  <c r="L347" i="40"/>
  <c r="M346" i="40"/>
  <c r="O346" i="40"/>
  <c r="N346" i="40"/>
  <c r="L347" i="42"/>
  <c r="M346" i="42"/>
  <c r="N346" i="42" s="1"/>
  <c r="O346" i="42"/>
  <c r="M347" i="40"/>
  <c r="O347" i="40"/>
  <c r="N347" i="40"/>
  <c r="L348" i="40"/>
  <c r="L348" i="42"/>
  <c r="M347" i="42"/>
  <c r="N347" i="42" s="1"/>
  <c r="O347" i="42"/>
  <c r="O348" i="40"/>
  <c r="M348" i="40"/>
  <c r="N348" i="40" s="1"/>
  <c r="L349" i="40"/>
  <c r="M348" i="42"/>
  <c r="L349" i="42"/>
  <c r="N348" i="42"/>
  <c r="O348" i="42"/>
  <c r="O349" i="40"/>
  <c r="L350" i="40"/>
  <c r="M349" i="40"/>
  <c r="N349" i="40" s="1"/>
  <c r="M349" i="42"/>
  <c r="N349" i="42" s="1"/>
  <c r="L350" i="42"/>
  <c r="O349" i="42"/>
  <c r="L351" i="40"/>
  <c r="O350" i="40"/>
  <c r="M350" i="40"/>
  <c r="N350" i="40" s="1"/>
  <c r="M350" i="42"/>
  <c r="N350" i="42" s="1"/>
  <c r="L351" i="42"/>
  <c r="O350" i="42"/>
  <c r="O351" i="40"/>
  <c r="M351" i="40"/>
  <c r="N351" i="40"/>
  <c r="L352" i="40"/>
  <c r="L352" i="42"/>
  <c r="M351" i="42"/>
  <c r="N351" i="42" s="1"/>
  <c r="O351" i="42"/>
  <c r="O352" i="40"/>
  <c r="L353" i="40"/>
  <c r="M352" i="40"/>
  <c r="N352" i="40" s="1"/>
  <c r="M352" i="42"/>
  <c r="L353" i="42"/>
  <c r="N352" i="42"/>
  <c r="O352" i="42"/>
  <c r="M353" i="40"/>
  <c r="O353" i="40"/>
  <c r="N353" i="40"/>
  <c r="L354" i="40"/>
  <c r="L354" i="42"/>
  <c r="M353" i="42"/>
  <c r="N353" i="42" s="1"/>
  <c r="O353" i="42"/>
  <c r="O354" i="40"/>
  <c r="L355" i="40"/>
  <c r="M354" i="40"/>
  <c r="N354" i="40" s="1"/>
  <c r="L355" i="42"/>
  <c r="M354" i="42"/>
  <c r="N354" i="42" s="1"/>
  <c r="O354" i="42"/>
  <c r="M355" i="40"/>
  <c r="O355" i="40"/>
  <c r="N355" i="40"/>
  <c r="L356" i="40"/>
  <c r="L356" i="42"/>
  <c r="M355" i="42"/>
  <c r="N355" i="42" s="1"/>
  <c r="O355" i="42"/>
  <c r="O356" i="40"/>
  <c r="L357" i="40"/>
  <c r="M356" i="40"/>
  <c r="N356" i="40" s="1"/>
  <c r="L357" i="42"/>
  <c r="M356" i="42"/>
  <c r="N356" i="42" s="1"/>
  <c r="O356" i="42"/>
  <c r="O357" i="40"/>
  <c r="M357" i="40"/>
  <c r="N357" i="40" s="1"/>
  <c r="L358" i="40"/>
  <c r="M357" i="42"/>
  <c r="N357" i="42" s="1"/>
  <c r="L358" i="42"/>
  <c r="O357" i="42"/>
  <c r="O358" i="40"/>
  <c r="L359" i="40"/>
  <c r="M358" i="40"/>
  <c r="N358" i="40" s="1"/>
  <c r="M358" i="42"/>
  <c r="L359" i="42"/>
  <c r="N358" i="42"/>
  <c r="O358" i="42"/>
  <c r="O359" i="40"/>
  <c r="M359" i="40"/>
  <c r="N359" i="40" s="1"/>
  <c r="L360" i="40"/>
  <c r="L360" i="42"/>
  <c r="M359" i="42"/>
  <c r="N359" i="42" s="1"/>
  <c r="O359" i="42"/>
  <c r="O360" i="40"/>
  <c r="L361" i="40"/>
  <c r="M360" i="40"/>
  <c r="N360" i="40" s="1"/>
  <c r="M360" i="42"/>
  <c r="L361" i="42"/>
  <c r="N360" i="42"/>
  <c r="O360" i="42"/>
  <c r="L362" i="40"/>
  <c r="M361" i="40"/>
  <c r="N361" i="40"/>
  <c r="O361" i="40"/>
  <c r="L362" i="42"/>
  <c r="M361" i="42"/>
  <c r="N361" i="42" s="1"/>
  <c r="O361" i="42"/>
  <c r="O362" i="40"/>
  <c r="M362" i="40"/>
  <c r="N362" i="40" s="1"/>
  <c r="L363" i="40"/>
  <c r="L363" i="42"/>
  <c r="M362" i="42"/>
  <c r="N362" i="42" s="1"/>
  <c r="O362" i="42"/>
  <c r="O363" i="40"/>
  <c r="M363" i="40"/>
  <c r="N363" i="40" s="1"/>
  <c r="L364" i="40"/>
  <c r="L364" i="42"/>
  <c r="M363" i="42"/>
  <c r="N363" i="42" s="1"/>
  <c r="O363" i="42"/>
  <c r="O364" i="40"/>
  <c r="M364" i="40"/>
  <c r="N364" i="40" s="1"/>
  <c r="L365" i="40"/>
  <c r="L365" i="42"/>
  <c r="M364" i="42"/>
  <c r="N364" i="42"/>
  <c r="O364" i="42"/>
  <c r="O365" i="40"/>
  <c r="M365" i="40"/>
  <c r="N365" i="40" s="1"/>
  <c r="L366" i="40"/>
  <c r="M365" i="42"/>
  <c r="N365" i="42" s="1"/>
  <c r="L366" i="42"/>
  <c r="O365" i="42"/>
  <c r="M366" i="40"/>
  <c r="L367" i="40"/>
  <c r="O366" i="40"/>
  <c r="N366" i="40"/>
  <c r="M366" i="42"/>
  <c r="L367" i="42"/>
  <c r="N366" i="42"/>
  <c r="O366" i="42"/>
  <c r="O367" i="40"/>
  <c r="M367" i="40"/>
  <c r="N367" i="40" s="1"/>
  <c r="L368" i="40"/>
  <c r="L368" i="42"/>
  <c r="M367" i="42"/>
  <c r="N367" i="42" s="1"/>
  <c r="O367" i="42"/>
  <c r="O368" i="40"/>
  <c r="L369" i="40"/>
  <c r="M368" i="40"/>
  <c r="N368" i="40" s="1"/>
  <c r="M368" i="42"/>
  <c r="L369" i="42"/>
  <c r="N368" i="42"/>
  <c r="O368" i="42"/>
  <c r="L370" i="40"/>
  <c r="O369" i="40"/>
  <c r="M369" i="40"/>
  <c r="N369" i="40"/>
  <c r="L370" i="42"/>
  <c r="M369" i="42"/>
  <c r="N369" i="42" s="1"/>
  <c r="O369" i="42"/>
  <c r="O370" i="40"/>
  <c r="L371" i="40"/>
  <c r="M370" i="40"/>
  <c r="N370" i="40" s="1"/>
  <c r="L371" i="42"/>
  <c r="M370" i="42"/>
  <c r="N370" i="42" s="1"/>
  <c r="O370" i="42"/>
  <c r="O371" i="40"/>
  <c r="M371" i="40"/>
  <c r="N371" i="40"/>
  <c r="L372" i="40"/>
  <c r="L372" i="42"/>
  <c r="M371" i="42"/>
  <c r="N371" i="42" s="1"/>
  <c r="O371" i="42"/>
  <c r="O372" i="40"/>
  <c r="L373" i="40"/>
  <c r="M372" i="40"/>
  <c r="N372" i="40" s="1"/>
  <c r="L373" i="42"/>
  <c r="M372" i="42"/>
  <c r="N372" i="42" s="1"/>
  <c r="O372" i="42"/>
  <c r="O373" i="40"/>
  <c r="M373" i="40"/>
  <c r="N373" i="40" s="1"/>
  <c r="L374" i="40"/>
  <c r="M373" i="42"/>
  <c r="N373" i="42"/>
  <c r="L374" i="42"/>
  <c r="O373" i="42"/>
  <c r="L375" i="40"/>
  <c r="M374" i="40"/>
  <c r="O374" i="40"/>
  <c r="N374" i="40"/>
  <c r="L375" i="42"/>
  <c r="M374" i="42"/>
  <c r="N374" i="42" s="1"/>
  <c r="O374" i="42"/>
  <c r="O375" i="40"/>
  <c r="M375" i="40"/>
  <c r="N375" i="40"/>
  <c r="L376" i="40"/>
  <c r="L376" i="42"/>
  <c r="M375" i="42"/>
  <c r="N375" i="42" s="1"/>
  <c r="O375" i="42"/>
  <c r="O376" i="40"/>
  <c r="M376" i="40"/>
  <c r="N376" i="40" s="1"/>
  <c r="L377" i="40"/>
  <c r="M376" i="42"/>
  <c r="L377" i="42"/>
  <c r="N376" i="42"/>
  <c r="O376" i="42"/>
  <c r="O377" i="40"/>
  <c r="L378" i="40"/>
  <c r="M377" i="40"/>
  <c r="N377" i="40" s="1"/>
  <c r="L378" i="42"/>
  <c r="M377" i="42"/>
  <c r="N377" i="42" s="1"/>
  <c r="O377" i="42"/>
  <c r="O378" i="40"/>
  <c r="L379" i="40"/>
  <c r="M378" i="40"/>
  <c r="N378" i="40" s="1"/>
  <c r="L379" i="42"/>
  <c r="M378" i="42"/>
  <c r="N378" i="42" s="1"/>
  <c r="O378" i="42"/>
  <c r="O379" i="40"/>
  <c r="M379" i="40"/>
  <c r="N379" i="40"/>
  <c r="L380" i="40"/>
  <c r="L380" i="42"/>
  <c r="M379" i="42"/>
  <c r="N379" i="42" s="1"/>
  <c r="O379" i="42"/>
  <c r="O380" i="40"/>
  <c r="M380" i="40"/>
  <c r="N380" i="40" s="1"/>
  <c r="L381" i="40"/>
  <c r="L381" i="42"/>
  <c r="M380" i="42"/>
  <c r="N380" i="42" s="1"/>
  <c r="O380" i="42"/>
  <c r="O381" i="40"/>
  <c r="L382" i="40"/>
  <c r="M381" i="40"/>
  <c r="N381" i="40" s="1"/>
  <c r="M381" i="42"/>
  <c r="N381" i="42"/>
  <c r="L382" i="42"/>
  <c r="O381" i="42"/>
  <c r="L383" i="40"/>
  <c r="O382" i="40"/>
  <c r="M382" i="40"/>
  <c r="N382" i="40" s="1"/>
  <c r="L383" i="42"/>
  <c r="M382" i="42"/>
  <c r="N382" i="42" s="1"/>
  <c r="O382" i="42"/>
  <c r="M383" i="40"/>
  <c r="O383" i="40"/>
  <c r="N383" i="40"/>
  <c r="L384" i="40"/>
  <c r="L384" i="42"/>
  <c r="M383" i="42"/>
  <c r="N383" i="42" s="1"/>
  <c r="O383" i="42"/>
  <c r="O384" i="40"/>
  <c r="M384" i="40"/>
  <c r="N384" i="40" s="1"/>
  <c r="L385" i="40"/>
  <c r="M384" i="42"/>
  <c r="L385" i="42"/>
  <c r="N384" i="42"/>
  <c r="O384" i="42"/>
  <c r="O385" i="40"/>
  <c r="M385" i="40"/>
  <c r="N385" i="40" s="1"/>
  <c r="L386" i="40"/>
  <c r="M385" i="42"/>
  <c r="L386" i="42"/>
  <c r="N385" i="42"/>
  <c r="O385" i="42"/>
  <c r="O386" i="40"/>
  <c r="L387" i="40"/>
  <c r="M386" i="40"/>
  <c r="N386" i="40" s="1"/>
  <c r="L387" i="42"/>
  <c r="M386" i="42"/>
  <c r="N386" i="42" s="1"/>
  <c r="O386" i="42"/>
  <c r="O387" i="40"/>
  <c r="M387" i="40"/>
  <c r="N387" i="40"/>
  <c r="L388" i="40"/>
  <c r="L388" i="42"/>
  <c r="M387" i="42"/>
  <c r="N387" i="42" s="1"/>
  <c r="O387" i="42"/>
  <c r="O388" i="40"/>
  <c r="M388" i="40"/>
  <c r="N388" i="40" s="1"/>
  <c r="L389" i="40"/>
  <c r="M388" i="42"/>
  <c r="N388" i="42" s="1"/>
  <c r="L389" i="42"/>
  <c r="O388" i="42"/>
  <c r="O389" i="40"/>
  <c r="M389" i="40"/>
  <c r="N389" i="40" s="1"/>
  <c r="L390" i="40"/>
  <c r="M389" i="42"/>
  <c r="N389" i="42" s="1"/>
  <c r="L390" i="42"/>
  <c r="O389" i="42"/>
  <c r="O390" i="40"/>
  <c r="L391" i="40"/>
  <c r="M390" i="40"/>
  <c r="N390" i="40" s="1"/>
  <c r="L391" i="42"/>
  <c r="M390" i="42"/>
  <c r="N390" i="42" s="1"/>
  <c r="O390" i="42"/>
  <c r="O391" i="40"/>
  <c r="M391" i="40"/>
  <c r="N391" i="40" s="1"/>
  <c r="L392" i="40"/>
  <c r="L392" i="42"/>
  <c r="M391" i="42"/>
  <c r="N391" i="42" s="1"/>
  <c r="O391" i="42"/>
  <c r="M392" i="40"/>
  <c r="O392" i="40"/>
  <c r="N392" i="40"/>
  <c r="L393" i="40"/>
  <c r="M392" i="42"/>
  <c r="L393" i="42"/>
  <c r="N392" i="42"/>
  <c r="O392" i="42"/>
  <c r="O393" i="40"/>
  <c r="M393" i="40"/>
  <c r="N393" i="40" s="1"/>
  <c r="L394" i="40"/>
  <c r="L394" i="42"/>
  <c r="M393" i="42"/>
  <c r="N393" i="42" s="1"/>
  <c r="O393" i="42"/>
  <c r="M394" i="40"/>
  <c r="O394" i="40"/>
  <c r="N394" i="40"/>
  <c r="L395" i="40"/>
  <c r="L395" i="42"/>
  <c r="M394" i="42"/>
  <c r="N394" i="42" s="1"/>
  <c r="O394" i="42"/>
  <c r="O395" i="40"/>
  <c r="M395" i="40"/>
  <c r="N395" i="40" s="1"/>
  <c r="L396" i="40"/>
  <c r="L396" i="42"/>
  <c r="M395" i="42"/>
  <c r="N395" i="42" s="1"/>
  <c r="O395" i="42"/>
  <c r="O396" i="40"/>
  <c r="M396" i="40"/>
  <c r="N396" i="40" s="1"/>
  <c r="L397" i="40"/>
  <c r="L397" i="42"/>
  <c r="M396" i="42"/>
  <c r="N396" i="42" s="1"/>
  <c r="O396" i="42"/>
  <c r="L398" i="40"/>
  <c r="O397" i="40"/>
  <c r="M397" i="40"/>
  <c r="N397" i="40" s="1"/>
  <c r="M397" i="42"/>
  <c r="N397" i="42" s="1"/>
  <c r="L398" i="42"/>
  <c r="O397" i="42"/>
  <c r="L399" i="40"/>
  <c r="O398" i="40"/>
  <c r="M398" i="40"/>
  <c r="N398" i="40" s="1"/>
  <c r="L399" i="42"/>
  <c r="M398" i="42"/>
  <c r="N398" i="42" s="1"/>
  <c r="O398" i="42"/>
  <c r="O399" i="40"/>
  <c r="M399" i="40"/>
  <c r="N399" i="40" s="1"/>
  <c r="L400" i="40"/>
  <c r="L400" i="42"/>
  <c r="M399" i="42"/>
  <c r="N399" i="42" s="1"/>
  <c r="O399" i="42"/>
  <c r="O400" i="40"/>
  <c r="L401" i="40"/>
  <c r="M400" i="40"/>
  <c r="N400" i="40" s="1"/>
  <c r="M400" i="42"/>
  <c r="L401" i="42"/>
  <c r="N400" i="42"/>
  <c r="O400" i="42"/>
  <c r="O401" i="40"/>
  <c r="L402" i="40"/>
  <c r="M401" i="40"/>
  <c r="N401" i="40" s="1"/>
  <c r="L402" i="42"/>
  <c r="M401" i="42"/>
  <c r="N401" i="42" s="1"/>
  <c r="O401" i="42"/>
  <c r="M402" i="40"/>
  <c r="L403" i="40"/>
  <c r="O402" i="40"/>
  <c r="N402" i="40"/>
  <c r="L403" i="42"/>
  <c r="M402" i="42"/>
  <c r="N402" i="42" s="1"/>
  <c r="O402" i="42"/>
  <c r="O403" i="40"/>
  <c r="M403" i="40"/>
  <c r="N403" i="40"/>
  <c r="L404" i="40"/>
  <c r="L404" i="42"/>
  <c r="M403" i="42"/>
  <c r="N403" i="42" s="1"/>
  <c r="O403" i="42"/>
  <c r="O404" i="40"/>
  <c r="M404" i="40"/>
  <c r="N404" i="40" s="1"/>
  <c r="L405" i="40"/>
  <c r="L405" i="42"/>
  <c r="M404" i="42"/>
  <c r="N404" i="42" s="1"/>
  <c r="O404" i="42"/>
  <c r="O405" i="40"/>
  <c r="M405" i="40"/>
  <c r="N405" i="40" s="1"/>
  <c r="L406" i="40"/>
  <c r="M405" i="42"/>
  <c r="N405" i="42" s="1"/>
  <c r="L406" i="42"/>
  <c r="O405" i="42"/>
  <c r="M406" i="40"/>
  <c r="O406" i="40"/>
  <c r="N406" i="40"/>
  <c r="L407" i="40"/>
  <c r="M406" i="42"/>
  <c r="L407" i="42"/>
  <c r="N406" i="42"/>
  <c r="O406" i="42"/>
  <c r="O407" i="40"/>
  <c r="M407" i="40"/>
  <c r="N407" i="40" s="1"/>
  <c r="L408" i="40"/>
  <c r="L408" i="42"/>
  <c r="M407" i="42"/>
  <c r="N407" i="42"/>
  <c r="O407" i="42"/>
  <c r="O408" i="40"/>
  <c r="M408" i="40"/>
  <c r="N408" i="40" s="1"/>
  <c r="L409" i="40"/>
  <c r="M408" i="42"/>
  <c r="L409" i="42"/>
  <c r="N408" i="42"/>
  <c r="O408" i="42"/>
  <c r="O409" i="40"/>
  <c r="L410" i="40"/>
  <c r="M409" i="40"/>
  <c r="N409" i="40" s="1"/>
  <c r="M409" i="42"/>
  <c r="N409" i="42" s="1"/>
  <c r="L410" i="42"/>
  <c r="O409" i="42"/>
  <c r="M410" i="40"/>
  <c r="L411" i="40"/>
  <c r="O410" i="40"/>
  <c r="N410" i="40"/>
  <c r="L411" i="42"/>
  <c r="M410" i="42"/>
  <c r="N410" i="42" s="1"/>
  <c r="O410" i="42"/>
  <c r="O411" i="40"/>
  <c r="M411" i="40"/>
  <c r="N411" i="40"/>
  <c r="L412" i="40"/>
  <c r="L412" i="42"/>
  <c r="M411" i="42"/>
  <c r="N411" i="42" s="1"/>
  <c r="O411" i="42"/>
  <c r="M412" i="40"/>
  <c r="L413" i="40"/>
  <c r="O412" i="40"/>
  <c r="N412" i="40"/>
  <c r="M412" i="42"/>
  <c r="L413" i="42"/>
  <c r="N412" i="42"/>
  <c r="O412" i="42"/>
  <c r="O413" i="40"/>
  <c r="M413" i="40"/>
  <c r="N413" i="40" s="1"/>
  <c r="L414" i="40"/>
  <c r="M413" i="42"/>
  <c r="N413" i="42" s="1"/>
  <c r="L414" i="42"/>
  <c r="O413" i="42"/>
  <c r="O414" i="40"/>
  <c r="M414" i="40"/>
  <c r="N414" i="40" s="1"/>
  <c r="L415" i="40"/>
  <c r="M414" i="42"/>
  <c r="L415" i="42"/>
  <c r="N414" i="42"/>
  <c r="O414" i="42"/>
  <c r="O415" i="40"/>
  <c r="M415" i="40"/>
  <c r="N415" i="40" s="1"/>
  <c r="L416" i="40"/>
  <c r="L416" i="42"/>
  <c r="M415" i="42"/>
  <c r="N415" i="42" s="1"/>
  <c r="O415" i="42"/>
  <c r="O416" i="40"/>
  <c r="M416" i="40"/>
  <c r="N416" i="40" s="1"/>
  <c r="L417" i="40"/>
  <c r="M416" i="42"/>
  <c r="L417" i="42"/>
  <c r="N416" i="42"/>
  <c r="O416" i="42"/>
  <c r="O417" i="40"/>
  <c r="M417" i="40"/>
  <c r="N417" i="40" s="1"/>
  <c r="L418" i="40"/>
  <c r="M417" i="42"/>
  <c r="N417" i="42"/>
  <c r="L418" i="42"/>
  <c r="O417" i="42"/>
  <c r="O418" i="40"/>
  <c r="L419" i="40"/>
  <c r="M418" i="40"/>
  <c r="N418" i="40" s="1"/>
  <c r="L419" i="42"/>
  <c r="M418" i="42"/>
  <c r="N418" i="42" s="1"/>
  <c r="O418" i="42"/>
  <c r="O419" i="40"/>
  <c r="M419" i="40"/>
  <c r="N419" i="40"/>
  <c r="L420" i="40"/>
  <c r="L420" i="42"/>
  <c r="M419" i="42"/>
  <c r="N419" i="42" s="1"/>
  <c r="O419" i="42"/>
  <c r="M420" i="40"/>
  <c r="L421" i="40"/>
  <c r="O420" i="40"/>
  <c r="N420" i="40"/>
  <c r="M420" i="42"/>
  <c r="N420" i="42"/>
  <c r="L421" i="42"/>
  <c r="O420" i="42"/>
  <c r="O421" i="40"/>
  <c r="M421" i="40"/>
  <c r="N421" i="40" s="1"/>
  <c r="L422" i="40"/>
  <c r="M421" i="42"/>
  <c r="N421" i="42" s="1"/>
  <c r="L422" i="42"/>
  <c r="O421" i="42"/>
  <c r="O422" i="40"/>
  <c r="L423" i="40"/>
  <c r="M422" i="40"/>
  <c r="N422" i="40" s="1"/>
  <c r="M422" i="42"/>
  <c r="L423" i="42"/>
  <c r="N422" i="42"/>
  <c r="O422" i="42"/>
  <c r="O423" i="40"/>
  <c r="M423" i="40"/>
  <c r="N423" i="40" s="1"/>
  <c r="L424" i="40"/>
  <c r="L424" i="42"/>
  <c r="M423" i="42"/>
  <c r="N423" i="42"/>
  <c r="O423" i="42"/>
  <c r="O424" i="40"/>
  <c r="M424" i="40"/>
  <c r="N424" i="40" s="1"/>
  <c r="L425" i="40"/>
  <c r="M424" i="42"/>
  <c r="L425" i="42"/>
  <c r="N424" i="42"/>
  <c r="O424" i="42"/>
  <c r="O425" i="40"/>
  <c r="L426" i="40"/>
  <c r="M425" i="40"/>
  <c r="N425" i="40" s="1"/>
  <c r="M425" i="42"/>
  <c r="N425" i="42" s="1"/>
  <c r="L426" i="42"/>
  <c r="O425" i="42"/>
  <c r="M426" i="40"/>
  <c r="O426" i="40"/>
  <c r="N426" i="40"/>
  <c r="L427" i="40"/>
  <c r="L427" i="42"/>
  <c r="M426" i="42"/>
  <c r="N426" i="42" s="1"/>
  <c r="O426" i="42"/>
  <c r="O427" i="40"/>
  <c r="M427" i="40"/>
  <c r="N427" i="40" s="1"/>
  <c r="L428" i="40"/>
  <c r="L428" i="42"/>
  <c r="M427" i="42"/>
  <c r="N427" i="42" s="1"/>
  <c r="O427" i="42"/>
  <c r="O428" i="40"/>
  <c r="L429" i="40"/>
  <c r="M428" i="40"/>
  <c r="N428" i="40" s="1"/>
  <c r="M428" i="42"/>
  <c r="N428" i="42"/>
  <c r="L429" i="42"/>
  <c r="O428" i="42"/>
  <c r="O429" i="40"/>
  <c r="M429" i="40"/>
  <c r="N429" i="40" s="1"/>
  <c r="L430" i="40"/>
  <c r="M429" i="42"/>
  <c r="N429" i="42" s="1"/>
  <c r="L430" i="42"/>
  <c r="O429" i="42"/>
  <c r="L431" i="40"/>
  <c r="M430" i="40"/>
  <c r="O430" i="40"/>
  <c r="N430" i="40"/>
  <c r="M430" i="42"/>
  <c r="L431" i="42"/>
  <c r="N430" i="42"/>
  <c r="O430" i="42"/>
  <c r="O431" i="40"/>
  <c r="M431" i="40"/>
  <c r="N431" i="40" s="1"/>
  <c r="L432" i="40"/>
  <c r="L432" i="42"/>
  <c r="M431" i="42"/>
  <c r="N431" i="42"/>
  <c r="O431" i="42"/>
  <c r="O432" i="40"/>
  <c r="L433" i="40"/>
  <c r="M432" i="40"/>
  <c r="N432" i="40" s="1"/>
  <c r="M432" i="42"/>
  <c r="L433" i="42"/>
  <c r="N432" i="42"/>
  <c r="O432" i="42"/>
  <c r="O433" i="40"/>
  <c r="L434" i="40"/>
  <c r="M433" i="40"/>
  <c r="N433" i="40" s="1"/>
  <c r="L434" i="42"/>
  <c r="M433" i="42"/>
  <c r="N433" i="42" s="1"/>
  <c r="O433" i="42"/>
  <c r="L435" i="40"/>
  <c r="M434" i="40"/>
  <c r="O434" i="40"/>
  <c r="N434" i="40"/>
  <c r="L435" i="42"/>
  <c r="M434" i="42"/>
  <c r="N434" i="42" s="1"/>
  <c r="O434" i="42"/>
  <c r="O435" i="40"/>
  <c r="M435" i="40"/>
  <c r="N435" i="40" s="1"/>
  <c r="L436" i="40"/>
  <c r="L436" i="42"/>
  <c r="M435" i="42"/>
  <c r="N435" i="42" s="1"/>
  <c r="O435" i="42"/>
  <c r="O436" i="40"/>
  <c r="L437" i="40"/>
  <c r="M436" i="40"/>
  <c r="N436" i="40" s="1"/>
  <c r="L437" i="42"/>
  <c r="M436" i="42"/>
  <c r="N436" i="42" s="1"/>
  <c r="O436" i="42"/>
  <c r="O437" i="40"/>
  <c r="L438" i="40"/>
  <c r="M437" i="40"/>
  <c r="N437" i="40" s="1"/>
  <c r="M437" i="42"/>
  <c r="N437" i="42" s="1"/>
  <c r="L438" i="42"/>
  <c r="O437" i="42"/>
  <c r="M438" i="40"/>
  <c r="L439" i="40"/>
  <c r="O438" i="40"/>
  <c r="N438" i="40"/>
  <c r="M438" i="42"/>
  <c r="N438" i="42" s="1"/>
  <c r="L439" i="42"/>
  <c r="O438" i="42"/>
  <c r="O439" i="40"/>
  <c r="M439" i="40"/>
  <c r="N439" i="40"/>
  <c r="L440" i="40"/>
  <c r="L440" i="42"/>
  <c r="M439" i="42"/>
  <c r="N439" i="42"/>
  <c r="O439" i="42"/>
  <c r="O440" i="40"/>
  <c r="M440" i="40"/>
  <c r="N440" i="40" s="1"/>
  <c r="L441" i="40"/>
  <c r="M440" i="42"/>
  <c r="L441" i="42"/>
  <c r="N440" i="42"/>
  <c r="O440" i="42"/>
  <c r="O441" i="40"/>
  <c r="L442" i="40"/>
  <c r="M441" i="40"/>
  <c r="N441" i="40" s="1"/>
  <c r="L442" i="42"/>
  <c r="M441" i="42"/>
  <c r="N441" i="42" s="1"/>
  <c r="O441" i="42"/>
  <c r="M442" i="40"/>
  <c r="L443" i="40"/>
  <c r="O442" i="40"/>
  <c r="N442" i="40"/>
  <c r="L443" i="42"/>
  <c r="M442" i="42"/>
  <c r="N442" i="42" s="1"/>
  <c r="O442" i="42"/>
  <c r="O443" i="40"/>
  <c r="M443" i="40"/>
  <c r="N443" i="40" s="1"/>
  <c r="L444" i="40"/>
  <c r="L444" i="42"/>
  <c r="M443" i="42"/>
  <c r="N443" i="42" s="1"/>
  <c r="O443" i="42"/>
  <c r="O444" i="40"/>
  <c r="M444" i="40"/>
  <c r="N444" i="40" s="1"/>
  <c r="L445" i="40"/>
  <c r="L445" i="42"/>
  <c r="M444" i="42"/>
  <c r="N444" i="42"/>
  <c r="O444" i="42"/>
  <c r="O445" i="40"/>
  <c r="L446" i="40"/>
  <c r="M445" i="40"/>
  <c r="N445" i="40" s="1"/>
  <c r="M445" i="42"/>
  <c r="N445" i="42"/>
  <c r="L446" i="42"/>
  <c r="O445" i="42"/>
  <c r="L447" i="40"/>
  <c r="O446" i="40"/>
  <c r="M446" i="40"/>
  <c r="N446" i="40" s="1"/>
  <c r="M446" i="42"/>
  <c r="N446" i="42" s="1"/>
  <c r="L447" i="42"/>
  <c r="O446" i="42"/>
  <c r="O447" i="40"/>
  <c r="M447" i="40"/>
  <c r="N447" i="40"/>
  <c r="L448" i="40"/>
  <c r="L448" i="42"/>
  <c r="M447" i="42"/>
  <c r="N447" i="42"/>
  <c r="O447" i="42"/>
  <c r="O448" i="40"/>
  <c r="L449" i="40"/>
  <c r="M448" i="40"/>
  <c r="N448" i="40" s="1"/>
  <c r="M448" i="42"/>
  <c r="L449" i="42"/>
  <c r="N448" i="42"/>
  <c r="O448" i="42"/>
  <c r="M449" i="40"/>
  <c r="O449" i="40"/>
  <c r="N449" i="40"/>
  <c r="L450" i="40"/>
  <c r="L450" i="42"/>
  <c r="M449" i="42"/>
  <c r="N449" i="42" s="1"/>
  <c r="O449" i="42"/>
  <c r="O450" i="40"/>
  <c r="L451" i="40"/>
  <c r="M450" i="40"/>
  <c r="N450" i="40" s="1"/>
  <c r="L451" i="42"/>
  <c r="M450" i="42"/>
  <c r="N450" i="42" s="1"/>
  <c r="O450" i="42"/>
  <c r="O451" i="40"/>
  <c r="M451" i="40"/>
  <c r="N451" i="40" s="1"/>
  <c r="L452" i="40"/>
  <c r="L452" i="42"/>
  <c r="M451" i="42"/>
  <c r="N451" i="42" s="1"/>
  <c r="O451" i="42"/>
  <c r="O452" i="40"/>
  <c r="L453" i="40"/>
  <c r="M452" i="40"/>
  <c r="N452" i="40" s="1"/>
  <c r="L453" i="42"/>
  <c r="M452" i="42"/>
  <c r="N452" i="42" s="1"/>
  <c r="O452" i="42"/>
  <c r="O453" i="40"/>
  <c r="M453" i="40"/>
  <c r="N453" i="40" s="1"/>
  <c r="L454" i="40"/>
  <c r="M453" i="42"/>
  <c r="N453" i="42" s="1"/>
  <c r="L454" i="42"/>
  <c r="O453" i="42"/>
  <c r="O454" i="40"/>
  <c r="L455" i="40"/>
  <c r="M454" i="40"/>
  <c r="N454" i="40" s="1"/>
  <c r="L455" i="42"/>
  <c r="M454" i="42"/>
  <c r="N454" i="42"/>
  <c r="O454" i="42"/>
  <c r="O455" i="40"/>
  <c r="M455" i="40"/>
  <c r="N455" i="40" s="1"/>
  <c r="L456" i="40"/>
  <c r="L456" i="42"/>
  <c r="M455" i="42"/>
  <c r="N455" i="42" s="1"/>
  <c r="O455" i="42"/>
  <c r="L457" i="40"/>
  <c r="O456" i="40"/>
  <c r="M456" i="40"/>
  <c r="N456" i="40" s="1"/>
  <c r="M456" i="42"/>
  <c r="L457" i="42"/>
  <c r="N456" i="42"/>
  <c r="O456" i="42"/>
  <c r="L458" i="40"/>
  <c r="O457" i="40"/>
  <c r="M457" i="40"/>
  <c r="N457" i="40" s="1"/>
  <c r="M457" i="42"/>
  <c r="L458" i="42"/>
  <c r="N457" i="42"/>
  <c r="O457" i="42"/>
  <c r="O458" i="40"/>
  <c r="M458" i="40"/>
  <c r="N458" i="40"/>
  <c r="L459" i="40"/>
  <c r="L459" i="42"/>
  <c r="M458" i="42"/>
  <c r="N458" i="42" s="1"/>
  <c r="O458" i="42"/>
  <c r="O459" i="40"/>
  <c r="M459" i="40"/>
  <c r="N459" i="40" s="1"/>
  <c r="L460" i="40"/>
  <c r="L460" i="42"/>
  <c r="M459" i="42"/>
  <c r="N459" i="42" s="1"/>
  <c r="O459" i="42"/>
  <c r="O460" i="40"/>
  <c r="L461" i="40"/>
  <c r="M460" i="40"/>
  <c r="N460" i="40" s="1"/>
  <c r="L461" i="42"/>
  <c r="M460" i="42"/>
  <c r="N460" i="42" s="1"/>
  <c r="O460" i="42"/>
  <c r="O461" i="40"/>
  <c r="M461" i="40"/>
  <c r="N461" i="40" s="1"/>
  <c r="L462" i="40"/>
  <c r="M461" i="42"/>
  <c r="N461" i="42" s="1"/>
  <c r="L462" i="42"/>
  <c r="O461" i="42"/>
  <c r="M462" i="40"/>
  <c r="L463" i="40"/>
  <c r="O462" i="40"/>
  <c r="N462" i="40"/>
  <c r="L463" i="42"/>
  <c r="M462" i="42"/>
  <c r="N462" i="42"/>
  <c r="O462" i="42"/>
  <c r="O463" i="40"/>
  <c r="M463" i="40"/>
  <c r="N463" i="40" s="1"/>
  <c r="L464" i="40"/>
  <c r="L464" i="42"/>
  <c r="M463" i="42"/>
  <c r="N463" i="42" s="1"/>
  <c r="O463" i="42"/>
  <c r="O464" i="40"/>
  <c r="L465" i="40"/>
  <c r="M464" i="40"/>
  <c r="N464" i="40" s="1"/>
  <c r="M464" i="42"/>
  <c r="L465" i="42"/>
  <c r="N464" i="42"/>
  <c r="O464" i="42"/>
  <c r="M465" i="40"/>
  <c r="N465" i="40" s="1"/>
  <c r="O465" i="40"/>
  <c r="L466" i="40"/>
  <c r="L466" i="42"/>
  <c r="M465" i="42"/>
  <c r="N465" i="42"/>
  <c r="O465" i="42"/>
  <c r="L467" i="40"/>
  <c r="O466" i="40"/>
  <c r="M466" i="40"/>
  <c r="N466" i="40"/>
  <c r="L467" i="42"/>
  <c r="M466" i="42"/>
  <c r="N466" i="42" s="1"/>
  <c r="O466" i="42"/>
  <c r="O467" i="40"/>
  <c r="M467" i="40"/>
  <c r="N467" i="40"/>
  <c r="L468" i="40"/>
  <c r="L468" i="42"/>
  <c r="M467" i="42"/>
  <c r="N467" i="42" s="1"/>
  <c r="O467" i="42"/>
  <c r="O468" i="40"/>
  <c r="L469" i="40"/>
  <c r="M468" i="40"/>
  <c r="N468" i="40" s="1"/>
  <c r="M468" i="42"/>
  <c r="L469" i="42"/>
  <c r="N468" i="42"/>
  <c r="O468" i="42"/>
  <c r="O469" i="40"/>
  <c r="M469" i="40"/>
  <c r="N469" i="40" s="1"/>
  <c r="L470" i="40"/>
  <c r="M469" i="42"/>
  <c r="N469" i="42" s="1"/>
  <c r="L470" i="42"/>
  <c r="O469" i="42"/>
  <c r="L471" i="40"/>
  <c r="M470" i="40"/>
  <c r="O470" i="40"/>
  <c r="N470" i="40"/>
  <c r="L471" i="42"/>
  <c r="M470" i="42"/>
  <c r="N470" i="42" s="1"/>
  <c r="O470" i="42"/>
  <c r="M471" i="40"/>
  <c r="O471" i="40"/>
  <c r="N471" i="40"/>
  <c r="L472" i="40"/>
  <c r="L472" i="42"/>
  <c r="M471" i="42"/>
  <c r="N471" i="42"/>
  <c r="O471" i="42"/>
  <c r="O472" i="40"/>
  <c r="M472" i="40"/>
  <c r="N472" i="40" s="1"/>
  <c r="L473" i="40"/>
  <c r="M472" i="42"/>
  <c r="L473" i="42"/>
  <c r="N472" i="42"/>
  <c r="O472" i="42"/>
  <c r="O473" i="40"/>
  <c r="L474" i="40"/>
  <c r="M473" i="40"/>
  <c r="N473" i="40" s="1"/>
  <c r="L474" i="42"/>
  <c r="M473" i="42"/>
  <c r="N473" i="42"/>
  <c r="O473" i="42"/>
  <c r="L475" i="40"/>
  <c r="O474" i="40"/>
  <c r="M474" i="40"/>
  <c r="N474" i="40"/>
  <c r="L475" i="42"/>
  <c r="M474" i="42"/>
  <c r="N474" i="42" s="1"/>
  <c r="O474" i="42"/>
  <c r="O475" i="40"/>
  <c r="M475" i="40"/>
  <c r="N475" i="40"/>
  <c r="L476" i="40"/>
  <c r="L476" i="42"/>
  <c r="M475" i="42"/>
  <c r="N475" i="42" s="1"/>
  <c r="O475" i="42"/>
  <c r="O476" i="40"/>
  <c r="M476" i="40"/>
  <c r="N476" i="40" s="1"/>
  <c r="L477" i="40"/>
  <c r="L477" i="42"/>
  <c r="M476" i="42"/>
  <c r="N476" i="42" s="1"/>
  <c r="O476" i="42"/>
  <c r="O477" i="40"/>
  <c r="L478" i="40"/>
  <c r="M477" i="40"/>
  <c r="N477" i="40" s="1"/>
  <c r="M477" i="42"/>
  <c r="N477" i="42" s="1"/>
  <c r="L478" i="42"/>
  <c r="O477" i="42"/>
  <c r="M478" i="40"/>
  <c r="O478" i="40"/>
  <c r="N478" i="40"/>
  <c r="L479" i="40"/>
  <c r="M478" i="42"/>
  <c r="N478" i="42" s="1"/>
  <c r="L479" i="42"/>
  <c r="O478" i="42"/>
  <c r="M479" i="40"/>
  <c r="O479" i="40"/>
  <c r="N479" i="40"/>
  <c r="L480" i="40"/>
  <c r="L480" i="42"/>
  <c r="M479" i="42"/>
  <c r="N479" i="42"/>
  <c r="O479" i="42"/>
  <c r="O480" i="40"/>
  <c r="L481" i="40"/>
  <c r="M480" i="40"/>
  <c r="N480" i="40" s="1"/>
  <c r="M480" i="42"/>
  <c r="L481" i="42"/>
  <c r="N480" i="42"/>
  <c r="O480" i="42"/>
  <c r="O481" i="40"/>
  <c r="M481" i="40"/>
  <c r="N481" i="40" s="1"/>
  <c r="L482" i="40"/>
  <c r="L482" i="42"/>
  <c r="M481" i="42"/>
  <c r="N481" i="42" s="1"/>
  <c r="O481" i="42"/>
  <c r="O482" i="40"/>
  <c r="L483" i="40"/>
  <c r="M482" i="40"/>
  <c r="N482" i="40" s="1"/>
  <c r="L483" i="42"/>
  <c r="M482" i="42"/>
  <c r="N482" i="42" s="1"/>
  <c r="O482" i="42"/>
  <c r="O483" i="40"/>
  <c r="M483" i="40"/>
  <c r="N483" i="40"/>
  <c r="L484" i="40"/>
  <c r="L484" i="42"/>
  <c r="M483" i="42"/>
  <c r="N483" i="42" s="1"/>
  <c r="O483" i="42"/>
  <c r="L485" i="40"/>
  <c r="O484" i="40"/>
  <c r="M484" i="40"/>
  <c r="N484" i="40" s="1"/>
  <c r="L485" i="42"/>
  <c r="M484" i="42"/>
  <c r="N484" i="42" s="1"/>
  <c r="O484" i="42"/>
  <c r="O485" i="40"/>
  <c r="L486" i="40"/>
  <c r="M485" i="40"/>
  <c r="N485" i="40" s="1"/>
  <c r="M485" i="42"/>
  <c r="N485" i="42" s="1"/>
  <c r="L486" i="42"/>
  <c r="O485" i="42"/>
  <c r="O486" i="40"/>
  <c r="L487" i="40"/>
  <c r="M486" i="40"/>
  <c r="N486" i="40" s="1"/>
  <c r="M486" i="42"/>
  <c r="L487" i="42"/>
  <c r="N486" i="42"/>
  <c r="O486" i="42"/>
  <c r="O487" i="40"/>
  <c r="M487" i="40"/>
  <c r="N487" i="40" s="1"/>
  <c r="L488" i="40"/>
  <c r="L488" i="42"/>
  <c r="M487" i="42"/>
  <c r="N487" i="42" s="1"/>
  <c r="O487" i="42"/>
  <c r="O488" i="40"/>
  <c r="L489" i="40"/>
  <c r="M488" i="40"/>
  <c r="N488" i="40" s="1"/>
  <c r="M488" i="42"/>
  <c r="L489" i="42"/>
  <c r="N488" i="42"/>
  <c r="O488" i="42"/>
  <c r="O489" i="40"/>
  <c r="M489" i="40"/>
  <c r="N489" i="40" s="1"/>
  <c r="L490" i="40"/>
  <c r="M489" i="42"/>
  <c r="L490" i="42"/>
  <c r="N489" i="42"/>
  <c r="O489" i="42"/>
  <c r="M490" i="40"/>
  <c r="O490" i="40"/>
  <c r="N490" i="40"/>
  <c r="L491" i="40"/>
  <c r="L491" i="42"/>
  <c r="M490" i="42"/>
  <c r="N490" i="42" s="1"/>
  <c r="O490" i="42"/>
  <c r="O491" i="40"/>
  <c r="M491" i="40"/>
  <c r="N491" i="40" s="1"/>
  <c r="L492" i="40"/>
  <c r="L492" i="42"/>
  <c r="M491" i="42"/>
  <c r="N491" i="42" s="1"/>
  <c r="O491" i="42"/>
  <c r="O492" i="40"/>
  <c r="L493" i="40"/>
  <c r="M492" i="40"/>
  <c r="N492" i="40" s="1"/>
  <c r="L493" i="42"/>
  <c r="M492" i="42"/>
  <c r="N492" i="42" s="1"/>
  <c r="O492" i="42"/>
  <c r="M493" i="40"/>
  <c r="N493" i="40" s="1"/>
  <c r="L494" i="40"/>
  <c r="O493" i="40"/>
  <c r="M493" i="42"/>
  <c r="N493" i="42" s="1"/>
  <c r="L494" i="42"/>
  <c r="O493" i="42"/>
  <c r="O494" i="40"/>
  <c r="M494" i="40"/>
  <c r="N494" i="40"/>
  <c r="L495" i="40"/>
  <c r="L495" i="42"/>
  <c r="M494" i="42"/>
  <c r="N494" i="42"/>
  <c r="O494" i="42"/>
  <c r="O495" i="40"/>
  <c r="M495" i="40"/>
  <c r="N495" i="40" s="1"/>
  <c r="L496" i="40"/>
  <c r="L496" i="42"/>
  <c r="M495" i="42"/>
  <c r="N495" i="42"/>
  <c r="O495" i="42"/>
  <c r="O496" i="40"/>
  <c r="L497" i="40"/>
  <c r="M496" i="40"/>
  <c r="N496" i="40" s="1"/>
  <c r="M496" i="42"/>
  <c r="L497" i="42"/>
  <c r="N496" i="42"/>
  <c r="O496" i="42"/>
  <c r="O497" i="40"/>
  <c r="L498" i="40"/>
  <c r="M497" i="40"/>
  <c r="N497" i="40" s="1"/>
  <c r="L498" i="42"/>
  <c r="M497" i="42"/>
  <c r="N497" i="42" s="1"/>
  <c r="O497" i="42"/>
  <c r="L499" i="40"/>
  <c r="M498" i="40"/>
  <c r="O498" i="40"/>
  <c r="N498" i="40"/>
  <c r="L499" i="42"/>
  <c r="M498" i="42"/>
  <c r="N498" i="42" s="1"/>
  <c r="O498" i="42"/>
  <c r="O499" i="40"/>
  <c r="M499" i="40"/>
  <c r="N499" i="40"/>
  <c r="L500" i="40"/>
  <c r="L500" i="42"/>
  <c r="M499" i="42"/>
  <c r="N499" i="42" s="1"/>
  <c r="O499" i="42"/>
  <c r="O500" i="40"/>
  <c r="L501" i="40"/>
  <c r="M500" i="40"/>
  <c r="N500" i="40" s="1"/>
  <c r="L501" i="42"/>
  <c r="M500" i="42"/>
  <c r="N500" i="42" s="1"/>
  <c r="O500" i="42"/>
  <c r="L502" i="40"/>
  <c r="O501" i="40"/>
  <c r="M501" i="40"/>
  <c r="N501" i="40" s="1"/>
  <c r="M501" i="42"/>
  <c r="N501" i="42" s="1"/>
  <c r="L502" i="42"/>
  <c r="O501" i="42"/>
  <c r="O502" i="40"/>
  <c r="L503" i="40"/>
  <c r="M502" i="40"/>
  <c r="N502" i="40" s="1"/>
  <c r="L503" i="42"/>
  <c r="M502" i="42"/>
  <c r="N502" i="42" s="1"/>
  <c r="O502" i="42"/>
  <c r="O503" i="40"/>
  <c r="M503" i="40"/>
  <c r="N503" i="40"/>
  <c r="L504" i="40"/>
  <c r="L504" i="42"/>
  <c r="M503" i="42"/>
  <c r="N503" i="42" s="1"/>
  <c r="O503" i="42"/>
  <c r="O504" i="40"/>
  <c r="M504" i="40"/>
  <c r="N504" i="40" s="1"/>
  <c r="L505" i="40"/>
  <c r="M504" i="42"/>
  <c r="L505" i="42"/>
  <c r="N504" i="42"/>
  <c r="O504" i="42"/>
  <c r="O505" i="40"/>
  <c r="L506" i="40"/>
  <c r="M505" i="40"/>
  <c r="N505" i="40" s="1"/>
  <c r="L506" i="42"/>
  <c r="M505" i="42"/>
  <c r="N505" i="42"/>
  <c r="O505" i="42"/>
  <c r="L507" i="40"/>
  <c r="M506" i="40"/>
  <c r="O506" i="40"/>
  <c r="N506" i="40"/>
  <c r="L507" i="42"/>
  <c r="M506" i="42"/>
  <c r="N506" i="42" s="1"/>
  <c r="O506" i="42"/>
  <c r="O507" i="40"/>
  <c r="M507" i="40"/>
  <c r="N507" i="40"/>
  <c r="L508" i="40"/>
  <c r="L508" i="42"/>
  <c r="M507" i="42"/>
  <c r="N507" i="42" s="1"/>
  <c r="O507" i="42"/>
  <c r="O508" i="40"/>
  <c r="L509" i="40"/>
  <c r="M508" i="40"/>
  <c r="N508" i="40" s="1"/>
  <c r="M508" i="42"/>
  <c r="N508" i="42" s="1"/>
  <c r="L509" i="42"/>
  <c r="O508" i="42"/>
  <c r="O509" i="40"/>
  <c r="L510" i="40"/>
  <c r="M509" i="40"/>
  <c r="N509" i="40" s="1"/>
  <c r="M509" i="42"/>
  <c r="N509" i="42" s="1"/>
  <c r="L510" i="42"/>
  <c r="O509" i="42"/>
  <c r="L511" i="40"/>
  <c r="O510" i="40"/>
  <c r="M510" i="40"/>
  <c r="N510" i="40"/>
  <c r="L511" i="42"/>
  <c r="M510" i="42"/>
  <c r="N510" i="42" s="1"/>
  <c r="O510" i="42"/>
  <c r="O511" i="40"/>
  <c r="L512" i="40"/>
  <c r="M511" i="40"/>
  <c r="N511" i="40" s="1"/>
  <c r="L512" i="42"/>
  <c r="M511" i="42"/>
  <c r="N511" i="42"/>
  <c r="O511" i="42"/>
  <c r="O512" i="40"/>
  <c r="M512" i="40"/>
  <c r="N512" i="40" s="1"/>
  <c r="L513" i="40"/>
  <c r="M512" i="42"/>
  <c r="L513" i="42"/>
  <c r="N512" i="42"/>
  <c r="O512" i="42"/>
  <c r="M513" i="40"/>
  <c r="O513" i="40"/>
  <c r="N513" i="40"/>
  <c r="L514" i="40"/>
  <c r="L514" i="42"/>
  <c r="M513" i="42"/>
  <c r="N513" i="42" s="1"/>
  <c r="O513" i="42"/>
  <c r="L515" i="40"/>
  <c r="O514" i="40"/>
  <c r="M514" i="40"/>
  <c r="N514" i="40" s="1"/>
  <c r="L515" i="42"/>
  <c r="M514" i="42"/>
  <c r="N514" i="42" s="1"/>
  <c r="O514" i="42"/>
  <c r="O515" i="40"/>
  <c r="L516" i="40"/>
  <c r="M515" i="40"/>
  <c r="N515" i="40" s="1"/>
  <c r="L516" i="42"/>
  <c r="M515" i="42"/>
  <c r="N515" i="42" s="1"/>
  <c r="O515" i="42"/>
  <c r="O516" i="40"/>
  <c r="M516" i="40"/>
  <c r="N516" i="40" s="1"/>
  <c r="L517" i="40"/>
  <c r="L517" i="42"/>
  <c r="M516" i="42"/>
  <c r="N516" i="42" s="1"/>
  <c r="O516" i="42"/>
  <c r="O517" i="40"/>
  <c r="L518" i="40"/>
  <c r="M517" i="40"/>
  <c r="N517" i="40" s="1"/>
  <c r="M517" i="42"/>
  <c r="N517" i="42"/>
  <c r="L518" i="42"/>
  <c r="O517" i="42"/>
  <c r="O518" i="40"/>
  <c r="L519" i="40"/>
  <c r="M518" i="40"/>
  <c r="N518" i="40" s="1"/>
  <c r="L519" i="42"/>
  <c r="M518" i="42"/>
  <c r="N518" i="42" s="1"/>
  <c r="O518" i="42"/>
  <c r="O519" i="40"/>
  <c r="L520" i="40"/>
  <c r="M519" i="40"/>
  <c r="N519" i="40" s="1"/>
  <c r="L520" i="42"/>
  <c r="M519" i="42"/>
  <c r="N519" i="42" s="1"/>
  <c r="O519" i="42"/>
  <c r="M520" i="40"/>
  <c r="O520" i="40"/>
  <c r="L521" i="40"/>
  <c r="N520" i="40"/>
  <c r="M520" i="42"/>
  <c r="L521" i="42"/>
  <c r="N520" i="42"/>
  <c r="O520" i="42"/>
  <c r="O521" i="40"/>
  <c r="L522" i="40"/>
  <c r="M521" i="40"/>
  <c r="N521" i="40" s="1"/>
  <c r="L522" i="42"/>
  <c r="M521" i="42"/>
  <c r="N521" i="42" s="1"/>
  <c r="O521" i="42"/>
  <c r="M522" i="40"/>
  <c r="O522" i="40"/>
  <c r="N522" i="40"/>
  <c r="L523" i="40"/>
  <c r="L523" i="42"/>
  <c r="M522" i="42"/>
  <c r="N522" i="42" s="1"/>
  <c r="O522" i="42"/>
  <c r="O523" i="40"/>
  <c r="L524" i="40"/>
  <c r="M523" i="40"/>
  <c r="N523" i="40" s="1"/>
  <c r="L524" i="42"/>
  <c r="M523" i="42"/>
  <c r="N523" i="42" s="1"/>
  <c r="O523" i="42"/>
  <c r="O524" i="40"/>
  <c r="M524" i="40"/>
  <c r="N524" i="40" s="1"/>
  <c r="L525" i="40"/>
  <c r="L525" i="42"/>
  <c r="M524" i="42"/>
  <c r="N524" i="42" s="1"/>
  <c r="O524" i="42"/>
  <c r="L526" i="40"/>
  <c r="O525" i="40"/>
  <c r="M525" i="40"/>
  <c r="N525" i="40" s="1"/>
  <c r="M525" i="42"/>
  <c r="N525" i="42" s="1"/>
  <c r="L526" i="42"/>
  <c r="O525" i="42"/>
  <c r="M526" i="40"/>
  <c r="O526" i="40"/>
  <c r="N526" i="40"/>
  <c r="L527" i="40"/>
  <c r="L527" i="42"/>
  <c r="M526" i="42"/>
  <c r="N526" i="42" s="1"/>
  <c r="O526" i="42"/>
  <c r="O527" i="40"/>
  <c r="L528" i="40"/>
  <c r="M527" i="40"/>
  <c r="N527" i="40" s="1"/>
  <c r="L528" i="42"/>
  <c r="M527" i="42"/>
  <c r="N527" i="42" s="1"/>
  <c r="O527" i="42"/>
  <c r="O528" i="40"/>
  <c r="M528" i="40"/>
  <c r="N528" i="40" s="1"/>
  <c r="L529" i="40"/>
  <c r="M528" i="42"/>
  <c r="L529" i="42"/>
  <c r="N528" i="42"/>
  <c r="O528" i="42"/>
  <c r="O529" i="40"/>
  <c r="L530" i="40"/>
  <c r="M529" i="40"/>
  <c r="N529" i="40" s="1"/>
  <c r="M529" i="42"/>
  <c r="L530" i="42"/>
  <c r="N529" i="42"/>
  <c r="O529" i="42"/>
  <c r="M530" i="40"/>
  <c r="L531" i="40"/>
  <c r="O530" i="40"/>
  <c r="N530" i="40"/>
  <c r="L531" i="42"/>
  <c r="M530" i="42"/>
  <c r="N530" i="42" s="1"/>
  <c r="O530" i="42"/>
  <c r="O531" i="40"/>
  <c r="M531" i="40"/>
  <c r="N531" i="40"/>
  <c r="L532" i="40"/>
  <c r="L532" i="42"/>
  <c r="M531" i="42"/>
  <c r="N531" i="42" s="1"/>
  <c r="O531" i="42"/>
  <c r="O532" i="40"/>
  <c r="M532" i="40"/>
  <c r="N532" i="40" s="1"/>
  <c r="L533" i="40"/>
  <c r="L533" i="42"/>
  <c r="M532" i="42"/>
  <c r="N532" i="42" s="1"/>
  <c r="O532" i="42"/>
  <c r="M533" i="40"/>
  <c r="O533" i="40"/>
  <c r="N533" i="40"/>
  <c r="L534" i="40"/>
  <c r="M533" i="42"/>
  <c r="N533" i="42"/>
  <c r="L534" i="42"/>
  <c r="O533" i="42"/>
  <c r="M534" i="40"/>
  <c r="O534" i="40"/>
  <c r="L535" i="40"/>
  <c r="N534" i="40"/>
  <c r="L535" i="42"/>
  <c r="M534" i="42"/>
  <c r="N534" i="42" s="1"/>
  <c r="O534" i="42"/>
  <c r="O535" i="40"/>
  <c r="M535" i="40"/>
  <c r="N535" i="40"/>
  <c r="L536" i="40"/>
  <c r="L536" i="42"/>
  <c r="M535" i="42"/>
  <c r="N535" i="42" s="1"/>
  <c r="O535" i="42"/>
  <c r="O536" i="40"/>
  <c r="L537" i="40"/>
  <c r="M536" i="40"/>
  <c r="N536" i="40" s="1"/>
  <c r="L537" i="42"/>
  <c r="M536" i="42"/>
  <c r="N536" i="42" s="1"/>
  <c r="O536" i="42"/>
  <c r="O537" i="40"/>
  <c r="L538" i="40"/>
  <c r="M537" i="40"/>
  <c r="N537" i="40" s="1"/>
  <c r="L538" i="42"/>
  <c r="M537" i="42"/>
  <c r="N537" i="42" s="1"/>
  <c r="O537" i="42"/>
  <c r="L539" i="40"/>
  <c r="M538" i="40"/>
  <c r="O538" i="40"/>
  <c r="N538" i="40"/>
  <c r="L539" i="42"/>
  <c r="M538" i="42"/>
  <c r="N538" i="42" s="1"/>
  <c r="O538" i="42"/>
  <c r="O539" i="40"/>
  <c r="L540" i="40"/>
  <c r="M539" i="40"/>
  <c r="N539" i="40" s="1"/>
  <c r="L540" i="42"/>
  <c r="M539" i="42"/>
  <c r="N539" i="42" s="1"/>
  <c r="O539" i="42"/>
  <c r="O540" i="40"/>
  <c r="M540" i="40"/>
  <c r="N540" i="40" s="1"/>
  <c r="L541" i="40"/>
  <c r="L541" i="42"/>
  <c r="M540" i="42"/>
  <c r="N540" i="42"/>
  <c r="O540" i="42"/>
  <c r="O541" i="40"/>
  <c r="L542" i="40"/>
  <c r="M541" i="40"/>
  <c r="N541" i="40" s="1"/>
  <c r="M541" i="42"/>
  <c r="N541" i="42" s="1"/>
  <c r="L542" i="42"/>
  <c r="O541" i="42"/>
  <c r="L543" i="40"/>
  <c r="O542" i="40"/>
  <c r="M542" i="40"/>
  <c r="N542" i="40"/>
  <c r="L543" i="42"/>
  <c r="M542" i="42"/>
  <c r="N542" i="42"/>
  <c r="O542" i="42"/>
  <c r="L544" i="40"/>
  <c r="O543" i="40"/>
  <c r="M543" i="40"/>
  <c r="N543" i="40" s="1"/>
  <c r="L544" i="42"/>
  <c r="M543" i="42"/>
  <c r="N543" i="42" s="1"/>
  <c r="O543" i="42"/>
  <c r="O544" i="40"/>
  <c r="L545" i="40"/>
  <c r="M544" i="40"/>
  <c r="N544" i="40" s="1"/>
  <c r="M544" i="42"/>
  <c r="L545" i="42"/>
  <c r="N544" i="42"/>
  <c r="O544" i="42"/>
  <c r="O545" i="40"/>
  <c r="L546" i="40"/>
  <c r="M545" i="40"/>
  <c r="N545" i="40" s="1"/>
  <c r="M545" i="42"/>
  <c r="L546" i="42"/>
  <c r="N545" i="42"/>
  <c r="O545" i="42"/>
  <c r="O546" i="40"/>
  <c r="L547" i="40"/>
  <c r="M546" i="40"/>
  <c r="N546" i="40" s="1"/>
  <c r="L547" i="42"/>
  <c r="M546" i="42"/>
  <c r="N546" i="42" s="1"/>
  <c r="O546" i="42"/>
  <c r="O547" i="40"/>
  <c r="M547" i="40"/>
  <c r="N547" i="40"/>
  <c r="L548" i="40"/>
  <c r="L548" i="42"/>
  <c r="M547" i="42"/>
  <c r="N547" i="42" s="1"/>
  <c r="O547" i="42"/>
  <c r="O548" i="40"/>
  <c r="M548" i="40"/>
  <c r="N548" i="40" s="1"/>
  <c r="L549" i="40"/>
  <c r="L549" i="42"/>
  <c r="M548" i="42"/>
  <c r="N548" i="42"/>
  <c r="O548" i="42"/>
  <c r="O549" i="40"/>
  <c r="L550" i="40"/>
  <c r="M549" i="40"/>
  <c r="N549" i="40" s="1"/>
  <c r="M549" i="42"/>
  <c r="N549" i="42"/>
  <c r="L550" i="42"/>
  <c r="O549" i="42"/>
  <c r="O550" i="40"/>
  <c r="L551" i="40"/>
  <c r="M550" i="40"/>
  <c r="N550" i="40" s="1"/>
  <c r="L551" i="42"/>
  <c r="M550" i="42"/>
  <c r="N550" i="42" s="1"/>
  <c r="O550" i="42"/>
  <c r="O551" i="40"/>
  <c r="L552" i="40"/>
  <c r="M551" i="40"/>
  <c r="N551" i="40" s="1"/>
  <c r="L552" i="42"/>
  <c r="M551" i="42"/>
  <c r="N551" i="42" s="1"/>
  <c r="O551" i="42"/>
  <c r="O552" i="40"/>
  <c r="M552" i="40"/>
  <c r="N552" i="40" s="1"/>
  <c r="L553" i="40"/>
  <c r="M552" i="42"/>
  <c r="L553" i="42"/>
  <c r="N552" i="42"/>
  <c r="O552" i="42"/>
  <c r="O553" i="40"/>
  <c r="M553" i="40"/>
  <c r="N553" i="40" s="1"/>
  <c r="L554" i="40"/>
  <c r="L554" i="42"/>
  <c r="M553" i="42"/>
  <c r="N553" i="42"/>
  <c r="O553" i="42"/>
  <c r="M554" i="40"/>
  <c r="O554" i="40"/>
  <c r="N554" i="40"/>
  <c r="L555" i="40"/>
  <c r="M554" i="42"/>
  <c r="N554" i="42" s="1"/>
  <c r="L555" i="42"/>
  <c r="O554" i="42"/>
  <c r="O555" i="40"/>
  <c r="M555" i="40"/>
  <c r="N555" i="40" s="1"/>
  <c r="L556" i="40"/>
  <c r="L556" i="42"/>
  <c r="M555" i="42"/>
  <c r="N555" i="42" s="1"/>
  <c r="O555" i="42"/>
  <c r="L557" i="40"/>
  <c r="O556" i="40"/>
  <c r="M556" i="40"/>
  <c r="N556" i="40" s="1"/>
  <c r="L557" i="42"/>
  <c r="M556" i="42"/>
  <c r="N556" i="42"/>
  <c r="O556" i="42"/>
  <c r="M557" i="40"/>
  <c r="N557" i="40" s="1"/>
  <c r="O557" i="40"/>
  <c r="L558" i="40"/>
  <c r="M557" i="42"/>
  <c r="N557" i="42" s="1"/>
  <c r="L558" i="42"/>
  <c r="O557" i="42"/>
  <c r="L559" i="40"/>
  <c r="O558" i="40"/>
  <c r="M558" i="40"/>
  <c r="N558" i="40"/>
  <c r="L559" i="42"/>
  <c r="M558" i="42"/>
  <c r="N558" i="42" s="1"/>
  <c r="O558" i="42"/>
  <c r="O559" i="40"/>
  <c r="L560" i="40"/>
  <c r="M559" i="40"/>
  <c r="N559" i="40" s="1"/>
  <c r="L560" i="42"/>
  <c r="M559" i="42"/>
  <c r="N559" i="42" s="1"/>
  <c r="O559" i="42"/>
  <c r="O560" i="40"/>
  <c r="M560" i="40"/>
  <c r="N560" i="40" s="1"/>
  <c r="L561" i="40"/>
  <c r="M560" i="42"/>
  <c r="L561" i="42"/>
  <c r="N560" i="42"/>
  <c r="O560" i="42"/>
  <c r="M561" i="40"/>
  <c r="N561" i="40" s="1"/>
  <c r="L562" i="40"/>
  <c r="O561" i="40"/>
  <c r="L562" i="42"/>
  <c r="M561" i="42"/>
  <c r="N561" i="42" s="1"/>
  <c r="O561" i="42"/>
  <c r="M562" i="40"/>
  <c r="L563" i="40"/>
  <c r="O562" i="40"/>
  <c r="N562" i="40"/>
  <c r="L563" i="42"/>
  <c r="M562" i="42"/>
  <c r="N562" i="42" s="1"/>
  <c r="O562" i="42"/>
  <c r="O563" i="40"/>
  <c r="M563" i="40"/>
  <c r="N563" i="40" s="1"/>
  <c r="L564" i="40"/>
  <c r="L564" i="42"/>
  <c r="M563" i="42"/>
  <c r="N563" i="42" s="1"/>
  <c r="O563" i="42"/>
  <c r="O564" i="40"/>
  <c r="M564" i="40"/>
  <c r="N564" i="40" s="1"/>
  <c r="L565" i="40"/>
  <c r="L565" i="42"/>
  <c r="M564" i="42"/>
  <c r="N564" i="42"/>
  <c r="O564" i="42"/>
  <c r="O565" i="40"/>
  <c r="L566" i="40"/>
  <c r="M565" i="40"/>
  <c r="N565" i="40" s="1"/>
  <c r="M565" i="42"/>
  <c r="N565" i="42"/>
  <c r="L566" i="42"/>
  <c r="O565" i="42"/>
  <c r="L567" i="40"/>
  <c r="O566" i="40"/>
  <c r="M566" i="40"/>
  <c r="N566" i="40"/>
  <c r="L567" i="42"/>
  <c r="M566" i="42"/>
  <c r="N566" i="42" s="1"/>
  <c r="O566" i="42"/>
  <c r="L568" i="40"/>
  <c r="O567" i="40"/>
  <c r="M567" i="40"/>
  <c r="N567" i="40" s="1"/>
  <c r="L568" i="42"/>
  <c r="M567" i="42"/>
  <c r="N567" i="42" s="1"/>
  <c r="O567" i="42"/>
  <c r="O568" i="40"/>
  <c r="L569" i="40"/>
  <c r="M568" i="40"/>
  <c r="N568" i="40" s="1"/>
  <c r="M568" i="42"/>
  <c r="L569" i="42"/>
  <c r="N568" i="42"/>
  <c r="O568" i="42"/>
  <c r="O569" i="40"/>
  <c r="L570" i="40"/>
  <c r="M569" i="40"/>
  <c r="N569" i="40" s="1"/>
  <c r="L570" i="42"/>
  <c r="M569" i="42"/>
  <c r="N569" i="42" s="1"/>
  <c r="O569" i="42"/>
  <c r="O570" i="40"/>
  <c r="M570" i="40"/>
  <c r="N570" i="40"/>
  <c r="L571" i="40"/>
  <c r="M570" i="42"/>
  <c r="N570" i="42" s="1"/>
  <c r="L571" i="42"/>
  <c r="O570" i="42"/>
  <c r="O571" i="40"/>
  <c r="L572" i="40"/>
  <c r="M571" i="40"/>
  <c r="N571" i="40" s="1"/>
  <c r="M571" i="42"/>
  <c r="N571" i="42" s="1"/>
  <c r="L572" i="42"/>
  <c r="O571" i="42"/>
  <c r="M572" i="40"/>
  <c r="N572" i="40"/>
  <c r="O572" i="40"/>
  <c r="L573" i="40"/>
  <c r="L573" i="42"/>
  <c r="M572" i="42"/>
  <c r="N572" i="42" s="1"/>
  <c r="O572" i="42"/>
  <c r="O573" i="40"/>
  <c r="M573" i="40"/>
  <c r="N573" i="40" s="1"/>
  <c r="L574" i="40"/>
  <c r="M573" i="42"/>
  <c r="L574" i="42"/>
  <c r="N573" i="42"/>
  <c r="O573" i="42"/>
  <c r="M574" i="40"/>
  <c r="L575" i="40"/>
  <c r="O574" i="40"/>
  <c r="N574" i="40"/>
  <c r="M574" i="42"/>
  <c r="L575" i="42"/>
  <c r="N574" i="42"/>
  <c r="O574" i="42"/>
  <c r="M575" i="40"/>
  <c r="O575" i="40"/>
  <c r="N575" i="40"/>
  <c r="L576" i="40"/>
  <c r="M575" i="42"/>
  <c r="N575" i="42"/>
  <c r="L576" i="42"/>
  <c r="O575" i="42"/>
  <c r="O576" i="40"/>
  <c r="M576" i="40"/>
  <c r="N576" i="40" s="1"/>
  <c r="L577" i="40"/>
  <c r="L577" i="42"/>
  <c r="M576" i="42"/>
  <c r="N576" i="42" s="1"/>
  <c r="O576" i="42"/>
  <c r="O577" i="40"/>
  <c r="L578" i="40"/>
  <c r="M577" i="40"/>
  <c r="N577" i="40" s="1"/>
  <c r="M577" i="42"/>
  <c r="N577" i="42" s="1"/>
  <c r="L578" i="42"/>
  <c r="O577" i="42"/>
  <c r="O578" i="40"/>
  <c r="L579" i="40"/>
  <c r="M578" i="40"/>
  <c r="N578" i="40" s="1"/>
  <c r="L579" i="42"/>
  <c r="M578" i="42"/>
  <c r="N578" i="42" s="1"/>
  <c r="O578" i="42"/>
  <c r="L580" i="40"/>
  <c r="M579" i="40"/>
  <c r="O579" i="40"/>
  <c r="N579" i="40"/>
  <c r="M579" i="42"/>
  <c r="N579" i="42" s="1"/>
  <c r="L580" i="42"/>
  <c r="O579" i="42"/>
  <c r="O580" i="40"/>
  <c r="L581" i="40"/>
  <c r="M580" i="40"/>
  <c r="N580" i="40" s="1"/>
  <c r="L581" i="42"/>
  <c r="M580" i="42"/>
  <c r="N580" i="42" s="1"/>
  <c r="O580" i="42"/>
  <c r="O581" i="40"/>
  <c r="M581" i="40"/>
  <c r="N581" i="40" s="1"/>
  <c r="L582" i="40"/>
  <c r="M581" i="42"/>
  <c r="N581" i="42" s="1"/>
  <c r="O581" i="42"/>
  <c r="O582" i="40"/>
  <c r="M582" i="40"/>
  <c r="N582" i="40"/>
  <c r="L583" i="40"/>
  <c r="O583" i="40"/>
  <c r="L584" i="40"/>
  <c r="M583" i="40"/>
  <c r="N583" i="40"/>
  <c r="M584" i="40"/>
  <c r="L585" i="40"/>
  <c r="O584" i="40"/>
  <c r="N584" i="40"/>
  <c r="M585" i="40"/>
  <c r="O585" i="40"/>
  <c r="J2" i="42" l="1"/>
  <c r="O14" i="32"/>
  <c r="O13" i="32"/>
  <c r="O21" i="32"/>
  <c r="U21" i="32" s="1"/>
  <c r="A4" i="35"/>
  <c r="O12" i="32"/>
  <c r="U12" i="32" s="1"/>
  <c r="O2" i="32"/>
  <c r="P2" i="32" s="1"/>
  <c r="D10" i="32"/>
  <c r="C3" i="42"/>
  <c r="O27" i="32"/>
  <c r="O23" i="32"/>
  <c r="P23" i="32" s="1"/>
  <c r="J2" i="40"/>
  <c r="O15" i="32"/>
  <c r="F4" i="32"/>
  <c r="O4" i="32" s="1"/>
  <c r="O20" i="32"/>
  <c r="O6" i="32"/>
  <c r="P6" i="32" s="1"/>
  <c r="O25" i="32"/>
  <c r="O24" i="32"/>
  <c r="U24" i="32" s="1"/>
  <c r="O22" i="32"/>
  <c r="T22" i="32" s="1"/>
  <c r="O19" i="32"/>
  <c r="T19" i="32" s="1"/>
  <c r="P14" i="32"/>
  <c r="N10" i="32"/>
  <c r="U23" i="32"/>
  <c r="T23" i="32"/>
  <c r="P15" i="32"/>
  <c r="U22" i="32"/>
  <c r="P25" i="32"/>
  <c r="P24" i="32"/>
  <c r="T24" i="32"/>
  <c r="T21" i="32"/>
  <c r="H10" i="40"/>
  <c r="I10" i="40" s="1"/>
  <c r="H17" i="40"/>
  <c r="C13" i="32"/>
  <c r="C23" i="32"/>
  <c r="C20" i="32"/>
  <c r="P359" i="42"/>
  <c r="P311" i="42"/>
  <c r="P305" i="42"/>
  <c r="P299" i="42"/>
  <c r="P295" i="42"/>
  <c r="P291" i="42"/>
  <c r="P287" i="42"/>
  <c r="P283" i="42"/>
  <c r="P279" i="42"/>
  <c r="P275" i="42"/>
  <c r="P271" i="42"/>
  <c r="P267" i="42"/>
  <c r="P263" i="42"/>
  <c r="P261" i="42"/>
  <c r="P257" i="42"/>
  <c r="P253" i="42"/>
  <c r="P249" i="42"/>
  <c r="P245" i="42"/>
  <c r="P243" i="42"/>
  <c r="P239" i="42"/>
  <c r="P235" i="42"/>
  <c r="P231" i="42"/>
  <c r="P227" i="42"/>
  <c r="P223" i="42"/>
  <c r="P219" i="42"/>
  <c r="P215" i="42"/>
  <c r="P211" i="42"/>
  <c r="P207" i="42"/>
  <c r="P203" i="42"/>
  <c r="P199" i="42"/>
  <c r="P197" i="42"/>
  <c r="P193" i="42"/>
  <c r="P189" i="42"/>
  <c r="P185" i="42"/>
  <c r="P181" i="42"/>
  <c r="P177" i="42"/>
  <c r="P173" i="42"/>
  <c r="P171" i="42"/>
  <c r="P167" i="42"/>
  <c r="P163" i="42"/>
  <c r="P159" i="42"/>
  <c r="P155" i="42"/>
  <c r="P149" i="42"/>
  <c r="P145" i="42"/>
  <c r="P143" i="42"/>
  <c r="P139" i="42"/>
  <c r="P133" i="42"/>
  <c r="P129" i="42"/>
  <c r="P125" i="42"/>
  <c r="P121" i="42"/>
  <c r="P117" i="42"/>
  <c r="P113" i="42"/>
  <c r="P109" i="42"/>
  <c r="P105" i="42"/>
  <c r="P103" i="42"/>
  <c r="P99" i="42"/>
  <c r="P95" i="42"/>
  <c r="P91" i="42"/>
  <c r="P89" i="42"/>
  <c r="P85" i="42"/>
  <c r="P81" i="42"/>
  <c r="P77" i="42"/>
  <c r="P75" i="42"/>
  <c r="P71" i="42"/>
  <c r="P67" i="42"/>
  <c r="P63" i="42"/>
  <c r="P59" i="42"/>
  <c r="P55" i="42"/>
  <c r="P51" i="42"/>
  <c r="P47" i="42"/>
  <c r="P43" i="42"/>
  <c r="P41" i="42"/>
  <c r="P37" i="42"/>
  <c r="P33" i="42"/>
  <c r="P29" i="42"/>
  <c r="P25" i="42"/>
  <c r="P21" i="42"/>
  <c r="P17" i="42"/>
  <c r="P15" i="42"/>
  <c r="P11" i="42"/>
  <c r="P7" i="42"/>
  <c r="P3" i="42"/>
  <c r="I14" i="40"/>
  <c r="P2" i="42"/>
  <c r="AB33" i="32"/>
  <c r="C27" i="32"/>
  <c r="P301" i="40"/>
  <c r="P293" i="40"/>
  <c r="P289" i="40"/>
  <c r="P283" i="40"/>
  <c r="P277" i="40"/>
  <c r="P273" i="40"/>
  <c r="P267" i="40"/>
  <c r="P261" i="40"/>
  <c r="P257" i="40"/>
  <c r="P251" i="40"/>
  <c r="P247" i="40"/>
  <c r="P243" i="40"/>
  <c r="P237" i="40"/>
  <c r="P227" i="40"/>
  <c r="P223" i="40"/>
  <c r="P219" i="40"/>
  <c r="P213" i="40"/>
  <c r="P209" i="40"/>
  <c r="P201" i="40"/>
  <c r="P189" i="40"/>
  <c r="P181" i="40"/>
  <c r="P177" i="40"/>
  <c r="P159" i="40"/>
  <c r="P155" i="40"/>
  <c r="P149" i="40"/>
  <c r="P145" i="40"/>
  <c r="P135" i="40"/>
  <c r="P121" i="40"/>
  <c r="P117" i="40"/>
  <c r="P111" i="40"/>
  <c r="P101" i="40"/>
  <c r="P97" i="40"/>
  <c r="P91" i="40"/>
  <c r="P85" i="40"/>
  <c r="P77" i="40"/>
  <c r="P69" i="40"/>
  <c r="P59" i="40"/>
  <c r="P53" i="40"/>
  <c r="P41" i="40"/>
  <c r="P29" i="40"/>
  <c r="P25" i="40"/>
  <c r="P13" i="40"/>
  <c r="P7" i="40"/>
  <c r="P3" i="40"/>
  <c r="C19" i="39"/>
  <c r="C6" i="35"/>
  <c r="C7" i="35"/>
  <c r="P361" i="40"/>
  <c r="N585" i="40"/>
  <c r="P581" i="42"/>
  <c r="P579" i="42"/>
  <c r="P577" i="42"/>
  <c r="P575" i="42"/>
  <c r="P573" i="42"/>
  <c r="P571" i="42"/>
  <c r="P569" i="42"/>
  <c r="P567" i="42"/>
  <c r="P565" i="42"/>
  <c r="P563" i="42"/>
  <c r="P561" i="42"/>
  <c r="P559" i="42"/>
  <c r="P557" i="42"/>
  <c r="P555" i="42"/>
  <c r="P553" i="42"/>
  <c r="P551" i="42"/>
  <c r="P549" i="42"/>
  <c r="P547" i="42"/>
  <c r="P545" i="42"/>
  <c r="P543" i="42"/>
  <c r="P541" i="42"/>
  <c r="P539" i="42"/>
  <c r="P537" i="42"/>
  <c r="P535" i="42"/>
  <c r="P533" i="42"/>
  <c r="P531" i="42"/>
  <c r="P529" i="42"/>
  <c r="P527" i="42"/>
  <c r="P525" i="42"/>
  <c r="P523" i="42"/>
  <c r="P521" i="42"/>
  <c r="P519" i="42"/>
  <c r="P517" i="42"/>
  <c r="P515" i="42"/>
  <c r="P513" i="42"/>
  <c r="P511" i="42"/>
  <c r="P509" i="42"/>
  <c r="P507" i="42"/>
  <c r="P505" i="42"/>
  <c r="P503" i="42"/>
  <c r="P501" i="42"/>
  <c r="P499" i="42"/>
  <c r="P497" i="42"/>
  <c r="P495" i="42"/>
  <c r="P493" i="42"/>
  <c r="P491" i="42"/>
  <c r="P489" i="42"/>
  <c r="P487" i="42"/>
  <c r="P485" i="42"/>
  <c r="P483" i="42"/>
  <c r="P481" i="42"/>
  <c r="P479" i="42"/>
  <c r="P477" i="42"/>
  <c r="P475" i="42"/>
  <c r="P473" i="42"/>
  <c r="P471" i="42"/>
  <c r="P469" i="42"/>
  <c r="P467" i="42"/>
  <c r="P465" i="42"/>
  <c r="P463" i="42"/>
  <c r="P461" i="42"/>
  <c r="P459" i="42"/>
  <c r="P457" i="42"/>
  <c r="P455" i="42"/>
  <c r="P453" i="42"/>
  <c r="P451" i="42"/>
  <c r="P449" i="42"/>
  <c r="P447" i="42"/>
  <c r="P445" i="42"/>
  <c r="P443" i="42"/>
  <c r="P441" i="42"/>
  <c r="P439" i="42"/>
  <c r="P437" i="42"/>
  <c r="P435" i="42"/>
  <c r="P433" i="42"/>
  <c r="P431" i="42"/>
  <c r="P429" i="42"/>
  <c r="P427" i="42"/>
  <c r="P425" i="42"/>
  <c r="P423" i="42"/>
  <c r="P421" i="42"/>
  <c r="P419" i="42"/>
  <c r="P417" i="42"/>
  <c r="P415" i="42"/>
  <c r="P413" i="42"/>
  <c r="P411" i="42"/>
  <c r="P409" i="42"/>
  <c r="P407" i="42"/>
  <c r="P405" i="42"/>
  <c r="P403" i="42"/>
  <c r="P401" i="42"/>
  <c r="P399" i="42"/>
  <c r="P397" i="42"/>
  <c r="P395" i="42"/>
  <c r="P393" i="42"/>
  <c r="P391" i="42"/>
  <c r="P389" i="42"/>
  <c r="P387" i="42"/>
  <c r="P385" i="42"/>
  <c r="P383" i="42"/>
  <c r="P381" i="42"/>
  <c r="P379" i="42"/>
  <c r="P377" i="42"/>
  <c r="P375" i="42"/>
  <c r="P373" i="42"/>
  <c r="P371" i="42"/>
  <c r="P369" i="42"/>
  <c r="P367" i="42"/>
  <c r="P365" i="42"/>
  <c r="P363" i="42"/>
  <c r="P361" i="42"/>
  <c r="P357" i="42"/>
  <c r="P355" i="42"/>
  <c r="P353" i="42"/>
  <c r="P351" i="42"/>
  <c r="P349" i="42"/>
  <c r="P347" i="42"/>
  <c r="P345" i="42"/>
  <c r="P343" i="42"/>
  <c r="P341" i="42"/>
  <c r="P339" i="42"/>
  <c r="P337" i="42"/>
  <c r="P335" i="42"/>
  <c r="P333" i="42"/>
  <c r="P331" i="42"/>
  <c r="P329" i="42"/>
  <c r="P327" i="42"/>
  <c r="P325" i="42"/>
  <c r="P323" i="42"/>
  <c r="P321" i="42"/>
  <c r="P319" i="42"/>
  <c r="P317" i="42"/>
  <c r="P315" i="42"/>
  <c r="P313" i="42"/>
  <c r="P309" i="42"/>
  <c r="P307" i="42"/>
  <c r="P303" i="42"/>
  <c r="P301" i="42"/>
  <c r="P297" i="42"/>
  <c r="P293" i="42"/>
  <c r="P289" i="42"/>
  <c r="P285" i="42"/>
  <c r="P281" i="42"/>
  <c r="P277" i="42"/>
  <c r="P273" i="42"/>
  <c r="P269" i="42"/>
  <c r="P265" i="42"/>
  <c r="P259" i="42"/>
  <c r="P255" i="42"/>
  <c r="P251" i="42"/>
  <c r="P247" i="42"/>
  <c r="P241" i="42"/>
  <c r="P237" i="42"/>
  <c r="P233" i="42"/>
  <c r="P229" i="42"/>
  <c r="P225" i="42"/>
  <c r="P221" i="42"/>
  <c r="P217" i="42"/>
  <c r="P213" i="42"/>
  <c r="P209" i="42"/>
  <c r="P205" i="42"/>
  <c r="P201" i="42"/>
  <c r="P195" i="42"/>
  <c r="P191" i="42"/>
  <c r="P187" i="42"/>
  <c r="P183" i="42"/>
  <c r="P179" i="42"/>
  <c r="P175" i="42"/>
  <c r="P169" i="42"/>
  <c r="P165" i="42"/>
  <c r="P161" i="42"/>
  <c r="P157" i="42"/>
  <c r="P153" i="42"/>
  <c r="P151" i="42"/>
  <c r="P147" i="42"/>
  <c r="P141" i="42"/>
  <c r="P137" i="42"/>
  <c r="P135" i="42"/>
  <c r="P131" i="42"/>
  <c r="P127" i="42"/>
  <c r="P123" i="42"/>
  <c r="P119" i="42"/>
  <c r="P115" i="42"/>
  <c r="P111" i="42"/>
  <c r="P107" i="42"/>
  <c r="P101" i="42"/>
  <c r="P97" i="42"/>
  <c r="P93" i="42"/>
  <c r="P87" i="42"/>
  <c r="P83" i="42"/>
  <c r="P79" i="42"/>
  <c r="P73" i="42"/>
  <c r="P69" i="42"/>
  <c r="P65" i="42"/>
  <c r="P61" i="42"/>
  <c r="P57" i="42"/>
  <c r="P53" i="42"/>
  <c r="P49" i="42"/>
  <c r="P45" i="42"/>
  <c r="P39" i="42"/>
  <c r="P35" i="42"/>
  <c r="P31" i="42"/>
  <c r="P27" i="42"/>
  <c r="P23" i="42"/>
  <c r="P19" i="42"/>
  <c r="P13" i="42"/>
  <c r="P9" i="42"/>
  <c r="P5" i="42"/>
  <c r="C25" i="32"/>
  <c r="P329" i="40"/>
  <c r="P297" i="40"/>
  <c r="P291" i="40"/>
  <c r="P285" i="40"/>
  <c r="P281" i="40"/>
  <c r="P275" i="40"/>
  <c r="P269" i="40"/>
  <c r="P263" i="40"/>
  <c r="P259" i="40"/>
  <c r="P253" i="40"/>
  <c r="P249" i="40"/>
  <c r="P245" i="40"/>
  <c r="P239" i="40"/>
  <c r="P235" i="40"/>
  <c r="P231" i="40"/>
  <c r="P225" i="40"/>
  <c r="P221" i="40"/>
  <c r="P215" i="40"/>
  <c r="P205" i="40"/>
  <c r="P193" i="40"/>
  <c r="P187" i="40"/>
  <c r="P183" i="40"/>
  <c r="P173" i="40"/>
  <c r="P169" i="40"/>
  <c r="P161" i="40"/>
  <c r="P157" i="40"/>
  <c r="P151" i="40"/>
  <c r="P137" i="40"/>
  <c r="P133" i="40"/>
  <c r="P129" i="40"/>
  <c r="P123" i="40"/>
  <c r="P119" i="40"/>
  <c r="P113" i="40"/>
  <c r="P109" i="40"/>
  <c r="P105" i="40"/>
  <c r="P89" i="40"/>
  <c r="P87" i="40"/>
  <c r="P81" i="40"/>
  <c r="P73" i="40"/>
  <c r="P61" i="40"/>
  <c r="P57" i="40"/>
  <c r="P51" i="40"/>
  <c r="P49" i="40"/>
  <c r="P37" i="40"/>
  <c r="P27" i="40"/>
  <c r="P21" i="40"/>
  <c r="P17" i="40"/>
  <c r="P11" i="40"/>
  <c r="P5" i="40"/>
  <c r="I19" i="40"/>
  <c r="C20" i="39"/>
  <c r="P333" i="40"/>
  <c r="P584" i="40"/>
  <c r="P581" i="40"/>
  <c r="P579" i="40"/>
  <c r="P577" i="40"/>
  <c r="P575" i="40"/>
  <c r="P573" i="40"/>
  <c r="P571" i="40"/>
  <c r="P569" i="40"/>
  <c r="P567" i="40"/>
  <c r="P565" i="40"/>
  <c r="P563" i="40"/>
  <c r="P559" i="40"/>
  <c r="P555" i="40"/>
  <c r="P553" i="40"/>
  <c r="P551" i="40"/>
  <c r="P549" i="40"/>
  <c r="P547" i="40"/>
  <c r="P545" i="40"/>
  <c r="P543" i="40"/>
  <c r="P541" i="40"/>
  <c r="P539" i="40"/>
  <c r="P537" i="40"/>
  <c r="P535" i="40"/>
  <c r="P533" i="40"/>
  <c r="P531" i="40"/>
  <c r="P529" i="40"/>
  <c r="P527" i="40"/>
  <c r="P525" i="40"/>
  <c r="P523" i="40"/>
  <c r="P521" i="40"/>
  <c r="P519" i="40"/>
  <c r="P517" i="40"/>
  <c r="P515" i="40"/>
  <c r="P513" i="40"/>
  <c r="P511" i="40"/>
  <c r="P509" i="40"/>
  <c r="P507" i="40"/>
  <c r="P505" i="40"/>
  <c r="P503" i="40"/>
  <c r="P501" i="40"/>
  <c r="P499" i="40"/>
  <c r="P497" i="40"/>
  <c r="P495" i="40"/>
  <c r="P491" i="40"/>
  <c r="P489" i="40"/>
  <c r="P487" i="40"/>
  <c r="P485" i="40"/>
  <c r="P483" i="40"/>
  <c r="P481" i="40"/>
  <c r="P479" i="40"/>
  <c r="P477" i="40"/>
  <c r="P475" i="40"/>
  <c r="P473" i="40"/>
  <c r="P471" i="40"/>
  <c r="P469" i="40"/>
  <c r="P467" i="40"/>
  <c r="P463" i="40"/>
  <c r="P461" i="40"/>
  <c r="P459" i="40"/>
  <c r="P457" i="40"/>
  <c r="P455" i="40"/>
  <c r="P453" i="40"/>
  <c r="P451" i="40"/>
  <c r="P449" i="40"/>
  <c r="P447" i="40"/>
  <c r="P445" i="40"/>
  <c r="P443" i="40"/>
  <c r="P441" i="40"/>
  <c r="P439" i="40"/>
  <c r="P437" i="40"/>
  <c r="P435" i="40"/>
  <c r="P433" i="40"/>
  <c r="P431" i="40"/>
  <c r="P429" i="40"/>
  <c r="P427" i="40"/>
  <c r="P425" i="40"/>
  <c r="P423" i="40"/>
  <c r="P421" i="40"/>
  <c r="P419" i="40"/>
  <c r="P417" i="40"/>
  <c r="P415" i="40"/>
  <c r="P413" i="40"/>
  <c r="P411" i="40"/>
  <c r="P409" i="40"/>
  <c r="P407" i="40"/>
  <c r="P405" i="40"/>
  <c r="P403" i="40"/>
  <c r="P401" i="40"/>
  <c r="P399" i="40"/>
  <c r="P397" i="40"/>
  <c r="P395" i="40"/>
  <c r="P393" i="40"/>
  <c r="P391" i="40"/>
  <c r="P389" i="40"/>
  <c r="P387" i="40"/>
  <c r="P385" i="40"/>
  <c r="P383" i="40"/>
  <c r="P381" i="40"/>
  <c r="P379" i="40"/>
  <c r="P377" i="40"/>
  <c r="P375" i="40"/>
  <c r="P373" i="40"/>
  <c r="P371" i="40"/>
  <c r="P369" i="40"/>
  <c r="P367" i="40"/>
  <c r="P365" i="40"/>
  <c r="P363" i="40"/>
  <c r="P359" i="40"/>
  <c r="P357" i="40"/>
  <c r="P355" i="40"/>
  <c r="P353" i="40"/>
  <c r="P351" i="40"/>
  <c r="P349" i="40"/>
  <c r="P347" i="40"/>
  <c r="P345" i="40"/>
  <c r="P343" i="40"/>
  <c r="P341" i="40"/>
  <c r="P339" i="40"/>
  <c r="P337" i="40"/>
  <c r="P335" i="40"/>
  <c r="P331" i="40"/>
  <c r="P327" i="40"/>
  <c r="P325" i="40"/>
  <c r="P323" i="40"/>
  <c r="P321" i="40"/>
  <c r="P319" i="40"/>
  <c r="P317" i="40"/>
  <c r="P315" i="40"/>
  <c r="P313" i="40"/>
  <c r="P311" i="40"/>
  <c r="P309" i="40"/>
  <c r="P307" i="40"/>
  <c r="P305" i="40"/>
  <c r="P303" i="40"/>
  <c r="P299" i="40"/>
  <c r="P295" i="40"/>
  <c r="P287" i="40"/>
  <c r="P279" i="40"/>
  <c r="P271" i="40"/>
  <c r="P265" i="40"/>
  <c r="P255" i="40"/>
  <c r="P241" i="40"/>
  <c r="P229" i="40"/>
  <c r="P217" i="40"/>
  <c r="P197" i="40"/>
  <c r="P185" i="40"/>
  <c r="P165" i="40"/>
  <c r="P153" i="40"/>
  <c r="P141" i="40"/>
  <c r="P125" i="40"/>
  <c r="P93" i="40"/>
  <c r="P65" i="40"/>
  <c r="P55" i="40"/>
  <c r="P45" i="40"/>
  <c r="P33" i="40"/>
  <c r="P23" i="40"/>
  <c r="P9" i="40"/>
  <c r="H9" i="40"/>
  <c r="P561" i="40"/>
  <c r="P557" i="40"/>
  <c r="P493" i="40"/>
  <c r="P465" i="40"/>
  <c r="P583" i="40"/>
  <c r="P580" i="42"/>
  <c r="P578" i="42"/>
  <c r="P576" i="42"/>
  <c r="P574" i="42"/>
  <c r="P572" i="42"/>
  <c r="P570" i="42"/>
  <c r="P568" i="42"/>
  <c r="P566" i="42"/>
  <c r="P564" i="42"/>
  <c r="P562" i="42"/>
  <c r="P560" i="42"/>
  <c r="P558" i="42"/>
  <c r="P556" i="42"/>
  <c r="P554" i="42"/>
  <c r="P552" i="42"/>
  <c r="P582" i="40"/>
  <c r="P574" i="40"/>
  <c r="P566" i="40"/>
  <c r="P558" i="40"/>
  <c r="P550" i="42"/>
  <c r="P540" i="40"/>
  <c r="P534" i="42"/>
  <c r="P524" i="40"/>
  <c r="P518" i="42"/>
  <c r="P508" i="40"/>
  <c r="P502" i="42"/>
  <c r="P492" i="40"/>
  <c r="P486" i="42"/>
  <c r="P476" i="40"/>
  <c r="P470" i="42"/>
  <c r="P460" i="40"/>
  <c r="P454" i="42"/>
  <c r="P444" i="40"/>
  <c r="P438" i="42"/>
  <c r="P428" i="40"/>
  <c r="P422" i="42"/>
  <c r="P412" i="40"/>
  <c r="P406" i="42"/>
  <c r="P396" i="40"/>
  <c r="P390" i="42"/>
  <c r="P380" i="40"/>
  <c r="P376" i="42"/>
  <c r="P372" i="42"/>
  <c r="P368" i="42"/>
  <c r="P364" i="42"/>
  <c r="P360" i="42"/>
  <c r="P356" i="42"/>
  <c r="P352" i="42"/>
  <c r="P348" i="42"/>
  <c r="P344" i="42"/>
  <c r="P340" i="42"/>
  <c r="P336" i="42"/>
  <c r="P332" i="42"/>
  <c r="P326" i="40"/>
  <c r="P316" i="42"/>
  <c r="P310" i="40"/>
  <c r="P300" i="42"/>
  <c r="P294" i="40"/>
  <c r="P284" i="42"/>
  <c r="P278" i="40"/>
  <c r="P268" i="42"/>
  <c r="P262" i="40"/>
  <c r="P252" i="42"/>
  <c r="P246" i="40"/>
  <c r="P236" i="42"/>
  <c r="P233" i="40"/>
  <c r="P230" i="40"/>
  <c r="P224" i="40"/>
  <c r="P220" i="42"/>
  <c r="P214" i="40"/>
  <c r="P204" i="42"/>
  <c r="P198" i="40"/>
  <c r="P188" i="42"/>
  <c r="P182" i="40"/>
  <c r="P172" i="42"/>
  <c r="P166" i="40"/>
  <c r="P156" i="42"/>
  <c r="P150" i="40"/>
  <c r="P140" i="42"/>
  <c r="P134" i="40"/>
  <c r="P124" i="42"/>
  <c r="P118" i="40"/>
  <c r="P108" i="42"/>
  <c r="P102" i="40"/>
  <c r="P92" i="42"/>
  <c r="P86" i="40"/>
  <c r="P76" i="42"/>
  <c r="P70" i="40"/>
  <c r="P60" i="42"/>
  <c r="P54" i="40"/>
  <c r="P44" i="42"/>
  <c r="P38" i="40"/>
  <c r="P28" i="42"/>
  <c r="P22" i="40"/>
  <c r="P12" i="42"/>
  <c r="P6" i="40"/>
  <c r="H8" i="40"/>
  <c r="I8" i="40" s="1"/>
  <c r="H12" i="40"/>
  <c r="C6" i="32"/>
  <c r="B22" i="38"/>
  <c r="B23" i="38" s="1"/>
  <c r="B24" i="38" s="1"/>
  <c r="P242" i="42"/>
  <c r="P220" i="40"/>
  <c r="P210" i="42"/>
  <c r="P204" i="40"/>
  <c r="P194" i="42"/>
  <c r="P191" i="40"/>
  <c r="P178" i="42"/>
  <c r="P172" i="40"/>
  <c r="P162" i="42"/>
  <c r="P156" i="40"/>
  <c r="P143" i="40"/>
  <c r="P140" i="40"/>
  <c r="P130" i="42"/>
  <c r="P124" i="40"/>
  <c r="P114" i="42"/>
  <c r="P108" i="40"/>
  <c r="P98" i="42"/>
  <c r="P92" i="40"/>
  <c r="P82" i="42"/>
  <c r="P76" i="40"/>
  <c r="P66" i="42"/>
  <c r="P60" i="40"/>
  <c r="P50" i="42"/>
  <c r="P44" i="40"/>
  <c r="P34" i="42"/>
  <c r="P28" i="40"/>
  <c r="P18" i="42"/>
  <c r="P12" i="40"/>
  <c r="I16" i="40"/>
  <c r="C22" i="32"/>
  <c r="A11" i="32"/>
  <c r="P432" i="40"/>
  <c r="P258" i="40"/>
  <c r="P226" i="40"/>
  <c r="P194" i="40"/>
  <c r="P162" i="40"/>
  <c r="P136" i="42"/>
  <c r="P130" i="40"/>
  <c r="P88" i="42"/>
  <c r="P72" i="42"/>
  <c r="P56" i="42"/>
  <c r="P40" i="42"/>
  <c r="P24" i="42"/>
  <c r="N2" i="40"/>
  <c r="B22" i="39"/>
  <c r="P538" i="40"/>
  <c r="P484" i="42"/>
  <c r="P474" i="40"/>
  <c r="P458" i="40"/>
  <c r="P442" i="40"/>
  <c r="P394" i="40"/>
  <c r="P312" i="40"/>
  <c r="P302" i="42"/>
  <c r="P280" i="40"/>
  <c r="P254" i="42"/>
  <c r="P232" i="40"/>
  <c r="P216" i="40"/>
  <c r="P200" i="40"/>
  <c r="P171" i="40"/>
  <c r="P152" i="40"/>
  <c r="P139" i="40"/>
  <c r="P120" i="40"/>
  <c r="P107" i="40"/>
  <c r="P94" i="42"/>
  <c r="P72" i="40"/>
  <c r="P56" i="40"/>
  <c r="P43" i="40"/>
  <c r="P24" i="40"/>
  <c r="P14" i="42"/>
  <c r="I18" i="40"/>
  <c r="C4" i="35"/>
  <c r="P578" i="40"/>
  <c r="P420" i="40"/>
  <c r="P398" i="42"/>
  <c r="P378" i="42"/>
  <c r="P366" i="42"/>
  <c r="P354" i="42"/>
  <c r="P338" i="42"/>
  <c r="P308" i="42"/>
  <c r="P286" i="40"/>
  <c r="P276" i="42"/>
  <c r="P244" i="42"/>
  <c r="P228" i="42"/>
  <c r="P206" i="40"/>
  <c r="P180" i="42"/>
  <c r="P158" i="40"/>
  <c r="P142" i="40"/>
  <c r="P78" i="40"/>
  <c r="P52" i="42"/>
  <c r="P36" i="42"/>
  <c r="P14" i="40"/>
  <c r="I15" i="40"/>
  <c r="I12" i="40"/>
  <c r="P526" i="40"/>
  <c r="P408" i="42"/>
  <c r="P392" i="42"/>
  <c r="P374" i="40"/>
  <c r="P358" i="40"/>
  <c r="P338" i="40"/>
  <c r="P314" i="42"/>
  <c r="P292" i="40"/>
  <c r="P282" i="42"/>
  <c r="P260" i="40"/>
  <c r="P228" i="40"/>
  <c r="P212" i="40"/>
  <c r="P196" i="40"/>
  <c r="P167" i="40"/>
  <c r="P132" i="40"/>
  <c r="P106" i="42"/>
  <c r="P68" i="40"/>
  <c r="P52" i="40"/>
  <c r="P39" i="40"/>
  <c r="P26" i="42"/>
  <c r="D4" i="35"/>
  <c r="P576" i="40"/>
  <c r="P520" i="40"/>
  <c r="P488" i="40"/>
  <c r="P434" i="42"/>
  <c r="P402" i="42"/>
  <c r="P298" i="40"/>
  <c r="P288" i="42"/>
  <c r="P272" i="42"/>
  <c r="P250" i="40"/>
  <c r="P208" i="42"/>
  <c r="P550" i="40"/>
  <c r="P544" i="42"/>
  <c r="P534" i="40"/>
  <c r="P528" i="42"/>
  <c r="P518" i="40"/>
  <c r="P512" i="42"/>
  <c r="P502" i="40"/>
  <c r="P496" i="42"/>
  <c r="P486" i="40"/>
  <c r="P480" i="42"/>
  <c r="P470" i="40"/>
  <c r="P464" i="42"/>
  <c r="P454" i="40"/>
  <c r="P448" i="42"/>
  <c r="P438" i="40"/>
  <c r="P432" i="42"/>
  <c r="P422" i="40"/>
  <c r="P416" i="42"/>
  <c r="P406" i="40"/>
  <c r="P400" i="42"/>
  <c r="P390" i="40"/>
  <c r="P384" i="42"/>
  <c r="P376" i="40"/>
  <c r="P372" i="40"/>
  <c r="P368" i="40"/>
  <c r="P364" i="40"/>
  <c r="P360" i="40"/>
  <c r="P356" i="40"/>
  <c r="P352" i="40"/>
  <c r="P348" i="40"/>
  <c r="P344" i="40"/>
  <c r="P340" i="40"/>
  <c r="P336" i="40"/>
  <c r="P332" i="40"/>
  <c r="P322" i="42"/>
  <c r="P316" i="40"/>
  <c r="P306" i="42"/>
  <c r="P300" i="40"/>
  <c r="P290" i="42"/>
  <c r="P284" i="40"/>
  <c r="P274" i="42"/>
  <c r="P268" i="40"/>
  <c r="P258" i="42"/>
  <c r="P252" i="40"/>
  <c r="P236" i="40"/>
  <c r="P226" i="42"/>
  <c r="P207" i="40"/>
  <c r="P188" i="40"/>
  <c r="P175" i="40"/>
  <c r="P146" i="42"/>
  <c r="P127" i="40"/>
  <c r="P95" i="40"/>
  <c r="P79" i="40"/>
  <c r="P63" i="40"/>
  <c r="P47" i="40"/>
  <c r="P31" i="40"/>
  <c r="P15" i="40"/>
  <c r="C24" i="32"/>
  <c r="P442" i="42"/>
  <c r="P328" i="42"/>
  <c r="P322" i="40"/>
  <c r="P306" i="40"/>
  <c r="P296" i="42"/>
  <c r="P280" i="42"/>
  <c r="P264" i="42"/>
  <c r="P248" i="42"/>
  <c r="P242" i="40"/>
  <c r="P216" i="42"/>
  <c r="P200" i="42"/>
  <c r="P184" i="42"/>
  <c r="P178" i="40"/>
  <c r="P168" i="42"/>
  <c r="P152" i="42"/>
  <c r="P120" i="42"/>
  <c r="P114" i="40"/>
  <c r="P104" i="42"/>
  <c r="P82" i="40"/>
  <c r="P66" i="40"/>
  <c r="P50" i="40"/>
  <c r="P34" i="40"/>
  <c r="P18" i="40"/>
  <c r="P8" i="42"/>
  <c r="D7" i="35"/>
  <c r="P500" i="42"/>
  <c r="P468" i="42"/>
  <c r="P452" i="42"/>
  <c r="P436" i="42"/>
  <c r="P426" i="40"/>
  <c r="P404" i="42"/>
  <c r="P388" i="42"/>
  <c r="P328" i="40"/>
  <c r="P318" i="42"/>
  <c r="P270" i="42"/>
  <c r="P248" i="40"/>
  <c r="P222" i="42"/>
  <c r="P206" i="42"/>
  <c r="P184" i="40"/>
  <c r="P168" i="40"/>
  <c r="P136" i="40"/>
  <c r="P126" i="42"/>
  <c r="P104" i="40"/>
  <c r="P78" i="42"/>
  <c r="P46" i="42"/>
  <c r="P8" i="40"/>
  <c r="C23" i="38"/>
  <c r="P562" i="40"/>
  <c r="P452" i="40"/>
  <c r="P430" i="42"/>
  <c r="P388" i="40"/>
  <c r="P374" i="42"/>
  <c r="P362" i="42"/>
  <c r="P350" i="42"/>
  <c r="P334" i="42"/>
  <c r="P324" i="42"/>
  <c r="P302" i="40"/>
  <c r="P270" i="40"/>
  <c r="P260" i="42"/>
  <c r="P238" i="40"/>
  <c r="P222" i="40"/>
  <c r="P212" i="42"/>
  <c r="P190" i="40"/>
  <c r="P164" i="42"/>
  <c r="P126" i="40"/>
  <c r="P116" i="42"/>
  <c r="P94" i="40"/>
  <c r="P84" i="42"/>
  <c r="P62" i="40"/>
  <c r="P20" i="42"/>
  <c r="C14" i="32"/>
  <c r="P440" i="42"/>
  <c r="P414" i="40"/>
  <c r="P382" i="40"/>
  <c r="P366" i="40"/>
  <c r="P342" i="40"/>
  <c r="P330" i="42"/>
  <c r="P308" i="40"/>
  <c r="P250" i="42"/>
  <c r="P234" i="42"/>
  <c r="P199" i="40"/>
  <c r="P180" i="40"/>
  <c r="P170" i="42"/>
  <c r="P148" i="40"/>
  <c r="P122" i="42"/>
  <c r="P100" i="40"/>
  <c r="P90" i="42"/>
  <c r="P71" i="40"/>
  <c r="P42" i="42"/>
  <c r="P4" i="40"/>
  <c r="I9" i="40"/>
  <c r="P560" i="40"/>
  <c r="P504" i="40"/>
  <c r="P482" i="42"/>
  <c r="P472" i="40"/>
  <c r="P440" i="40"/>
  <c r="P418" i="42"/>
  <c r="P392" i="40"/>
  <c r="P314" i="40"/>
  <c r="P304" i="42"/>
  <c r="P282" i="40"/>
  <c r="P256" i="42"/>
  <c r="P240" i="42"/>
  <c r="P202" i="40"/>
  <c r="P192" i="42"/>
  <c r="P580" i="40"/>
  <c r="P564" i="40"/>
  <c r="P556" i="40"/>
  <c r="P544" i="40"/>
  <c r="P538" i="42"/>
  <c r="P528" i="40"/>
  <c r="P522" i="42"/>
  <c r="P512" i="40"/>
  <c r="P506" i="42"/>
  <c r="P496" i="40"/>
  <c r="P490" i="42"/>
  <c r="P480" i="40"/>
  <c r="P474" i="42"/>
  <c r="P464" i="40"/>
  <c r="P458" i="42"/>
  <c r="P448" i="40"/>
  <c r="P426" i="42"/>
  <c r="P416" i="40"/>
  <c r="P410" i="42"/>
  <c r="P400" i="40"/>
  <c r="P394" i="42"/>
  <c r="P384" i="40"/>
  <c r="P312" i="42"/>
  <c r="P290" i="40"/>
  <c r="P274" i="40"/>
  <c r="P232" i="42"/>
  <c r="P210" i="40"/>
  <c r="P146" i="40"/>
  <c r="P98" i="40"/>
  <c r="I20" i="40"/>
  <c r="C15" i="32"/>
  <c r="P532" i="42"/>
  <c r="P410" i="40"/>
  <c r="P296" i="40"/>
  <c r="P286" i="42"/>
  <c r="P264" i="40"/>
  <c r="P238" i="42"/>
  <c r="P203" i="40"/>
  <c r="P190" i="42"/>
  <c r="P174" i="42"/>
  <c r="P158" i="42"/>
  <c r="P142" i="42"/>
  <c r="P110" i="42"/>
  <c r="P88" i="40"/>
  <c r="P75" i="40"/>
  <c r="P62" i="42"/>
  <c r="P40" i="40"/>
  <c r="P30" i="42"/>
  <c r="C12" i="32"/>
  <c r="P570" i="40"/>
  <c r="P462" i="42"/>
  <c r="P436" i="40"/>
  <c r="P414" i="42"/>
  <c r="P382" i="42"/>
  <c r="P370" i="42"/>
  <c r="P358" i="42"/>
  <c r="P342" i="42"/>
  <c r="P318" i="40"/>
  <c r="P196" i="42"/>
  <c r="P174" i="40"/>
  <c r="P148" i="42"/>
  <c r="P110" i="40"/>
  <c r="P68" i="42"/>
  <c r="P46" i="40"/>
  <c r="P30" i="40"/>
  <c r="P4" i="42"/>
  <c r="C19" i="32"/>
  <c r="P536" i="42"/>
  <c r="P430" i="40"/>
  <c r="P398" i="40"/>
  <c r="P378" i="40"/>
  <c r="P362" i="40"/>
  <c r="P350" i="40"/>
  <c r="P334" i="40"/>
  <c r="P324" i="40"/>
  <c r="P298" i="42"/>
  <c r="P266" i="42"/>
  <c r="P244" i="40"/>
  <c r="P202" i="42"/>
  <c r="P186" i="42"/>
  <c r="P154" i="42"/>
  <c r="P116" i="40"/>
  <c r="P103" i="40"/>
  <c r="P84" i="40"/>
  <c r="P36" i="40"/>
  <c r="P10" i="42"/>
  <c r="P546" i="42"/>
  <c r="P498" i="42"/>
  <c r="P466" i="42"/>
  <c r="P424" i="40"/>
  <c r="P408" i="40"/>
  <c r="P320" i="42"/>
  <c r="P234" i="40"/>
  <c r="P572" i="40"/>
  <c r="P548" i="42"/>
  <c r="P522" i="40"/>
  <c r="P516" i="42"/>
  <c r="P506" i="40"/>
  <c r="P490" i="40"/>
  <c r="P420" i="42"/>
  <c r="P354" i="40"/>
  <c r="P138" i="42"/>
  <c r="P58" i="42"/>
  <c r="F10" i="32"/>
  <c r="P568" i="40"/>
  <c r="P554" i="40"/>
  <c r="P548" i="40"/>
  <c r="P542" i="42"/>
  <c r="P532" i="40"/>
  <c r="P526" i="42"/>
  <c r="P516" i="40"/>
  <c r="P510" i="42"/>
  <c r="P500" i="40"/>
  <c r="P494" i="42"/>
  <c r="P484" i="40"/>
  <c r="P478" i="42"/>
  <c r="P468" i="40"/>
  <c r="P446" i="42"/>
  <c r="P404" i="40"/>
  <c r="P346" i="42"/>
  <c r="P292" i="42"/>
  <c r="P254" i="40"/>
  <c r="P132" i="42"/>
  <c r="P100" i="42"/>
  <c r="P346" i="40"/>
  <c r="P74" i="42"/>
  <c r="P20" i="40"/>
  <c r="P456" i="40"/>
  <c r="P386" i="42"/>
  <c r="P276" i="40"/>
  <c r="P224" i="42"/>
  <c r="P542" i="40"/>
  <c r="P520" i="42"/>
  <c r="P510" i="40"/>
  <c r="P504" i="42"/>
  <c r="P494" i="40"/>
  <c r="P488" i="42"/>
  <c r="P478" i="40"/>
  <c r="P472" i="42"/>
  <c r="P462" i="40"/>
  <c r="P456" i="42"/>
  <c r="P446" i="40"/>
  <c r="P424" i="42"/>
  <c r="P370" i="40"/>
  <c r="P218" i="42"/>
  <c r="P552" i="40"/>
  <c r="P330" i="40"/>
  <c r="P266" i="40"/>
  <c r="P218" i="40"/>
  <c r="P536" i="40"/>
  <c r="P530" i="42"/>
  <c r="P514" i="42"/>
  <c r="P450" i="42"/>
  <c r="P546" i="40"/>
  <c r="P540" i="42"/>
  <c r="P530" i="40"/>
  <c r="P524" i="42"/>
  <c r="P514" i="40"/>
  <c r="P508" i="42"/>
  <c r="P498" i="40"/>
  <c r="P492" i="42"/>
  <c r="P482" i="40"/>
  <c r="P476" i="42"/>
  <c r="P466" i="40"/>
  <c r="P460" i="42"/>
  <c r="P450" i="40"/>
  <c r="P444" i="42"/>
  <c r="P434" i="40"/>
  <c r="P428" i="42"/>
  <c r="P418" i="40"/>
  <c r="P412" i="42"/>
  <c r="P402" i="40"/>
  <c r="P396" i="42"/>
  <c r="P386" i="40"/>
  <c r="P380" i="42"/>
  <c r="P240" i="40"/>
  <c r="P192" i="40"/>
  <c r="P176" i="42"/>
  <c r="P164" i="40"/>
  <c r="P138" i="40"/>
  <c r="P112" i="42"/>
  <c r="P74" i="40"/>
  <c r="P48" i="42"/>
  <c r="P10" i="40"/>
  <c r="D5" i="35"/>
  <c r="P288" i="40"/>
  <c r="P262" i="42"/>
  <c r="P214" i="42"/>
  <c r="P176" i="40"/>
  <c r="P163" i="40"/>
  <c r="P150" i="42"/>
  <c r="P112" i="40"/>
  <c r="P99" i="40"/>
  <c r="P86" i="42"/>
  <c r="P48" i="40"/>
  <c r="P35" i="40"/>
  <c r="P22" i="42"/>
  <c r="C2" i="32"/>
  <c r="P310" i="42"/>
  <c r="P211" i="40"/>
  <c r="P160" i="42"/>
  <c r="P122" i="40"/>
  <c r="P96" i="42"/>
  <c r="P58" i="40"/>
  <c r="P32" i="42"/>
  <c r="C21" i="32"/>
  <c r="P256" i="40"/>
  <c r="P208" i="40"/>
  <c r="P186" i="40"/>
  <c r="P160" i="40"/>
  <c r="P147" i="40"/>
  <c r="P134" i="42"/>
  <c r="P96" i="40"/>
  <c r="P83" i="40"/>
  <c r="P70" i="42"/>
  <c r="P32" i="40"/>
  <c r="P19" i="40"/>
  <c r="P6" i="42"/>
  <c r="P304" i="40"/>
  <c r="P278" i="42"/>
  <c r="P230" i="42"/>
  <c r="P170" i="40"/>
  <c r="P144" i="42"/>
  <c r="P106" i="40"/>
  <c r="P42" i="40"/>
  <c r="P16" i="42"/>
  <c r="P326" i="42"/>
  <c r="P144" i="40"/>
  <c r="P118" i="42"/>
  <c r="P67" i="40"/>
  <c r="P272" i="40"/>
  <c r="P198" i="42"/>
  <c r="P128" i="42"/>
  <c r="P90" i="40"/>
  <c r="P64" i="42"/>
  <c r="P26" i="40"/>
  <c r="P294" i="42"/>
  <c r="P195" i="40"/>
  <c r="P166" i="42"/>
  <c r="P115" i="40"/>
  <c r="P38" i="42"/>
  <c r="M45" i="39"/>
  <c r="C5" i="35"/>
  <c r="P80" i="42"/>
  <c r="P182" i="42"/>
  <c r="P131" i="40"/>
  <c r="P80" i="40"/>
  <c r="P54" i="42"/>
  <c r="P16" i="40"/>
  <c r="P246" i="42"/>
  <c r="P154" i="40"/>
  <c r="D6" i="35"/>
  <c r="P320" i="40"/>
  <c r="P179" i="40"/>
  <c r="P128" i="40"/>
  <c r="P102" i="42"/>
  <c r="P64" i="40"/>
  <c r="E3" i="42"/>
  <c r="F3" i="42"/>
  <c r="C4" i="42"/>
  <c r="E4" i="42"/>
  <c r="C5" i="42"/>
  <c r="F4" i="42"/>
  <c r="E5" i="42"/>
  <c r="C6" i="42"/>
  <c r="F5" i="42"/>
  <c r="E6" i="42"/>
  <c r="C7" i="42"/>
  <c r="F6" i="42"/>
  <c r="E7" i="42"/>
  <c r="F7" i="42"/>
  <c r="C8" i="42"/>
  <c r="E8" i="42"/>
  <c r="F8" i="42"/>
  <c r="C9" i="42"/>
  <c r="E9" i="42"/>
  <c r="F9" i="42"/>
  <c r="C10" i="42"/>
  <c r="E10" i="42"/>
  <c r="F10" i="42"/>
  <c r="C11" i="42"/>
  <c r="P12" i="32" l="1"/>
  <c r="P19" i="32"/>
  <c r="U6" i="32"/>
  <c r="U19" i="32"/>
  <c r="P21" i="32"/>
  <c r="P22" i="32"/>
  <c r="D11" i="42"/>
  <c r="D10" i="42"/>
  <c r="D9" i="42"/>
  <c r="D8" i="42"/>
  <c r="D7" i="42"/>
  <c r="D6" i="42"/>
  <c r="D5" i="42"/>
  <c r="D4" i="42"/>
  <c r="Q64" i="40"/>
  <c r="Q102" i="42"/>
  <c r="Q128" i="40"/>
  <c r="Q179" i="40"/>
  <c r="Q320" i="40"/>
  <c r="Q154" i="40"/>
  <c r="Q246" i="42"/>
  <c r="Q16" i="40"/>
  <c r="Q54" i="42"/>
  <c r="Q80" i="40"/>
  <c r="Q131" i="40"/>
  <c r="Q182" i="42"/>
  <c r="Q80" i="42"/>
  <c r="Q38" i="42"/>
  <c r="Q115" i="40"/>
  <c r="Q166" i="42"/>
  <c r="Q195" i="40"/>
  <c r="Q294" i="42"/>
  <c r="Q26" i="40"/>
  <c r="Q64" i="42"/>
  <c r="Q90" i="40"/>
  <c r="Q128" i="42"/>
  <c r="Q198" i="42"/>
  <c r="Q272" i="40"/>
  <c r="Q67" i="40"/>
  <c r="Q118" i="42"/>
  <c r="Q144" i="40"/>
  <c r="Q326" i="42"/>
  <c r="Q16" i="42"/>
  <c r="Q42" i="40"/>
  <c r="Q106" i="40"/>
  <c r="Q144" i="42"/>
  <c r="Q170" i="40"/>
  <c r="Q230" i="42"/>
  <c r="Q278" i="42"/>
  <c r="Q304" i="40"/>
  <c r="Q6" i="42"/>
  <c r="Q19" i="40"/>
  <c r="Q32" i="40"/>
  <c r="Q70" i="42"/>
  <c r="Q83" i="40"/>
  <c r="Q96" i="40"/>
  <c r="Q134" i="42"/>
  <c r="Q147" i="40"/>
  <c r="Q160" i="40"/>
  <c r="Q186" i="40"/>
  <c r="Q208" i="40"/>
  <c r="Q256" i="40"/>
  <c r="Q32" i="42"/>
  <c r="Q58" i="40"/>
  <c r="Q96" i="42"/>
  <c r="Q122" i="40"/>
  <c r="Q160" i="42"/>
  <c r="Q211" i="40"/>
  <c r="Q310" i="42"/>
  <c r="Q22" i="42"/>
  <c r="Q35" i="40"/>
  <c r="Q48" i="40"/>
  <c r="Q86" i="42"/>
  <c r="Q99" i="40"/>
  <c r="Q112" i="40"/>
  <c r="Q150" i="42"/>
  <c r="Q163" i="40"/>
  <c r="Q176" i="40"/>
  <c r="Q214" i="42"/>
  <c r="Q262" i="42"/>
  <c r="Q288" i="40"/>
  <c r="Q10" i="40"/>
  <c r="Q48" i="42"/>
  <c r="Q74" i="40"/>
  <c r="Q112" i="42"/>
  <c r="Q138" i="40"/>
  <c r="Q164" i="40"/>
  <c r="Q176" i="42"/>
  <c r="Q192" i="40"/>
  <c r="Q240" i="40"/>
  <c r="Q380" i="42"/>
  <c r="Q386" i="40"/>
  <c r="Q396" i="42"/>
  <c r="Q402" i="40"/>
  <c r="Q412" i="42"/>
  <c r="Q418" i="40"/>
  <c r="Q428" i="42"/>
  <c r="Q434" i="40"/>
  <c r="Q444" i="42"/>
  <c r="Q450" i="40"/>
  <c r="Q460" i="42"/>
  <c r="Q466" i="40"/>
  <c r="Q476" i="42"/>
  <c r="Q482" i="40"/>
  <c r="Q492" i="42"/>
  <c r="Q498" i="40"/>
  <c r="Q508" i="42"/>
  <c r="Q514" i="40"/>
  <c r="Q524" i="42"/>
  <c r="Q530" i="40"/>
  <c r="Q540" i="42"/>
  <c r="Q546" i="40"/>
  <c r="Q450" i="42"/>
  <c r="Q514" i="42"/>
  <c r="Q530" i="42"/>
  <c r="Q536" i="40"/>
  <c r="Q218" i="40"/>
  <c r="Q266" i="40"/>
  <c r="Q330" i="40"/>
  <c r="Q552" i="40"/>
  <c r="Q218" i="42"/>
  <c r="Q370" i="40"/>
  <c r="Q424" i="42"/>
  <c r="Q446" i="40"/>
  <c r="Q456" i="42"/>
  <c r="Q462" i="40"/>
  <c r="Q472" i="42"/>
  <c r="Q478" i="40"/>
  <c r="Q488" i="42"/>
  <c r="Q494" i="40"/>
  <c r="Q504" i="42"/>
  <c r="Q510" i="40"/>
  <c r="Q520" i="42"/>
  <c r="Q542" i="40"/>
  <c r="Q224" i="42"/>
  <c r="Q276" i="40"/>
  <c r="Q386" i="42"/>
  <c r="Q456" i="40"/>
  <c r="Q20" i="40"/>
  <c r="Q74" i="42"/>
  <c r="Q346" i="40"/>
  <c r="Q100" i="42"/>
  <c r="Q132" i="42"/>
  <c r="Q254" i="40"/>
  <c r="Q292" i="42"/>
  <c r="Q346" i="42"/>
  <c r="Q404" i="40"/>
  <c r="Q446" i="42"/>
  <c r="Q468" i="40"/>
  <c r="Q478" i="42"/>
  <c r="Q484" i="40"/>
  <c r="Q494" i="42"/>
  <c r="Q500" i="40"/>
  <c r="Q510" i="42"/>
  <c r="Q516" i="40"/>
  <c r="Q526" i="42"/>
  <c r="Q532" i="40"/>
  <c r="Q542" i="42"/>
  <c r="Q548" i="40"/>
  <c r="Q554" i="40"/>
  <c r="Q568" i="40"/>
  <c r="Q58" i="42"/>
  <c r="Q138" i="42"/>
  <c r="Q354" i="40"/>
  <c r="Q420" i="42"/>
  <c r="Q490" i="40"/>
  <c r="Q506" i="40"/>
  <c r="Q516" i="42"/>
  <c r="Q522" i="40"/>
  <c r="Q548" i="42"/>
  <c r="Q572" i="40"/>
  <c r="Q234" i="40"/>
  <c r="Q320" i="42"/>
  <c r="Q408" i="40"/>
  <c r="Q424" i="40"/>
  <c r="Q466" i="42"/>
  <c r="Q498" i="42"/>
  <c r="Q546" i="42"/>
  <c r="Q10" i="42"/>
  <c r="Q36" i="40"/>
  <c r="Q84" i="40"/>
  <c r="Q103" i="40"/>
  <c r="Q116" i="40"/>
  <c r="Q154" i="42"/>
  <c r="Q186" i="42"/>
  <c r="Q202" i="42"/>
  <c r="Q244" i="40"/>
  <c r="Q266" i="42"/>
  <c r="Q298" i="42"/>
  <c r="Q324" i="40"/>
  <c r="Q334" i="40"/>
  <c r="Q350" i="40"/>
  <c r="Q362" i="40"/>
  <c r="Q378" i="40"/>
  <c r="Q398" i="40"/>
  <c r="Q430" i="40"/>
  <c r="Q536" i="42"/>
  <c r="Q4" i="42"/>
  <c r="Q30" i="40"/>
  <c r="Q46" i="40"/>
  <c r="Q68" i="42"/>
  <c r="Q110" i="40"/>
  <c r="Q148" i="42"/>
  <c r="Q174" i="40"/>
  <c r="Q196" i="42"/>
  <c r="Q318" i="40"/>
  <c r="Q342" i="42"/>
  <c r="Q358" i="42"/>
  <c r="Q370" i="42"/>
  <c r="Q382" i="42"/>
  <c r="Q414" i="42"/>
  <c r="Q436" i="40"/>
  <c r="Q462" i="42"/>
  <c r="Q570" i="40"/>
  <c r="Q30" i="42"/>
  <c r="Q40" i="40"/>
  <c r="Q62" i="42"/>
  <c r="Q75" i="40"/>
  <c r="Q88" i="40"/>
  <c r="Q110" i="42"/>
  <c r="Q142" i="42"/>
  <c r="Q158" i="42"/>
  <c r="Q174" i="42"/>
  <c r="Q190" i="42"/>
  <c r="Q203" i="40"/>
  <c r="Q238" i="42"/>
  <c r="Q264" i="40"/>
  <c r="Q286" i="42"/>
  <c r="Q296" i="40"/>
  <c r="Q410" i="40"/>
  <c r="Q532" i="42"/>
  <c r="Q98" i="40"/>
  <c r="Q146" i="40"/>
  <c r="Q210" i="40"/>
  <c r="Q232" i="42"/>
  <c r="Q274" i="40"/>
  <c r="Q290" i="40"/>
  <c r="Q312" i="42"/>
  <c r="Q384" i="40"/>
  <c r="Q394" i="42"/>
  <c r="Q400" i="40"/>
  <c r="Q410" i="42"/>
  <c r="Q416" i="40"/>
  <c r="Q426" i="42"/>
  <c r="Q448" i="40"/>
  <c r="Q458" i="42"/>
  <c r="Q464" i="40"/>
  <c r="Q474" i="42"/>
  <c r="Q480" i="40"/>
  <c r="Q490" i="42"/>
  <c r="Q496" i="40"/>
  <c r="Q506" i="42"/>
  <c r="Q512" i="40"/>
  <c r="Q522" i="42"/>
  <c r="Q528" i="40"/>
  <c r="Q538" i="42"/>
  <c r="Q544" i="40"/>
  <c r="Q556" i="40"/>
  <c r="Q564" i="40"/>
  <c r="Q580" i="40"/>
  <c r="Q192" i="42"/>
  <c r="Q202" i="40"/>
  <c r="Q240" i="42"/>
  <c r="Q256" i="42"/>
  <c r="Q282" i="40"/>
  <c r="Q304" i="42"/>
  <c r="Q314" i="40"/>
  <c r="Q392" i="40"/>
  <c r="Q418" i="42"/>
  <c r="Q440" i="40"/>
  <c r="Q472" i="40"/>
  <c r="Q482" i="42"/>
  <c r="Q504" i="40"/>
  <c r="Q560" i="40"/>
  <c r="Q4" i="40"/>
  <c r="Q42" i="42"/>
  <c r="Q71" i="40"/>
  <c r="Q90" i="42"/>
  <c r="Q100" i="40"/>
  <c r="Q122" i="42"/>
  <c r="Q148" i="40"/>
  <c r="Q170" i="42"/>
  <c r="Q180" i="40"/>
  <c r="Q199" i="40"/>
  <c r="Q234" i="42"/>
  <c r="Q250" i="42"/>
  <c r="Q308" i="40"/>
  <c r="Q330" i="42"/>
  <c r="Q342" i="40"/>
  <c r="Q366" i="40"/>
  <c r="Q382" i="40"/>
  <c r="Q414" i="40"/>
  <c r="Q440" i="42"/>
  <c r="Q20" i="42"/>
  <c r="Q62" i="40"/>
  <c r="Q84" i="42"/>
  <c r="Q94" i="40"/>
  <c r="Q116" i="42"/>
  <c r="Q126" i="40"/>
  <c r="Q164" i="42"/>
  <c r="Q190" i="40"/>
  <c r="Q212" i="42"/>
  <c r="Q222" i="40"/>
  <c r="Q238" i="40"/>
  <c r="Q260" i="42"/>
  <c r="Q270" i="40"/>
  <c r="Q302" i="40"/>
  <c r="Q324" i="42"/>
  <c r="Q334" i="42"/>
  <c r="Q350" i="42"/>
  <c r="Q362" i="42"/>
  <c r="Q374" i="42"/>
  <c r="Q388" i="40"/>
  <c r="Q430" i="42"/>
  <c r="Q452" i="40"/>
  <c r="Q562" i="40"/>
  <c r="Q8" i="40"/>
  <c r="Q46" i="42"/>
  <c r="Q78" i="42"/>
  <c r="Q104" i="40"/>
  <c r="Q126" i="42"/>
  <c r="Q136" i="40"/>
  <c r="Q168" i="40"/>
  <c r="Q184" i="40"/>
  <c r="Q206" i="42"/>
  <c r="Q222" i="42"/>
  <c r="Q248" i="40"/>
  <c r="Q270" i="42"/>
  <c r="Q318" i="42"/>
  <c r="Q328" i="40"/>
  <c r="Q388" i="42"/>
  <c r="Q404" i="42"/>
  <c r="Q426" i="40"/>
  <c r="Q436" i="42"/>
  <c r="Q452" i="42"/>
  <c r="Q468" i="42"/>
  <c r="Q500" i="42"/>
  <c r="Q8" i="42"/>
  <c r="Q18" i="40"/>
  <c r="Q34" i="40"/>
  <c r="Q50" i="40"/>
  <c r="Q66" i="40"/>
  <c r="Q82" i="40"/>
  <c r="Q104" i="42"/>
  <c r="Q114" i="40"/>
  <c r="Q120" i="42"/>
  <c r="Q152" i="42"/>
  <c r="Q168" i="42"/>
  <c r="Q178" i="40"/>
  <c r="Q184" i="42"/>
  <c r="Q200" i="42"/>
  <c r="Q216" i="42"/>
  <c r="Q242" i="40"/>
  <c r="Q248" i="42"/>
  <c r="Q264" i="42"/>
  <c r="Q280" i="42"/>
  <c r="Q296" i="42"/>
  <c r="Q306" i="40"/>
  <c r="Q322" i="40"/>
  <c r="Q328" i="42"/>
  <c r="Q442" i="42"/>
  <c r="Q15" i="40"/>
  <c r="Q31" i="40"/>
  <c r="Q47" i="40"/>
  <c r="Q63" i="40"/>
  <c r="Q79" i="40"/>
  <c r="Q95" i="40"/>
  <c r="Q127" i="40"/>
  <c r="Q146" i="42"/>
  <c r="Q175" i="40"/>
  <c r="Q188" i="40"/>
  <c r="Q207" i="40"/>
  <c r="Q226" i="42"/>
  <c r="Q236" i="40"/>
  <c r="Q252" i="40"/>
  <c r="Q258" i="42"/>
  <c r="Q268" i="40"/>
  <c r="Q274" i="42"/>
  <c r="Q284" i="40"/>
  <c r="Q290" i="42"/>
  <c r="Q300" i="40"/>
  <c r="Q306" i="42"/>
  <c r="Q316" i="40"/>
  <c r="Q322" i="42"/>
  <c r="Q332" i="40"/>
  <c r="Q336" i="40"/>
  <c r="Q340" i="40"/>
  <c r="Q344" i="40"/>
  <c r="Q348" i="40"/>
  <c r="Q352" i="40"/>
  <c r="Q356" i="40"/>
  <c r="Q360" i="40"/>
  <c r="Q364" i="40"/>
  <c r="Q368" i="40"/>
  <c r="Q372" i="40"/>
  <c r="Q376" i="40"/>
  <c r="Q384" i="42"/>
  <c r="Q390" i="40"/>
  <c r="Q400" i="42"/>
  <c r="Q406" i="40"/>
  <c r="Q416" i="42"/>
  <c r="Q422" i="40"/>
  <c r="Q432" i="42"/>
  <c r="Q438" i="40"/>
  <c r="Q448" i="42"/>
  <c r="Q454" i="40"/>
  <c r="Q464" i="42"/>
  <c r="Q470" i="40"/>
  <c r="Q480" i="42"/>
  <c r="Q486" i="40"/>
  <c r="Q496" i="42"/>
  <c r="Q502" i="40"/>
  <c r="Q512" i="42"/>
  <c r="Q518" i="40"/>
  <c r="Q528" i="42"/>
  <c r="Q534" i="40"/>
  <c r="Q544" i="42"/>
  <c r="Q550" i="40"/>
  <c r="Q208" i="42"/>
  <c r="Q250" i="40"/>
  <c r="Q272" i="42"/>
  <c r="Q288" i="42"/>
  <c r="Q298" i="40"/>
  <c r="Q402" i="42"/>
  <c r="Q434" i="42"/>
  <c r="Q488" i="40"/>
  <c r="Q520" i="40"/>
  <c r="Q576" i="40"/>
  <c r="Q26" i="42"/>
  <c r="Q39" i="40"/>
  <c r="Q52" i="40"/>
  <c r="Q68" i="40"/>
  <c r="Q106" i="42"/>
  <c r="Q132" i="40"/>
  <c r="Q167" i="40"/>
  <c r="Q196" i="40"/>
  <c r="Q212" i="40"/>
  <c r="Q228" i="40"/>
  <c r="Q260" i="40"/>
  <c r="Q282" i="42"/>
  <c r="Q292" i="40"/>
  <c r="Q314" i="42"/>
  <c r="Q338" i="40"/>
  <c r="Q358" i="40"/>
  <c r="Q374" i="40"/>
  <c r="Q392" i="42"/>
  <c r="Q408" i="42"/>
  <c r="Q526" i="40"/>
  <c r="Q14" i="40"/>
  <c r="Q36" i="42"/>
  <c r="Q52" i="42"/>
  <c r="Q78" i="40"/>
  <c r="Q142" i="40"/>
  <c r="Q158" i="40"/>
  <c r="Q180" i="42"/>
  <c r="Q206" i="40"/>
  <c r="Q228" i="42"/>
  <c r="Q244" i="42"/>
  <c r="Q276" i="42"/>
  <c r="Q286" i="40"/>
  <c r="Q308" i="42"/>
  <c r="Q338" i="42"/>
  <c r="Q354" i="42"/>
  <c r="Q366" i="42"/>
  <c r="Q378" i="42"/>
  <c r="Q398" i="42"/>
  <c r="Q420" i="40"/>
  <c r="Q578" i="40"/>
  <c r="Q14" i="42"/>
  <c r="Q24" i="40"/>
  <c r="Q43" i="40"/>
  <c r="Q56" i="40"/>
  <c r="Q72" i="40"/>
  <c r="Q94" i="42"/>
  <c r="Q107" i="40"/>
  <c r="Q120" i="40"/>
  <c r="Q139" i="40"/>
  <c r="Q152" i="40"/>
  <c r="Q171" i="40"/>
  <c r="Q200" i="40"/>
  <c r="Q216" i="40"/>
  <c r="Q232" i="40"/>
  <c r="Q254" i="42"/>
  <c r="Q280" i="40"/>
  <c r="Q302" i="42"/>
  <c r="Q312" i="40"/>
  <c r="Q394" i="40"/>
  <c r="Q442" i="40"/>
  <c r="Q458" i="40"/>
  <c r="Q474" i="40"/>
  <c r="Q484" i="42"/>
  <c r="Q538" i="40"/>
  <c r="Q24" i="42"/>
  <c r="Q40" i="42"/>
  <c r="Q56" i="42"/>
  <c r="Q72" i="42"/>
  <c r="Q88" i="42"/>
  <c r="Q130" i="40"/>
  <c r="Q136" i="42"/>
  <c r="Q162" i="40"/>
  <c r="Q194" i="40"/>
  <c r="Q226" i="40"/>
  <c r="Q258" i="40"/>
  <c r="Q432" i="40"/>
  <c r="Q12" i="40"/>
  <c r="Q18" i="42"/>
  <c r="Q28" i="40"/>
  <c r="Q34" i="42"/>
  <c r="Q44" i="40"/>
  <c r="Q50" i="42"/>
  <c r="Q60" i="40"/>
  <c r="Q66" i="42"/>
  <c r="Q76" i="40"/>
  <c r="Q82" i="42"/>
  <c r="Q92" i="40"/>
  <c r="Q98" i="42"/>
  <c r="Q108" i="40"/>
  <c r="Q114" i="42"/>
  <c r="Q124" i="40"/>
  <c r="Q130" i="42"/>
  <c r="Q140" i="40"/>
  <c r="Q143" i="40"/>
  <c r="Q156" i="40"/>
  <c r="Q162" i="42"/>
  <c r="Q172" i="40"/>
  <c r="Q178" i="42"/>
  <c r="Q191" i="40"/>
  <c r="Q194" i="42"/>
  <c r="Q204" i="40"/>
  <c r="Q210" i="42"/>
  <c r="Q220" i="40"/>
  <c r="Q242" i="42"/>
  <c r="Q6" i="40"/>
  <c r="Q12" i="42"/>
  <c r="Q22" i="40"/>
  <c r="Q28" i="42"/>
  <c r="Q38" i="40"/>
  <c r="Q44" i="42"/>
  <c r="Q54" i="40"/>
  <c r="Q60" i="42"/>
  <c r="Q70" i="40"/>
  <c r="Q76" i="42"/>
  <c r="Q86" i="40"/>
  <c r="Q92" i="42"/>
  <c r="Q102" i="40"/>
  <c r="Q108" i="42"/>
  <c r="Q118" i="40"/>
  <c r="Q124" i="42"/>
  <c r="Q134" i="40"/>
  <c r="Q140" i="42"/>
  <c r="Q150" i="40"/>
  <c r="Q156" i="42"/>
  <c r="Q166" i="40"/>
  <c r="Q172" i="42"/>
  <c r="Q182" i="40"/>
  <c r="Q188" i="42"/>
  <c r="Q198" i="40"/>
  <c r="Q204" i="42"/>
  <c r="Q214" i="40"/>
  <c r="Q220" i="42"/>
  <c r="Q224" i="40"/>
  <c r="Q230" i="40"/>
  <c r="Q233" i="40"/>
  <c r="Q236" i="42"/>
  <c r="Q246" i="40"/>
  <c r="Q252" i="42"/>
  <c r="Q262" i="40"/>
  <c r="Q268" i="42"/>
  <c r="Q278" i="40"/>
  <c r="Q284" i="42"/>
  <c r="Q294" i="40"/>
  <c r="Q300" i="42"/>
  <c r="Q310" i="40"/>
  <c r="Q316" i="42"/>
  <c r="Q326" i="40"/>
  <c r="Q332" i="42"/>
  <c r="Q336" i="42"/>
  <c r="Q340" i="42"/>
  <c r="Q344" i="42"/>
  <c r="Q348" i="42"/>
  <c r="Q352" i="42"/>
  <c r="Q356" i="42"/>
  <c r="Q360" i="42"/>
  <c r="Q364" i="42"/>
  <c r="Q368" i="42"/>
  <c r="Q372" i="42"/>
  <c r="Q376" i="42"/>
  <c r="Q380" i="40"/>
  <c r="Q390" i="42"/>
  <c r="Q396" i="40"/>
  <c r="Q406" i="42"/>
  <c r="Q412" i="40"/>
  <c r="Q422" i="42"/>
  <c r="Q428" i="40"/>
  <c r="Q438" i="42"/>
  <c r="Q444" i="40"/>
  <c r="Q454" i="42"/>
  <c r="Q460" i="40"/>
  <c r="Q470" i="42"/>
  <c r="Q476" i="40"/>
  <c r="Q486" i="42"/>
  <c r="Q492" i="40"/>
  <c r="Q502" i="42"/>
  <c r="Q508" i="40"/>
  <c r="Q518" i="42"/>
  <c r="Q524" i="40"/>
  <c r="Q534" i="42"/>
  <c r="Q540" i="40"/>
  <c r="Q550" i="42"/>
  <c r="Q558" i="40"/>
  <c r="Q566" i="40"/>
  <c r="Q574" i="40"/>
  <c r="Q582" i="40"/>
  <c r="Q552" i="42"/>
  <c r="Q554" i="42"/>
  <c r="Q556" i="42"/>
  <c r="Q558" i="42"/>
  <c r="Q560" i="42"/>
  <c r="Q562" i="42"/>
  <c r="Q564" i="42"/>
  <c r="Q566" i="42"/>
  <c r="Q568" i="42"/>
  <c r="Q570" i="42"/>
  <c r="Q572" i="42"/>
  <c r="Q574" i="42"/>
  <c r="Q576" i="42"/>
  <c r="Q578" i="42"/>
  <c r="Q580" i="42"/>
  <c r="Q583" i="40"/>
  <c r="Q465" i="40"/>
  <c r="Q493" i="40"/>
  <c r="Q557" i="40"/>
  <c r="Q561" i="40"/>
  <c r="Q9" i="40"/>
  <c r="Q23" i="40"/>
  <c r="Q33" i="40"/>
  <c r="Q45" i="40"/>
  <c r="Q55" i="40"/>
  <c r="Q65" i="40"/>
  <c r="Q93" i="40"/>
  <c r="Q125" i="40"/>
  <c r="Q141" i="40"/>
  <c r="Q153" i="40"/>
  <c r="Q165" i="40"/>
  <c r="Q185" i="40"/>
  <c r="Q197" i="40"/>
  <c r="Q217" i="40"/>
  <c r="Q229" i="40"/>
  <c r="Q241" i="40"/>
  <c r="Q255" i="40"/>
  <c r="Q265" i="40"/>
  <c r="Q271" i="40"/>
  <c r="Q279" i="40"/>
  <c r="Q287" i="40"/>
  <c r="Q295" i="40"/>
  <c r="Q299" i="40"/>
  <c r="Q303" i="40"/>
  <c r="Q305" i="40"/>
  <c r="Q307" i="40"/>
  <c r="Q309" i="40"/>
  <c r="Q311" i="40"/>
  <c r="Q313" i="40"/>
  <c r="Q315" i="40"/>
  <c r="Q317" i="40"/>
  <c r="Q319" i="40"/>
  <c r="Q321" i="40"/>
  <c r="Q323" i="40"/>
  <c r="Q325" i="40"/>
  <c r="Q327" i="40"/>
  <c r="Q331" i="40"/>
  <c r="Q335" i="40"/>
  <c r="Q337" i="40"/>
  <c r="Q339" i="40"/>
  <c r="Q341" i="40"/>
  <c r="Q343" i="40"/>
  <c r="Q345" i="40"/>
  <c r="Q347" i="40"/>
  <c r="Q349" i="40"/>
  <c r="Q351" i="40"/>
  <c r="Q353" i="40"/>
  <c r="Q355" i="40"/>
  <c r="Q357" i="40"/>
  <c r="Q359" i="40"/>
  <c r="Q363" i="40"/>
  <c r="Q365" i="40"/>
  <c r="Q367" i="40"/>
  <c r="Q369" i="40"/>
  <c r="Q371" i="40"/>
  <c r="Q373" i="40"/>
  <c r="Q375" i="40"/>
  <c r="Q377" i="40"/>
  <c r="Q379" i="40"/>
  <c r="Q381" i="40"/>
  <c r="Q383" i="40"/>
  <c r="Q385" i="40"/>
  <c r="Q387" i="40"/>
  <c r="Q389" i="40"/>
  <c r="Q391" i="40"/>
  <c r="Q393" i="40"/>
  <c r="Q395" i="40"/>
  <c r="Q397" i="40"/>
  <c r="Q399" i="40"/>
  <c r="Q401" i="40"/>
  <c r="Q403" i="40"/>
  <c r="Q405" i="40"/>
  <c r="Q407" i="40"/>
  <c r="Q409" i="40"/>
  <c r="Q411" i="40"/>
  <c r="Q413" i="40"/>
  <c r="Q415" i="40"/>
  <c r="Q417" i="40"/>
  <c r="Q419" i="40"/>
  <c r="Q421" i="40"/>
  <c r="Q423" i="40"/>
  <c r="Q425" i="40"/>
  <c r="Q427" i="40"/>
  <c r="Q429" i="40"/>
  <c r="Q431" i="40"/>
  <c r="Q433" i="40"/>
  <c r="Q435" i="40"/>
  <c r="Q437" i="40"/>
  <c r="Q439" i="40"/>
  <c r="Q441" i="40"/>
  <c r="Q443" i="40"/>
  <c r="Q445" i="40"/>
  <c r="Q447" i="40"/>
  <c r="Q449" i="40"/>
  <c r="Q451" i="40"/>
  <c r="Q453" i="40"/>
  <c r="Q455" i="40"/>
  <c r="Q457" i="40"/>
  <c r="Q459" i="40"/>
  <c r="Q461" i="40"/>
  <c r="Q463" i="40"/>
  <c r="Q467" i="40"/>
  <c r="Q469" i="40"/>
  <c r="Q471" i="40"/>
  <c r="Q473" i="40"/>
  <c r="Q475" i="40"/>
  <c r="Q477" i="40"/>
  <c r="Q479" i="40"/>
  <c r="Q481" i="40"/>
  <c r="Q483" i="40"/>
  <c r="Q485" i="40"/>
  <c r="Q487" i="40"/>
  <c r="Q489" i="40"/>
  <c r="Q491" i="40"/>
  <c r="Q495" i="40"/>
  <c r="Q497" i="40"/>
  <c r="Q499" i="40"/>
  <c r="Q501" i="40"/>
  <c r="Q503" i="40"/>
  <c r="Q505" i="40"/>
  <c r="Q507" i="40"/>
  <c r="Q509" i="40"/>
  <c r="Q511" i="40"/>
  <c r="Q513" i="40"/>
  <c r="Q515" i="40"/>
  <c r="Q517" i="40"/>
  <c r="Q519" i="40"/>
  <c r="Q521" i="40"/>
  <c r="Q523" i="40"/>
  <c r="Q525" i="40"/>
  <c r="Q527" i="40"/>
  <c r="Q529" i="40"/>
  <c r="Q531" i="40"/>
  <c r="Q533" i="40"/>
  <c r="Q535" i="40"/>
  <c r="Q537" i="40"/>
  <c r="Q539" i="40"/>
  <c r="Q541" i="40"/>
  <c r="Q543" i="40"/>
  <c r="Q545" i="40"/>
  <c r="Q547" i="40"/>
  <c r="Q549" i="40"/>
  <c r="Q551" i="40"/>
  <c r="Q553" i="40"/>
  <c r="Q555" i="40"/>
  <c r="Q559" i="40"/>
  <c r="Q563" i="40"/>
  <c r="Q565" i="40"/>
  <c r="Q567" i="40"/>
  <c r="Q569" i="40"/>
  <c r="Q571" i="40"/>
  <c r="Q573" i="40"/>
  <c r="Q575" i="40"/>
  <c r="Q577" i="40"/>
  <c r="Q579" i="40"/>
  <c r="Q581" i="40"/>
  <c r="Q584" i="40"/>
  <c r="Q333" i="40"/>
  <c r="Q5" i="40"/>
  <c r="Q11" i="40"/>
  <c r="Q17" i="40"/>
  <c r="Q21" i="40"/>
  <c r="Q27" i="40"/>
  <c r="Q37" i="40"/>
  <c r="Q49" i="40"/>
  <c r="Q51" i="40"/>
  <c r="Q57" i="40"/>
  <c r="Q61" i="40"/>
  <c r="Q73" i="40"/>
  <c r="Q81" i="40"/>
  <c r="Q87" i="40"/>
  <c r="Q89" i="40"/>
  <c r="Q105" i="40"/>
  <c r="Q109" i="40"/>
  <c r="Q113" i="40"/>
  <c r="Q119" i="40"/>
  <c r="Q123" i="40"/>
  <c r="Q129" i="40"/>
  <c r="Q133" i="40"/>
  <c r="Q137" i="40"/>
  <c r="Q151" i="40"/>
  <c r="Q157" i="40"/>
  <c r="Q161" i="40"/>
  <c r="Q169" i="40"/>
  <c r="Q173" i="40"/>
  <c r="Q183" i="40"/>
  <c r="Q187" i="40"/>
  <c r="Q193" i="40"/>
  <c r="Q205" i="40"/>
  <c r="Q215" i="40"/>
  <c r="Q221" i="40"/>
  <c r="Q225" i="40"/>
  <c r="Q231" i="40"/>
  <c r="Q235" i="40"/>
  <c r="Q239" i="40"/>
  <c r="Q245" i="40"/>
  <c r="Q249" i="40"/>
  <c r="Q253" i="40"/>
  <c r="Q259" i="40"/>
  <c r="Q263" i="40"/>
  <c r="Q269" i="40"/>
  <c r="Q275" i="40"/>
  <c r="Q281" i="40"/>
  <c r="Q285" i="40"/>
  <c r="Q291" i="40"/>
  <c r="Q297" i="40"/>
  <c r="Q329" i="40"/>
  <c r="Q5" i="42"/>
  <c r="Q9" i="42"/>
  <c r="Q13" i="42"/>
  <c r="Q19" i="42"/>
  <c r="Q23" i="42"/>
  <c r="Q27" i="42"/>
  <c r="Q31" i="42"/>
  <c r="Q35" i="42"/>
  <c r="Q39" i="42"/>
  <c r="Q45" i="42"/>
  <c r="Q49" i="42"/>
  <c r="Q53" i="42"/>
  <c r="Q57" i="42"/>
  <c r="Q61" i="42"/>
  <c r="Q65" i="42"/>
  <c r="Q69" i="42"/>
  <c r="Q73" i="42"/>
  <c r="Q79" i="42"/>
  <c r="Q83" i="42"/>
  <c r="Q87" i="42"/>
  <c r="Q93" i="42"/>
  <c r="Q97" i="42"/>
  <c r="Q101" i="42"/>
  <c r="Q107" i="42"/>
  <c r="Q111" i="42"/>
  <c r="Q115" i="42"/>
  <c r="Q119" i="42"/>
  <c r="Q123" i="42"/>
  <c r="Q127" i="42"/>
  <c r="Q131" i="42"/>
  <c r="Q135" i="42"/>
  <c r="Q137" i="42"/>
  <c r="Q141" i="42"/>
  <c r="Q147" i="42"/>
  <c r="Q151" i="42"/>
  <c r="Q153" i="42"/>
  <c r="Q157" i="42"/>
  <c r="Q161" i="42"/>
  <c r="Q165" i="42"/>
  <c r="Q169" i="42"/>
  <c r="Q175" i="42"/>
  <c r="Q179" i="42"/>
  <c r="Q183" i="42"/>
  <c r="Q187" i="42"/>
  <c r="Q191" i="42"/>
  <c r="Q195" i="42"/>
  <c r="Q201" i="42"/>
  <c r="Q205" i="42"/>
  <c r="Q209" i="42"/>
  <c r="Q213" i="42"/>
  <c r="Q217" i="42"/>
  <c r="Q221" i="42"/>
  <c r="Q225" i="42"/>
  <c r="Q229" i="42"/>
  <c r="Q233" i="42"/>
  <c r="Q237" i="42"/>
  <c r="Q241" i="42"/>
  <c r="Q247" i="42"/>
  <c r="Q251" i="42"/>
  <c r="Q255" i="42"/>
  <c r="Q259" i="42"/>
  <c r="Q265" i="42"/>
  <c r="Q269" i="42"/>
  <c r="Q273" i="42"/>
  <c r="Q277" i="42"/>
  <c r="Q281" i="42"/>
  <c r="Q285" i="42"/>
  <c r="Q289" i="42"/>
  <c r="Q293" i="42"/>
  <c r="Q297" i="42"/>
  <c r="Q301" i="42"/>
  <c r="Q303" i="42"/>
  <c r="Q307" i="42"/>
  <c r="Q309" i="42"/>
  <c r="Q313" i="42"/>
  <c r="Q315" i="42"/>
  <c r="Q317" i="42"/>
  <c r="Q319" i="42"/>
  <c r="Q321" i="42"/>
  <c r="Q323" i="42"/>
  <c r="Q325" i="42"/>
  <c r="Q327" i="42"/>
  <c r="Q329" i="42"/>
  <c r="Q331" i="42"/>
  <c r="Q333" i="42"/>
  <c r="Q335" i="42"/>
  <c r="Q337" i="42"/>
  <c r="Q339" i="42"/>
  <c r="Q341" i="42"/>
  <c r="Q343" i="42"/>
  <c r="Q345" i="42"/>
  <c r="Q347" i="42"/>
  <c r="Q349" i="42"/>
  <c r="Q351" i="42"/>
  <c r="Q353" i="42"/>
  <c r="Q355" i="42"/>
  <c r="Q357" i="42"/>
  <c r="Q361" i="42"/>
  <c r="Q363" i="42"/>
  <c r="Q365" i="42"/>
  <c r="Q367" i="42"/>
  <c r="Q369" i="42"/>
  <c r="Q371" i="42"/>
  <c r="Q373" i="42"/>
  <c r="Q375" i="42"/>
  <c r="Q377" i="42"/>
  <c r="Q379" i="42"/>
  <c r="Q381" i="42"/>
  <c r="Q383" i="42"/>
  <c r="Q385" i="42"/>
  <c r="Q387" i="42"/>
  <c r="Q389" i="42"/>
  <c r="Q391" i="42"/>
  <c r="Q393" i="42"/>
  <c r="Q395" i="42"/>
  <c r="Q397" i="42"/>
  <c r="Q399" i="42"/>
  <c r="Q401" i="42"/>
  <c r="Q403" i="42"/>
  <c r="Q405" i="42"/>
  <c r="Q407" i="42"/>
  <c r="Q409" i="42"/>
  <c r="Q411" i="42"/>
  <c r="Q413" i="42"/>
  <c r="Q415" i="42"/>
  <c r="Q417" i="42"/>
  <c r="Q419" i="42"/>
  <c r="Q421" i="42"/>
  <c r="Q423" i="42"/>
  <c r="Q425" i="42"/>
  <c r="Q427" i="42"/>
  <c r="Q429" i="42"/>
  <c r="Q431" i="42"/>
  <c r="Q433" i="42"/>
  <c r="Q435" i="42"/>
  <c r="Q437" i="42"/>
  <c r="Q439" i="42"/>
  <c r="Q441" i="42"/>
  <c r="Q443" i="42"/>
  <c r="Q445" i="42"/>
  <c r="Q447" i="42"/>
  <c r="Q449" i="42"/>
  <c r="Q451" i="42"/>
  <c r="Q453" i="42"/>
  <c r="Q455" i="42"/>
  <c r="Q457" i="42"/>
  <c r="Q459" i="42"/>
  <c r="Q461" i="42"/>
  <c r="Q463" i="42"/>
  <c r="Q465" i="42"/>
  <c r="Q467" i="42"/>
  <c r="Q469" i="42"/>
  <c r="Q471" i="42"/>
  <c r="Q473" i="42"/>
  <c r="Q475" i="42"/>
  <c r="Q477" i="42"/>
  <c r="Q479" i="42"/>
  <c r="Q481" i="42"/>
  <c r="Q483" i="42"/>
  <c r="Q485" i="42"/>
  <c r="Q487" i="42"/>
  <c r="Q489" i="42"/>
  <c r="Q491" i="42"/>
  <c r="Q493" i="42"/>
  <c r="Q495" i="42"/>
  <c r="Q497" i="42"/>
  <c r="Q499" i="42"/>
  <c r="Q501" i="42"/>
  <c r="Q503" i="42"/>
  <c r="Q505" i="42"/>
  <c r="Q507" i="42"/>
  <c r="Q509" i="42"/>
  <c r="Q511" i="42"/>
  <c r="Q513" i="42"/>
  <c r="Q515" i="42"/>
  <c r="Q517" i="42"/>
  <c r="Q519" i="42"/>
  <c r="Q521" i="42"/>
  <c r="Q523" i="42"/>
  <c r="Q525" i="42"/>
  <c r="Q527" i="42"/>
  <c r="Q529" i="42"/>
  <c r="Q531" i="42"/>
  <c r="Q533" i="42"/>
  <c r="Q535" i="42"/>
  <c r="Q537" i="42"/>
  <c r="Q539" i="42"/>
  <c r="Q541" i="42"/>
  <c r="Q543" i="42"/>
  <c r="Q545" i="42"/>
  <c r="Q547" i="42"/>
  <c r="Q549" i="42"/>
  <c r="Q551" i="42"/>
  <c r="Q553" i="42"/>
  <c r="Q555" i="42"/>
  <c r="Q557" i="42"/>
  <c r="Q559" i="42"/>
  <c r="Q561" i="42"/>
  <c r="Q563" i="42"/>
  <c r="Q565" i="42"/>
  <c r="Q567" i="42"/>
  <c r="Q569" i="42"/>
  <c r="Q571" i="42"/>
  <c r="Q573" i="42"/>
  <c r="Q575" i="42"/>
  <c r="Q577" i="42"/>
  <c r="Q579" i="42"/>
  <c r="Q581" i="42"/>
  <c r="Q361" i="40"/>
  <c r="Q3" i="40"/>
  <c r="Q7" i="40"/>
  <c r="Q13" i="40"/>
  <c r="Q25" i="40"/>
  <c r="Q29" i="40"/>
  <c r="Q41" i="40"/>
  <c r="Q53" i="40"/>
  <c r="Q59" i="40"/>
  <c r="Q69" i="40"/>
  <c r="Q77" i="40"/>
  <c r="Q85" i="40"/>
  <c r="Q91" i="40"/>
  <c r="Q97" i="40"/>
  <c r="Q101" i="40"/>
  <c r="Q111" i="40"/>
  <c r="Q117" i="40"/>
  <c r="Q121" i="40"/>
  <c r="Q135" i="40"/>
  <c r="Q145" i="40"/>
  <c r="Q149" i="40"/>
  <c r="Q155" i="40"/>
  <c r="Q159" i="40"/>
  <c r="Q177" i="40"/>
  <c r="Q181" i="40"/>
  <c r="Q189" i="40"/>
  <c r="Q201" i="40"/>
  <c r="Q209" i="40"/>
  <c r="Q213" i="40"/>
  <c r="Q219" i="40"/>
  <c r="Q223" i="40"/>
  <c r="Q227" i="40"/>
  <c r="Q237" i="40"/>
  <c r="Q243" i="40"/>
  <c r="Q247" i="40"/>
  <c r="Q251" i="40"/>
  <c r="Q257" i="40"/>
  <c r="Q261" i="40"/>
  <c r="Q267" i="40"/>
  <c r="Q273" i="40"/>
  <c r="Q277" i="40"/>
  <c r="Q283" i="40"/>
  <c r="Q289" i="40"/>
  <c r="Q293" i="40"/>
  <c r="Q301" i="40"/>
  <c r="Q2" i="42"/>
  <c r="Q3" i="42"/>
  <c r="Q7" i="42"/>
  <c r="Q11" i="42"/>
  <c r="Q15" i="42"/>
  <c r="Q17" i="42"/>
  <c r="Q21" i="42"/>
  <c r="Q25" i="42"/>
  <c r="Q29" i="42"/>
  <c r="Q33" i="42"/>
  <c r="Q37" i="42"/>
  <c r="Q41" i="42"/>
  <c r="Q43" i="42"/>
  <c r="Q47" i="42"/>
  <c r="Q51" i="42"/>
  <c r="Q55" i="42"/>
  <c r="Q59" i="42"/>
  <c r="Q63" i="42"/>
  <c r="Q67" i="42"/>
  <c r="Q71" i="42"/>
  <c r="Q75" i="42"/>
  <c r="Q77" i="42"/>
  <c r="Q81" i="42"/>
  <c r="Q85" i="42"/>
  <c r="Q89" i="42"/>
  <c r="Q91" i="42"/>
  <c r="Q95" i="42"/>
  <c r="Q99" i="42"/>
  <c r="Q103" i="42"/>
  <c r="Q105" i="42"/>
  <c r="Q109" i="42"/>
  <c r="Q113" i="42"/>
  <c r="Q117" i="42"/>
  <c r="Q121" i="42"/>
  <c r="Q125" i="42"/>
  <c r="Q129" i="42"/>
  <c r="Q133" i="42"/>
  <c r="Q139" i="42"/>
  <c r="Q143" i="42"/>
  <c r="Q145" i="42"/>
  <c r="Q149" i="42"/>
  <c r="Q155" i="42"/>
  <c r="Q159" i="42"/>
  <c r="Q163" i="42"/>
  <c r="Q167" i="42"/>
  <c r="Q171" i="42"/>
  <c r="Q173" i="42"/>
  <c r="Q177" i="42"/>
  <c r="Q181" i="42"/>
  <c r="Q185" i="42"/>
  <c r="Q189" i="42"/>
  <c r="Q193" i="42"/>
  <c r="Q197" i="42"/>
  <c r="Q199" i="42"/>
  <c r="Q203" i="42"/>
  <c r="Q207" i="42"/>
  <c r="Q211" i="42"/>
  <c r="Q215" i="42"/>
  <c r="Q219" i="42"/>
  <c r="Q223" i="42"/>
  <c r="Q227" i="42"/>
  <c r="Q231" i="42"/>
  <c r="Q235" i="42"/>
  <c r="Q239" i="42"/>
  <c r="Q243" i="42"/>
  <c r="Q245" i="42"/>
  <c r="Q249" i="42"/>
  <c r="Q253" i="42"/>
  <c r="Q257" i="42"/>
  <c r="Q261" i="42"/>
  <c r="Q263" i="42"/>
  <c r="Q267" i="42"/>
  <c r="Q271" i="42"/>
  <c r="Q275" i="42"/>
  <c r="Q279" i="42"/>
  <c r="Q283" i="42"/>
  <c r="Q287" i="42"/>
  <c r="Q291" i="42"/>
  <c r="Q295" i="42"/>
  <c r="Q299" i="42"/>
  <c r="Q305" i="42"/>
  <c r="Q311" i="42"/>
  <c r="Q359" i="42"/>
  <c r="D3" i="42"/>
  <c r="T25" i="32"/>
  <c r="U25" i="32"/>
  <c r="P27" i="32"/>
  <c r="U27" i="32"/>
  <c r="T27" i="32"/>
  <c r="T14" i="32"/>
  <c r="U14" i="32"/>
  <c r="U20" i="32"/>
  <c r="T20" i="32"/>
  <c r="U2" i="32"/>
  <c r="T2" i="32"/>
  <c r="T15" i="32"/>
  <c r="U15" i="32"/>
  <c r="P20" i="32"/>
  <c r="T12" i="32"/>
  <c r="T6" i="32"/>
  <c r="U13" i="32"/>
  <c r="T13" i="32"/>
  <c r="P13" i="32"/>
  <c r="J4" i="40"/>
  <c r="J10" i="40"/>
  <c r="J3" i="40"/>
  <c r="J6" i="40"/>
  <c r="J18" i="40"/>
  <c r="J15" i="40"/>
  <c r="J19" i="40"/>
  <c r="J8" i="40"/>
  <c r="J20" i="40"/>
  <c r="J11" i="40"/>
  <c r="J16" i="40"/>
  <c r="J7" i="40"/>
  <c r="J12" i="40"/>
  <c r="J5" i="40"/>
  <c r="J14" i="40"/>
  <c r="J9" i="40"/>
  <c r="J13" i="40"/>
  <c r="O10" i="32"/>
  <c r="P10" i="32" s="1"/>
  <c r="D11" i="32"/>
  <c r="D2" i="33"/>
  <c r="E11" i="42"/>
  <c r="F11" i="42" s="1"/>
  <c r="H7" i="42"/>
  <c r="I7" i="42" s="1"/>
  <c r="H3" i="42"/>
  <c r="I3" i="42" s="1"/>
  <c r="P2" i="40"/>
  <c r="B23" i="39"/>
  <c r="I34" i="35"/>
  <c r="I41" i="35"/>
  <c r="I17" i="35"/>
  <c r="I37" i="35"/>
  <c r="I35" i="35"/>
  <c r="I9" i="35"/>
  <c r="C24" i="38"/>
  <c r="I31" i="35"/>
  <c r="I21" i="35"/>
  <c r="AB34" i="32"/>
  <c r="B25" i="38"/>
  <c r="I27" i="35"/>
  <c r="I51" i="35"/>
  <c r="I52" i="35"/>
  <c r="I45" i="35"/>
  <c r="I43" i="35"/>
  <c r="I14" i="35"/>
  <c r="I55" i="35"/>
  <c r="I46" i="35"/>
  <c r="I22" i="35"/>
  <c r="I18" i="35"/>
  <c r="I10" i="35"/>
  <c r="I40" i="35"/>
  <c r="I47" i="35"/>
  <c r="I28" i="35"/>
  <c r="I23" i="35"/>
  <c r="I49" i="35"/>
  <c r="G11" i="42"/>
  <c r="H6" i="42"/>
  <c r="I6" i="42" s="1"/>
  <c r="I39" i="35"/>
  <c r="B26" i="38"/>
  <c r="I36" i="35"/>
  <c r="B24" i="39"/>
  <c r="I19" i="35"/>
  <c r="I4" i="35"/>
  <c r="I13" i="35"/>
  <c r="C22" i="38"/>
  <c r="I5" i="35"/>
  <c r="I50" i="35"/>
  <c r="I16" i="35"/>
  <c r="I53" i="35"/>
  <c r="I11" i="35"/>
  <c r="I48" i="35"/>
  <c r="I30" i="35"/>
  <c r="H10" i="42"/>
  <c r="I10" i="42" s="1"/>
  <c r="G7" i="42"/>
  <c r="I12" i="35"/>
  <c r="I38" i="35"/>
  <c r="E11" i="32"/>
  <c r="I25" i="35"/>
  <c r="P585" i="40"/>
  <c r="I42" i="35"/>
  <c r="I15" i="35"/>
  <c r="I17" i="40"/>
  <c r="I24" i="35"/>
  <c r="I3" i="35"/>
  <c r="I2" i="35"/>
  <c r="G10" i="42"/>
  <c r="H5" i="42"/>
  <c r="I5" i="42" s="1"/>
  <c r="I6" i="35"/>
  <c r="H9" i="42"/>
  <c r="I9" i="42" s="1"/>
  <c r="G6" i="42"/>
  <c r="B10" i="32"/>
  <c r="G9" i="42"/>
  <c r="H4" i="42"/>
  <c r="I4" i="42" s="1"/>
  <c r="C23" i="39"/>
  <c r="I29" i="35"/>
  <c r="H8" i="42"/>
  <c r="I8" i="42" s="1"/>
  <c r="G5" i="42"/>
  <c r="I54" i="35"/>
  <c r="G8" i="42"/>
  <c r="G4" i="42"/>
  <c r="C22" i="39"/>
  <c r="G3" i="42"/>
  <c r="I26" i="35"/>
  <c r="I33" i="35"/>
  <c r="B25" i="39"/>
  <c r="C24" i="39"/>
  <c r="B26" i="39"/>
  <c r="C25" i="39"/>
  <c r="B27" i="39"/>
  <c r="C26" i="39"/>
  <c r="B28" i="39"/>
  <c r="C27" i="39"/>
  <c r="C28" i="39"/>
  <c r="B29" i="39"/>
  <c r="B30" i="39"/>
  <c r="C29" i="39"/>
  <c r="C30" i="39"/>
  <c r="B31" i="39"/>
  <c r="B32" i="39"/>
  <c r="C31" i="39"/>
  <c r="C32" i="39"/>
  <c r="B33" i="39"/>
  <c r="B34" i="39"/>
  <c r="C33" i="39"/>
  <c r="C34" i="39"/>
  <c r="B35" i="39"/>
  <c r="C35" i="39"/>
  <c r="B36" i="39"/>
  <c r="C36" i="39"/>
  <c r="B37" i="39"/>
  <c r="B38" i="39"/>
  <c r="C37" i="39"/>
  <c r="B39" i="39"/>
  <c r="C38" i="39"/>
  <c r="C39" i="39"/>
  <c r="B40" i="39"/>
  <c r="C40" i="39"/>
  <c r="B41" i="39"/>
  <c r="C41" i="39"/>
  <c r="B42" i="39"/>
  <c r="B43" i="39"/>
  <c r="C42" i="39"/>
  <c r="B44" i="39"/>
  <c r="C43" i="39"/>
  <c r="B45" i="39"/>
  <c r="C44" i="39"/>
  <c r="C45" i="39"/>
  <c r="B46" i="39"/>
  <c r="C46" i="39"/>
  <c r="B47" i="39"/>
  <c r="B48" i="39"/>
  <c r="C47" i="39"/>
  <c r="B49" i="39"/>
  <c r="C48" i="39"/>
  <c r="C49" i="39"/>
  <c r="B50" i="39"/>
  <c r="B51" i="39"/>
  <c r="C50" i="39"/>
  <c r="C51" i="39"/>
  <c r="B52" i="39"/>
  <c r="B53" i="39"/>
  <c r="C52" i="39"/>
  <c r="B54" i="39"/>
  <c r="C53" i="39"/>
  <c r="C54" i="39"/>
  <c r="B55" i="39"/>
  <c r="B56" i="39"/>
  <c r="C55" i="39"/>
  <c r="B57" i="39"/>
  <c r="C56" i="39"/>
  <c r="C57" i="39"/>
  <c r="B58" i="39"/>
  <c r="B59" i="39"/>
  <c r="C58" i="39"/>
  <c r="B60" i="39"/>
  <c r="C59" i="39"/>
  <c r="C60" i="39"/>
  <c r="B61" i="39"/>
  <c r="C61" i="39"/>
  <c r="B62" i="39"/>
  <c r="C62" i="39"/>
  <c r="B63" i="39"/>
  <c r="B64" i="39"/>
  <c r="C63" i="39"/>
  <c r="C64" i="39"/>
  <c r="B65" i="39"/>
  <c r="C65" i="39"/>
  <c r="B66" i="39"/>
  <c r="C66" i="39"/>
  <c r="B67" i="39"/>
  <c r="C67" i="39"/>
  <c r="B68" i="39"/>
  <c r="B69" i="39"/>
  <c r="C68" i="39"/>
  <c r="C69" i="39"/>
  <c r="B70" i="39"/>
  <c r="C70" i="39"/>
  <c r="B71" i="39"/>
  <c r="B72" i="39"/>
  <c r="C71" i="39"/>
  <c r="C72" i="39"/>
  <c r="B73" i="39"/>
  <c r="B74" i="39"/>
  <c r="C73" i="39"/>
  <c r="C74" i="39"/>
  <c r="B75" i="39"/>
  <c r="C75" i="39"/>
  <c r="B76" i="39"/>
  <c r="C76" i="39"/>
  <c r="B77" i="39"/>
  <c r="B78" i="39"/>
  <c r="C77" i="39"/>
  <c r="C78" i="39"/>
  <c r="B79" i="39"/>
  <c r="B80" i="39"/>
  <c r="C79" i="39"/>
  <c r="B81" i="39"/>
  <c r="C80" i="39"/>
  <c r="C81" i="39"/>
  <c r="B82" i="39"/>
  <c r="B83" i="39"/>
  <c r="C82" i="39"/>
  <c r="B84" i="39"/>
  <c r="C83" i="39"/>
  <c r="B85" i="39"/>
  <c r="C84" i="39"/>
  <c r="C85" i="39"/>
  <c r="B86" i="39"/>
  <c r="B87" i="39"/>
  <c r="C86" i="39"/>
  <c r="C87" i="39"/>
  <c r="B88" i="39"/>
  <c r="B89" i="39"/>
  <c r="C88" i="39"/>
  <c r="B90" i="39"/>
  <c r="C89" i="39"/>
  <c r="C90" i="39"/>
  <c r="B91" i="39"/>
  <c r="C91" i="39"/>
  <c r="B92" i="39"/>
  <c r="C92" i="39"/>
  <c r="B93" i="39"/>
  <c r="B94" i="39"/>
  <c r="C93" i="39"/>
  <c r="C94" i="39"/>
  <c r="B95" i="39"/>
  <c r="C95" i="39"/>
  <c r="B96" i="39"/>
  <c r="C96" i="39"/>
  <c r="B97" i="39"/>
  <c r="C97" i="39"/>
  <c r="B98" i="39"/>
  <c r="B99" i="39"/>
  <c r="C98" i="39"/>
  <c r="B100" i="39"/>
  <c r="C99" i="39"/>
  <c r="C100" i="39"/>
  <c r="B101" i="39"/>
  <c r="B102" i="39"/>
  <c r="C101" i="39"/>
  <c r="C102" i="39"/>
  <c r="B103" i="39"/>
  <c r="C103" i="39"/>
  <c r="B104" i="39"/>
  <c r="B105" i="39"/>
  <c r="C104" i="39"/>
  <c r="B106" i="39"/>
  <c r="C105" i="39"/>
  <c r="B107" i="39"/>
  <c r="C106" i="39"/>
  <c r="B108" i="39"/>
  <c r="C107" i="39"/>
  <c r="B109" i="39"/>
  <c r="C108" i="39"/>
  <c r="C109" i="39"/>
  <c r="B110" i="39"/>
  <c r="B111" i="39"/>
  <c r="C110" i="39"/>
  <c r="B112" i="39"/>
  <c r="C111" i="39"/>
  <c r="C112" i="39"/>
  <c r="B113" i="39"/>
  <c r="C113" i="39"/>
  <c r="B114" i="39"/>
  <c r="B115" i="39"/>
  <c r="C114" i="39"/>
  <c r="B116" i="39"/>
  <c r="C115" i="39"/>
  <c r="C116" i="39"/>
  <c r="B117" i="39"/>
  <c r="B118" i="39"/>
  <c r="C117" i="39"/>
  <c r="C118" i="39"/>
  <c r="B119" i="39"/>
  <c r="B120" i="39"/>
  <c r="C119" i="39"/>
  <c r="B121" i="39"/>
  <c r="C120" i="39"/>
  <c r="B122" i="39"/>
  <c r="C121" i="39"/>
  <c r="B123" i="39"/>
  <c r="C122" i="39"/>
  <c r="B124" i="39"/>
  <c r="C123" i="39"/>
  <c r="C124" i="39"/>
  <c r="B125" i="39"/>
  <c r="C125" i="39"/>
  <c r="B126" i="39"/>
  <c r="B127" i="39"/>
  <c r="C126" i="39"/>
  <c r="C127" i="39"/>
  <c r="B128" i="39"/>
  <c r="C128" i="39"/>
  <c r="B129" i="39"/>
  <c r="C129" i="39"/>
  <c r="B130" i="39"/>
  <c r="B131" i="39"/>
  <c r="C130" i="39"/>
  <c r="B132" i="39"/>
  <c r="C131" i="39"/>
  <c r="B133" i="39"/>
  <c r="C132" i="39"/>
  <c r="B134" i="39"/>
  <c r="C133" i="39"/>
  <c r="B135" i="39"/>
  <c r="C134" i="39"/>
  <c r="C135" i="39"/>
  <c r="B136" i="39"/>
  <c r="C136" i="39"/>
  <c r="B137" i="39"/>
  <c r="B138" i="39"/>
  <c r="C137" i="39"/>
  <c r="B139" i="39"/>
  <c r="C138" i="39"/>
  <c r="C139" i="39"/>
  <c r="B140" i="39"/>
  <c r="B141" i="39"/>
  <c r="C140" i="39"/>
  <c r="B142" i="39"/>
  <c r="C141" i="39"/>
  <c r="C142" i="39"/>
  <c r="B143" i="39"/>
  <c r="B144" i="39"/>
  <c r="C143" i="39"/>
  <c r="C144" i="39"/>
  <c r="B145" i="39"/>
  <c r="B146" i="39"/>
  <c r="C145" i="39"/>
  <c r="J3" i="42" l="1"/>
  <c r="J4" i="42"/>
  <c r="J8" i="42"/>
  <c r="J5" i="42"/>
  <c r="J9" i="42"/>
  <c r="J6" i="42"/>
  <c r="J10" i="42"/>
  <c r="J17" i="40"/>
  <c r="Q585" i="40"/>
  <c r="J7" i="42"/>
  <c r="Q2" i="40"/>
  <c r="D13" i="36"/>
  <c r="D20" i="36"/>
  <c r="D34" i="36"/>
  <c r="D44" i="36"/>
  <c r="D29" i="36"/>
  <c r="D36" i="36"/>
  <c r="D43" i="36"/>
  <c r="D38" i="36"/>
  <c r="D15" i="36"/>
  <c r="D54" i="36"/>
  <c r="D49" i="36"/>
  <c r="D41" i="36"/>
  <c r="D32" i="36"/>
  <c r="D31" i="36"/>
  <c r="D28" i="36"/>
  <c r="D24" i="36"/>
  <c r="D48" i="36"/>
  <c r="D39" i="36"/>
  <c r="D57" i="36"/>
  <c r="D22" i="36"/>
  <c r="D17" i="36"/>
  <c r="D18" i="36"/>
  <c r="D25" i="36"/>
  <c r="D59" i="36"/>
  <c r="D53" i="36"/>
  <c r="D55" i="36"/>
  <c r="D46" i="36"/>
  <c r="D37" i="36"/>
  <c r="D11" i="36"/>
  <c r="D56" i="36"/>
  <c r="D27" i="36"/>
  <c r="D42" i="36"/>
  <c r="D12" i="36"/>
  <c r="D51" i="36"/>
  <c r="D30" i="36"/>
  <c r="D26" i="36"/>
  <c r="D52" i="36"/>
  <c r="D19" i="36"/>
  <c r="D40" i="36"/>
  <c r="D21" i="36"/>
  <c r="D14" i="36"/>
  <c r="D47" i="36"/>
  <c r="D45" i="36"/>
  <c r="D16" i="36"/>
  <c r="D50" i="36"/>
  <c r="D35" i="36"/>
  <c r="D23" i="36"/>
  <c r="D33" i="36"/>
  <c r="D58" i="36"/>
  <c r="N11" i="32"/>
  <c r="U10" i="32"/>
  <c r="T10" i="32"/>
  <c r="A3" i="35"/>
  <c r="E49" i="36"/>
  <c r="C10" i="32"/>
  <c r="E19" i="36"/>
  <c r="E54" i="36"/>
  <c r="E38" i="36"/>
  <c r="C26" i="38"/>
  <c r="E40" i="36"/>
  <c r="E13" i="36"/>
  <c r="E36" i="36"/>
  <c r="E57" i="36"/>
  <c r="D38" i="29"/>
  <c r="E20" i="36"/>
  <c r="E45" i="36"/>
  <c r="E23" i="36"/>
  <c r="B27" i="38"/>
  <c r="E32" i="36"/>
  <c r="E52" i="36"/>
  <c r="E18" i="36"/>
  <c r="E17" i="36"/>
  <c r="E59" i="36"/>
  <c r="E28" i="36"/>
  <c r="E31" i="36"/>
  <c r="E25" i="36"/>
  <c r="C146" i="39"/>
  <c r="E50" i="36"/>
  <c r="E26" i="36"/>
  <c r="E30" i="36"/>
  <c r="E35" i="36"/>
  <c r="E33" i="36"/>
  <c r="E51" i="36"/>
  <c r="E42" i="36"/>
  <c r="E12" i="36"/>
  <c r="E58" i="36"/>
  <c r="F11" i="32"/>
  <c r="AB35" i="32"/>
  <c r="C25" i="38"/>
  <c r="E29" i="36"/>
  <c r="D40" i="29"/>
  <c r="D41" i="29" s="1"/>
  <c r="E55" i="36"/>
  <c r="E37" i="36"/>
  <c r="E21" i="36"/>
  <c r="E53" i="36"/>
  <c r="D3" i="35"/>
  <c r="E44" i="36"/>
  <c r="E14" i="36"/>
  <c r="E43" i="36"/>
  <c r="D34" i="29"/>
  <c r="E27" i="36"/>
  <c r="E34" i="36"/>
  <c r="E15" i="36"/>
  <c r="E56" i="36"/>
  <c r="H11" i="42"/>
  <c r="I11" i="42" s="1"/>
  <c r="E2" i="33"/>
  <c r="E41" i="36"/>
  <c r="E39" i="36"/>
  <c r="C3" i="35"/>
  <c r="E24" i="36"/>
  <c r="E48" i="36"/>
  <c r="E11" i="36"/>
  <c r="E47" i="36"/>
  <c r="E22" i="36"/>
  <c r="C27" i="38"/>
  <c r="E16" i="36"/>
  <c r="E46" i="36"/>
  <c r="J11" i="42" l="1"/>
  <c r="O11" i="32"/>
  <c r="P11" i="32" s="1"/>
  <c r="F16" i="36"/>
  <c r="F20" i="36"/>
  <c r="F49" i="36"/>
  <c r="F23" i="36"/>
  <c r="F42" i="36"/>
  <c r="F18" i="36"/>
  <c r="F57" i="36"/>
  <c r="B11" i="32"/>
  <c r="B28" i="38"/>
  <c r="F53" i="36"/>
  <c r="F17" i="36"/>
  <c r="F24" i="36"/>
  <c r="F19" i="36"/>
  <c r="F51" i="36"/>
  <c r="F11" i="36"/>
  <c r="F55" i="36"/>
  <c r="F41" i="36"/>
  <c r="F44" i="36"/>
  <c r="F28" i="36"/>
  <c r="F47" i="36"/>
  <c r="F43" i="36"/>
  <c r="F34" i="36"/>
  <c r="F12" i="36"/>
  <c r="F38" i="36"/>
  <c r="F45" i="36"/>
  <c r="F36" i="36"/>
  <c r="F58" i="36"/>
  <c r="F54" i="36"/>
  <c r="F27" i="36"/>
  <c r="AB36" i="32"/>
  <c r="F22" i="36"/>
  <c r="F33" i="36"/>
  <c r="F59" i="36"/>
  <c r="F50" i="36"/>
  <c r="F35" i="36"/>
  <c r="F48" i="36"/>
  <c r="C43" i="29"/>
  <c r="F46" i="36"/>
  <c r="D36" i="29"/>
  <c r="C26" i="36"/>
  <c r="J36" i="35"/>
  <c r="C57" i="36"/>
  <c r="F52" i="36"/>
  <c r="C37" i="36"/>
  <c r="J53" i="35"/>
  <c r="C28" i="36"/>
  <c r="G44" i="35"/>
  <c r="J46" i="35"/>
  <c r="J10" i="35"/>
  <c r="G29" i="35"/>
  <c r="J41" i="35"/>
  <c r="J26" i="35"/>
  <c r="J37" i="35"/>
  <c r="G16" i="35"/>
  <c r="G21" i="35"/>
  <c r="F37" i="36"/>
  <c r="F30" i="36"/>
  <c r="C44" i="36"/>
  <c r="C42" i="36"/>
  <c r="J31" i="35"/>
  <c r="G20" i="35"/>
  <c r="F32" i="36"/>
  <c r="J50" i="35"/>
  <c r="C56" i="36"/>
  <c r="F21" i="36"/>
  <c r="C43" i="36"/>
  <c r="J45" i="35"/>
  <c r="C59" i="36"/>
  <c r="J11" i="35"/>
  <c r="F26" i="36"/>
  <c r="G3" i="35"/>
  <c r="C58" i="36"/>
  <c r="G50" i="35"/>
  <c r="G25" i="35"/>
  <c r="C18" i="36"/>
  <c r="J5" i="35"/>
  <c r="G36" i="35"/>
  <c r="F31" i="36"/>
  <c r="G47" i="35"/>
  <c r="C30" i="36"/>
  <c r="C36" i="36"/>
  <c r="C13" i="36"/>
  <c r="J51" i="35"/>
  <c r="G11" i="35"/>
  <c r="J19" i="35"/>
  <c r="G10" i="35"/>
  <c r="C25" i="36"/>
  <c r="G30" i="35"/>
  <c r="J39" i="35"/>
  <c r="F25" i="36"/>
  <c r="C12" i="36"/>
  <c r="G42" i="35"/>
  <c r="F14" i="36"/>
  <c r="F29" i="36"/>
  <c r="J47" i="35"/>
  <c r="G40" i="35"/>
  <c r="C20" i="36"/>
  <c r="G4" i="35"/>
  <c r="G53" i="35"/>
  <c r="C44" i="29"/>
  <c r="C50" i="36"/>
  <c r="G9" i="35"/>
  <c r="J9" i="35"/>
  <c r="G55" i="35"/>
  <c r="G8" i="35"/>
  <c r="F15" i="36"/>
  <c r="C22" i="36"/>
  <c r="G37" i="35"/>
  <c r="G39" i="35"/>
  <c r="G46" i="35"/>
  <c r="F13" i="36"/>
  <c r="F56" i="36"/>
  <c r="J22" i="35"/>
  <c r="F39" i="36"/>
  <c r="G43" i="35"/>
  <c r="C52" i="36"/>
  <c r="G49" i="35"/>
  <c r="F40" i="36"/>
  <c r="J43" i="35"/>
  <c r="B29" i="38"/>
  <c r="C27" i="36"/>
  <c r="J8" i="35"/>
  <c r="J20" i="35"/>
  <c r="G26" i="35"/>
  <c r="G6" i="35"/>
  <c r="J34" i="35"/>
  <c r="J48" i="35"/>
  <c r="G51" i="35"/>
  <c r="G38" i="35"/>
  <c r="J35" i="35"/>
  <c r="G31" i="35"/>
  <c r="C45" i="36"/>
  <c r="G2" i="35"/>
  <c r="C40" i="36"/>
  <c r="G17" i="35"/>
  <c r="C55" i="36"/>
  <c r="J21" i="35"/>
  <c r="J30" i="35"/>
  <c r="J13" i="35"/>
  <c r="G34" i="35"/>
  <c r="G32" i="35"/>
  <c r="G12" i="35"/>
  <c r="G22" i="35"/>
  <c r="J24" i="35"/>
  <c r="C16" i="36"/>
  <c r="J4" i="35"/>
  <c r="G15" i="35"/>
  <c r="J6" i="35"/>
  <c r="J15" i="35"/>
  <c r="G24" i="35"/>
  <c r="J55" i="35"/>
  <c r="C38" i="36"/>
  <c r="C32" i="36"/>
  <c r="C53" i="36"/>
  <c r="J25" i="35"/>
  <c r="G14" i="35"/>
  <c r="C17" i="36"/>
  <c r="C46" i="36"/>
  <c r="G33" i="35"/>
  <c r="J56" i="35"/>
  <c r="C19" i="36"/>
  <c r="J49" i="35"/>
  <c r="J27" i="35"/>
  <c r="C24" i="36"/>
  <c r="J3" i="35"/>
  <c r="J2" i="35"/>
  <c r="G56" i="35"/>
  <c r="J44" i="35"/>
  <c r="J40" i="35"/>
  <c r="G48" i="35"/>
  <c r="J42" i="35"/>
  <c r="C34" i="36"/>
  <c r="G23" i="35"/>
  <c r="G54" i="35"/>
  <c r="J12" i="35"/>
  <c r="C33" i="36"/>
  <c r="C41" i="36"/>
  <c r="C29" i="36"/>
  <c r="J32" i="35"/>
  <c r="C23" i="36"/>
  <c r="G45" i="35"/>
  <c r="C48" i="36"/>
  <c r="J33" i="35"/>
  <c r="G18" i="35"/>
  <c r="J28" i="35"/>
  <c r="C47" i="36"/>
  <c r="J52" i="35"/>
  <c r="G52" i="35"/>
  <c r="J16" i="35"/>
  <c r="G13" i="35"/>
  <c r="C51" i="36"/>
  <c r="C11" i="36"/>
  <c r="C31" i="36"/>
  <c r="G28" i="35"/>
  <c r="C54" i="36"/>
  <c r="G19" i="35"/>
  <c r="G41" i="35"/>
  <c r="J18" i="35"/>
  <c r="C21" i="36"/>
  <c r="C39" i="36"/>
  <c r="J14" i="35"/>
  <c r="J38" i="35"/>
  <c r="C15" i="36"/>
  <c r="J17" i="35"/>
  <c r="C49" i="36"/>
  <c r="C14" i="36"/>
  <c r="C35" i="36"/>
  <c r="G5" i="35"/>
  <c r="J29" i="35"/>
  <c r="J23" i="35"/>
  <c r="G27" i="35"/>
  <c r="J54" i="35"/>
  <c r="G35" i="35"/>
  <c r="C29" i="38"/>
  <c r="B30" i="38"/>
  <c r="B31" i="38"/>
  <c r="C30" i="38"/>
  <c r="B32" i="38"/>
  <c r="B33" i="38"/>
  <c r="C32" i="38"/>
  <c r="C33" i="38"/>
  <c r="B34" i="38"/>
  <c r="C34" i="38"/>
  <c r="B35" i="38"/>
  <c r="C35" i="38"/>
  <c r="B36" i="38"/>
  <c r="C36" i="38"/>
  <c r="B37" i="38"/>
  <c r="B38" i="38"/>
  <c r="C37" i="38"/>
  <c r="C38" i="38"/>
  <c r="B39" i="38"/>
  <c r="B40" i="38"/>
  <c r="C39" i="38"/>
  <c r="B41" i="38"/>
  <c r="C40" i="38"/>
  <c r="C41" i="38"/>
  <c r="B42" i="38"/>
  <c r="B43" i="38"/>
  <c r="C42" i="38"/>
  <c r="C43" i="38"/>
  <c r="B44" i="38"/>
  <c r="B45" i="38"/>
  <c r="C44" i="38"/>
  <c r="C45" i="38"/>
  <c r="B46" i="38"/>
  <c r="C46" i="38"/>
  <c r="B47" i="38"/>
  <c r="C47" i="38"/>
  <c r="B48" i="38"/>
  <c r="B49" i="38"/>
  <c r="C48" i="38"/>
  <c r="C49" i="38"/>
  <c r="B50" i="38"/>
  <c r="B51" i="38"/>
  <c r="C50" i="38"/>
  <c r="B52" i="38"/>
  <c r="C51" i="38"/>
  <c r="C52" i="38"/>
  <c r="B53" i="38"/>
  <c r="C53" i="38"/>
  <c r="B54" i="38"/>
  <c r="C54" i="38"/>
  <c r="B55" i="38"/>
  <c r="B56" i="38"/>
  <c r="C55" i="38"/>
  <c r="C56" i="38"/>
  <c r="B57" i="38"/>
  <c r="C57" i="38"/>
  <c r="B58" i="38"/>
  <c r="B59" i="38"/>
  <c r="C58" i="38"/>
  <c r="B60" i="38"/>
  <c r="C59" i="38"/>
  <c r="C60" i="38"/>
  <c r="B61" i="38"/>
  <c r="B62" i="38"/>
  <c r="C61" i="38"/>
  <c r="B63" i="38"/>
  <c r="C62" i="38"/>
  <c r="C63" i="38"/>
  <c r="B64" i="38"/>
  <c r="B65" i="38"/>
  <c r="C64" i="38"/>
  <c r="B66" i="38"/>
  <c r="C65" i="38"/>
  <c r="B67" i="38"/>
  <c r="C66" i="38"/>
  <c r="B68" i="38"/>
  <c r="C67" i="38"/>
  <c r="B69" i="38"/>
  <c r="C68" i="38"/>
  <c r="C69" i="38"/>
  <c r="B70" i="38"/>
  <c r="B71" i="38"/>
  <c r="C70" i="38"/>
  <c r="B72" i="38"/>
  <c r="C71" i="38"/>
  <c r="C72" i="38"/>
  <c r="B73" i="38"/>
  <c r="B74" i="38"/>
  <c r="C73" i="38"/>
  <c r="B75" i="38"/>
  <c r="C74" i="38"/>
  <c r="B76" i="38"/>
  <c r="C75" i="38"/>
  <c r="C76" i="38"/>
  <c r="B77" i="38"/>
  <c r="C77" i="38"/>
  <c r="B78" i="38"/>
  <c r="C78" i="38"/>
  <c r="B79" i="38"/>
  <c r="B80" i="38"/>
  <c r="C79" i="38"/>
  <c r="B81" i="38"/>
  <c r="C80" i="38"/>
  <c r="C81" i="38"/>
  <c r="B82" i="38"/>
  <c r="C82" i="38"/>
  <c r="B83" i="38"/>
  <c r="C83" i="38" s="1"/>
  <c r="T11" i="32" l="1"/>
  <c r="U11" i="32"/>
  <c r="C31" i="38"/>
  <c r="H34" i="35"/>
  <c r="H18" i="35"/>
  <c r="H23" i="35"/>
  <c r="C11" i="32"/>
  <c r="H49" i="35"/>
  <c r="H53" i="35"/>
  <c r="H31" i="35"/>
  <c r="C28" i="38"/>
  <c r="H19" i="35"/>
  <c r="H45" i="35"/>
  <c r="H55" i="35"/>
  <c r="AB37" i="32"/>
  <c r="H25" i="35"/>
  <c r="H40" i="35"/>
  <c r="H35" i="35"/>
  <c r="H44" i="35"/>
  <c r="H5" i="35"/>
  <c r="H20" i="35"/>
  <c r="H54" i="35"/>
  <c r="H4" i="35"/>
  <c r="H26" i="35"/>
  <c r="H36" i="35"/>
  <c r="H8" i="35"/>
  <c r="H15" i="35"/>
  <c r="H51" i="35"/>
  <c r="H27" i="35"/>
  <c r="H33" i="35"/>
  <c r="H43" i="35"/>
  <c r="H46" i="35"/>
  <c r="H6" i="35"/>
  <c r="H28" i="35"/>
  <c r="H3" i="35"/>
  <c r="H16" i="35"/>
  <c r="H21" i="35"/>
  <c r="H17" i="35"/>
  <c r="H29" i="35"/>
  <c r="AB38" i="32"/>
  <c r="H9" i="35"/>
  <c r="H47" i="35"/>
  <c r="H12" i="35"/>
  <c r="H48" i="35"/>
  <c r="H39" i="35"/>
  <c r="H41" i="35"/>
  <c r="AB39" i="32"/>
  <c r="H52" i="35"/>
  <c r="H24" i="35"/>
  <c r="H37" i="35"/>
  <c r="H14" i="35"/>
  <c r="H32" i="35"/>
  <c r="H50" i="35"/>
  <c r="H38" i="35"/>
  <c r="H56" i="35"/>
  <c r="H10" i="35"/>
  <c r="H2" i="35"/>
  <c r="H13" i="35"/>
  <c r="AB40" i="32"/>
  <c r="AB41" i="32" s="1"/>
  <c r="AB42" i="32" s="1"/>
  <c r="AB43" i="32" s="1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/>
  <c r="H30" i="35"/>
  <c r="H11" i="35"/>
  <c r="H22" i="35"/>
  <c r="H42" i="35"/>
  <c r="AB57" i="32"/>
  <c r="AB58" i="32" s="1"/>
  <c r="AB59" i="32" s="1"/>
  <c r="AB60" i="32" s="1"/>
  <c r="AB61" i="32" s="1"/>
  <c r="AB62" i="32" s="1"/>
  <c r="AB63" i="32" s="1"/>
  <c r="AB64" i="32" s="1"/>
  <c r="AB65" i="32" s="1"/>
  <c r="AB66" i="32" s="1"/>
  <c r="AB67" i="32" s="1"/>
  <c r="AB68" i="32" s="1"/>
  <c r="AB69" i="32" s="1"/>
  <c r="AB70" i="32" s="1"/>
  <c r="AB71" i="32" s="1"/>
  <c r="AB72" i="32" s="1"/>
  <c r="AB73" i="32"/>
  <c r="AB74" i="32" s="1"/>
  <c r="AB75" i="32" s="1"/>
  <c r="AB76" i="32" s="1"/>
  <c r="AB77" i="32" s="1"/>
  <c r="AB78" i="32" s="1"/>
  <c r="AB79" i="32" s="1"/>
  <c r="AB80" i="32" s="1"/>
  <c r="AB81" i="32" s="1"/>
  <c r="AB82" i="32" s="1"/>
  <c r="AB83" i="32" s="1"/>
  <c r="AB84" i="32" s="1"/>
  <c r="AB85" i="32" s="1"/>
  <c r="AB86" i="32" s="1"/>
  <c r="AB87" i="32" s="1"/>
  <c r="AB88" i="32" s="1"/>
  <c r="AB89" i="32"/>
  <c r="AB90" i="32" s="1"/>
  <c r="AB91" i="32" s="1"/>
  <c r="AB92" i="32" s="1"/>
  <c r="AB93" i="32" s="1"/>
  <c r="AB94" i="32" s="1"/>
  <c r="AB95" i="32" s="1"/>
  <c r="AB96" i="32" s="1"/>
  <c r="J20" i="29" l="1"/>
  <c r="J21" i="29"/>
  <c r="G2" i="34"/>
  <c r="G2" i="32"/>
  <c r="G3" i="32"/>
  <c r="G5" i="32"/>
  <c r="G6" i="32"/>
  <c r="G7" i="32"/>
  <c r="G10" i="32"/>
  <c r="G11" i="32"/>
  <c r="G12" i="32"/>
  <c r="G13" i="32"/>
  <c r="G14" i="32"/>
  <c r="G15" i="32"/>
  <c r="G16" i="32"/>
  <c r="G19" i="32"/>
  <c r="G20" i="32"/>
  <c r="G21" i="32"/>
  <c r="G22" i="32"/>
  <c r="G23" i="32"/>
  <c r="G24" i="32"/>
  <c r="G25" i="32"/>
  <c r="G26" i="32"/>
  <c r="G27" i="32"/>
  <c r="N53" i="39"/>
  <c r="L34" i="32"/>
  <c r="K6" i="35"/>
  <c r="N45" i="39"/>
  <c r="K4" i="34"/>
  <c r="N47" i="38"/>
  <c r="G6" i="36"/>
  <c r="K3" i="34"/>
  <c r="L35" i="32"/>
  <c r="L47" i="32"/>
  <c r="N46" i="39"/>
  <c r="K2" i="35"/>
  <c r="L46" i="32"/>
  <c r="K3" i="35"/>
  <c r="L49" i="32"/>
  <c r="L48" i="32"/>
  <c r="G4" i="34"/>
  <c r="K2" i="34"/>
  <c r="N50" i="38"/>
  <c r="L41" i="32"/>
  <c r="K5" i="34"/>
  <c r="G7" i="36"/>
  <c r="N51" i="39"/>
  <c r="B5" i="35"/>
  <c r="N52" i="39"/>
  <c r="L5" i="34"/>
  <c r="L38" i="32"/>
  <c r="L37" i="32"/>
  <c r="L45" i="32"/>
  <c r="N44" i="38"/>
  <c r="L4" i="34"/>
  <c r="K4" i="35"/>
  <c r="L6" i="34"/>
  <c r="G3" i="34"/>
  <c r="N49" i="38"/>
  <c r="L44" i="32"/>
  <c r="K5" i="35"/>
  <c r="B3" i="35"/>
  <c r="N47" i="39"/>
  <c r="N48" i="38"/>
  <c r="N45" i="38"/>
  <c r="L3" i="34"/>
  <c r="B6" i="35"/>
  <c r="G6" i="34"/>
  <c r="N44" i="39"/>
  <c r="N48" i="39"/>
  <c r="L2" i="34"/>
  <c r="K6" i="34"/>
  <c r="N49" i="39"/>
  <c r="G5" i="34"/>
  <c r="L40" i="32"/>
  <c r="B7" i="35"/>
  <c r="G4" i="36"/>
  <c r="L42" i="32"/>
  <c r="G3" i="36"/>
  <c r="L43" i="32"/>
  <c r="L39" i="32"/>
  <c r="N46" i="38"/>
  <c r="B4" i="35"/>
  <c r="N50" i="39"/>
  <c r="L36" i="32"/>
  <c r="E2" i="35" a="1"/>
  <c r="G5" i="36"/>
  <c r="E16" i="32"/>
  <c r="E26" i="32"/>
  <c r="E3" i="32"/>
  <c r="F16" i="32"/>
  <c r="F26" i="32"/>
  <c r="F3" i="32"/>
  <c r="B16" i="32"/>
  <c r="C16" i="32" s="1"/>
  <c r="B26" i="32"/>
  <c r="C26" i="32" s="1"/>
  <c r="B7" i="32"/>
  <c r="C7" i="32" s="1"/>
  <c r="B3" i="32"/>
  <c r="C3" i="32" s="1"/>
  <c r="I7" i="32" l="1"/>
  <c r="G4" i="32"/>
  <c r="O3" i="32"/>
  <c r="E4" i="32"/>
  <c r="O7" i="32"/>
  <c r="O26" i="32"/>
  <c r="O16" i="32"/>
  <c r="N3" i="32"/>
  <c r="N7" i="32"/>
  <c r="N26" i="32"/>
  <c r="N16" i="32"/>
  <c r="I22" i="32"/>
  <c r="E45" i="35"/>
  <c r="E14" i="35"/>
  <c r="E54" i="35"/>
  <c r="E109" i="35"/>
  <c r="E123" i="35"/>
  <c r="E55" i="35"/>
  <c r="E117" i="35"/>
  <c r="E39" i="35"/>
  <c r="E40" i="35"/>
  <c r="E15" i="35"/>
  <c r="E63" i="35"/>
  <c r="E118" i="35"/>
  <c r="E98" i="35"/>
  <c r="E100" i="35"/>
  <c r="E53" i="35"/>
  <c r="E48" i="35"/>
  <c r="E122" i="35"/>
  <c r="E22" i="35"/>
  <c r="E76" i="35"/>
  <c r="E77" i="35"/>
  <c r="E87" i="35"/>
  <c r="E95" i="35"/>
  <c r="E111" i="35"/>
  <c r="E26" i="35"/>
  <c r="E88" i="35"/>
  <c r="E85" i="35"/>
  <c r="E7" i="35"/>
  <c r="E93" i="35"/>
  <c r="E65" i="35"/>
  <c r="E23" i="35"/>
  <c r="E90" i="35"/>
  <c r="E119" i="35"/>
  <c r="E102" i="35"/>
  <c r="E97" i="35"/>
  <c r="E61" i="35"/>
  <c r="E12" i="35"/>
  <c r="E86" i="35"/>
  <c r="E19" i="35"/>
  <c r="E13" i="35"/>
  <c r="E126" i="35"/>
  <c r="E110" i="35"/>
  <c r="E94" i="35"/>
  <c r="E33" i="35"/>
  <c r="E92" i="35"/>
  <c r="E71" i="35"/>
  <c r="E18" i="35"/>
  <c r="E5" i="35"/>
  <c r="E80" i="35"/>
  <c r="E107" i="35"/>
  <c r="E44" i="35"/>
  <c r="E83" i="35"/>
  <c r="E4" i="35"/>
  <c r="E105" i="35"/>
  <c r="E113" i="35"/>
  <c r="E27" i="35"/>
  <c r="E72" i="35"/>
  <c r="E16" i="35"/>
  <c r="E112" i="35"/>
  <c r="E36" i="35"/>
  <c r="E20" i="35"/>
  <c r="E43" i="35"/>
  <c r="E46" i="35"/>
  <c r="E8" i="35"/>
  <c r="E73" i="35"/>
  <c r="E68" i="35"/>
  <c r="E25" i="35"/>
  <c r="E81" i="35"/>
  <c r="E52" i="35"/>
  <c r="E103" i="35"/>
  <c r="E42" i="35"/>
  <c r="E38" i="35"/>
  <c r="E124" i="35"/>
  <c r="E104" i="35"/>
  <c r="E29" i="35"/>
  <c r="E67" i="35"/>
  <c r="E41" i="35"/>
  <c r="E127" i="35"/>
  <c r="E99" i="35"/>
  <c r="E56" i="35"/>
  <c r="E120" i="35"/>
  <c r="E57" i="35"/>
  <c r="E115" i="35"/>
  <c r="E89" i="35"/>
  <c r="E101" i="35"/>
  <c r="E9" i="35"/>
  <c r="E91" i="35"/>
  <c r="E59" i="35"/>
  <c r="E62" i="35"/>
  <c r="E70" i="35"/>
  <c r="E116" i="35"/>
  <c r="E6" i="35"/>
  <c r="E32" i="35"/>
  <c r="E106" i="35"/>
  <c r="E37" i="35"/>
  <c r="E84" i="35"/>
  <c r="E47" i="35"/>
  <c r="E49" i="35"/>
  <c r="E35" i="35"/>
  <c r="E31" i="35"/>
  <c r="E66" i="35"/>
  <c r="E75" i="35"/>
  <c r="E50" i="35"/>
  <c r="E51" i="35"/>
  <c r="E11" i="35"/>
  <c r="E96" i="35"/>
  <c r="E34" i="35"/>
  <c r="E78" i="35"/>
  <c r="E64" i="35"/>
  <c r="E79" i="35"/>
  <c r="E82" i="35"/>
  <c r="E121" i="35"/>
  <c r="E108" i="35"/>
  <c r="E114" i="35"/>
  <c r="E74" i="35"/>
  <c r="E125" i="35"/>
  <c r="E24" i="35"/>
  <c r="E30" i="35"/>
  <c r="E69" i="35"/>
  <c r="E60" i="35"/>
  <c r="E58" i="35"/>
  <c r="E28" i="35"/>
  <c r="E21" i="35"/>
  <c r="E3" i="35"/>
  <c r="E10" i="35"/>
  <c r="E2" i="35"/>
  <c r="E17" i="35"/>
  <c r="I21" i="32"/>
  <c r="I10" i="32"/>
  <c r="I6" i="32"/>
  <c r="I3" i="32"/>
  <c r="J3" i="32" s="1"/>
  <c r="I15" i="32"/>
  <c r="C6" i="36"/>
  <c r="D7" i="36"/>
  <c r="E3" i="36"/>
  <c r="C7" i="36"/>
  <c r="I13" i="32"/>
  <c r="E4" i="36"/>
  <c r="I12" i="32"/>
  <c r="J7" i="32"/>
  <c r="I20" i="32"/>
  <c r="I23" i="32"/>
  <c r="I24" i="32"/>
  <c r="C4" i="36"/>
  <c r="I16" i="32"/>
  <c r="J16" i="32" s="1"/>
  <c r="E7" i="36"/>
  <c r="E5" i="36"/>
  <c r="I19" i="32"/>
  <c r="E6" i="36"/>
  <c r="I2" i="32"/>
  <c r="I11" i="32"/>
  <c r="D6" i="36"/>
  <c r="I26" i="32"/>
  <c r="J26" i="32" s="1"/>
  <c r="D3" i="36"/>
  <c r="C5" i="36"/>
  <c r="D4" i="36"/>
  <c r="D5" i="36"/>
  <c r="I25" i="32"/>
  <c r="I14" i="32"/>
  <c r="I27" i="32"/>
  <c r="C3" i="36"/>
  <c r="F5" i="36"/>
  <c r="B4" i="32"/>
  <c r="C4" i="32" s="1"/>
  <c r="F6" i="36"/>
  <c r="H31" i="32"/>
  <c r="F3" i="36"/>
  <c r="I31" i="32"/>
  <c r="F7" i="36"/>
  <c r="F4" i="36"/>
  <c r="I32" i="32" l="1"/>
  <c r="H32" i="32"/>
  <c r="J23" i="32"/>
  <c r="I4" i="32"/>
  <c r="J19" i="32"/>
  <c r="J20" i="32"/>
  <c r="P16" i="32"/>
  <c r="T16" i="32"/>
  <c r="U16" i="32"/>
  <c r="J27" i="32"/>
  <c r="P26" i="32"/>
  <c r="U26" i="32"/>
  <c r="T26" i="32"/>
  <c r="J14" i="32"/>
  <c r="J13" i="32"/>
  <c r="J10" i="32"/>
  <c r="U7" i="32"/>
  <c r="T7" i="32"/>
  <c r="P7" i="32"/>
  <c r="J11" i="32"/>
  <c r="J22" i="32"/>
  <c r="N4" i="32"/>
  <c r="J24" i="32"/>
  <c r="J21" i="32"/>
  <c r="T3" i="32"/>
  <c r="P3" i="32"/>
  <c r="U3" i="32"/>
  <c r="Y18" i="32" a="1"/>
  <c r="Y9" i="32" a="1"/>
  <c r="X9" i="32" a="1"/>
  <c r="K27" i="32"/>
  <c r="K12" i="32"/>
  <c r="L12" i="32" s="1"/>
  <c r="K14" i="32"/>
  <c r="L14" i="32" s="1"/>
  <c r="K13" i="32"/>
  <c r="L13" i="32" s="1"/>
  <c r="K10" i="32"/>
  <c r="L10" i="32" s="1"/>
  <c r="K11" i="32"/>
  <c r="L11" i="32" s="1"/>
  <c r="AD18" i="32" a="1"/>
  <c r="B3" i="39" a="1"/>
  <c r="Z18" i="32" a="1"/>
  <c r="E3" i="39" a="1"/>
  <c r="C3" i="39" a="1"/>
  <c r="F3" i="39" a="1"/>
  <c r="D3" i="39" a="1"/>
  <c r="K23" i="32"/>
  <c r="L23" i="32" s="1"/>
  <c r="K19" i="32"/>
  <c r="K20" i="32"/>
  <c r="L20" i="32" s="1"/>
  <c r="K22" i="32"/>
  <c r="L22" i="32" s="1"/>
  <c r="K24" i="32"/>
  <c r="L24" i="32" s="1"/>
  <c r="K21" i="32"/>
  <c r="L21" i="32" s="1"/>
  <c r="X18" i="32" a="1"/>
  <c r="B3" i="38" a="1"/>
  <c r="Z9" i="32" a="1"/>
  <c r="E3" i="38" a="1"/>
  <c r="C3" i="38" a="1"/>
  <c r="D3" i="38" a="1"/>
  <c r="F3" i="38" a="1"/>
  <c r="AD9" i="32" a="1"/>
  <c r="L19" i="32"/>
  <c r="AD11" i="32" l="1"/>
  <c r="AD10" i="32"/>
  <c r="AD9" i="32"/>
  <c r="F3" i="38"/>
  <c r="F6" i="38"/>
  <c r="F4" i="38"/>
  <c r="F5" i="38"/>
  <c r="D5" i="38"/>
  <c r="D6" i="38"/>
  <c r="D4" i="38"/>
  <c r="D3" i="38"/>
  <c r="C3" i="38"/>
  <c r="C5" i="38"/>
  <c r="C6" i="38"/>
  <c r="C4" i="38"/>
  <c r="E5" i="38"/>
  <c r="E6" i="38"/>
  <c r="E3" i="38"/>
  <c r="E4" i="38"/>
  <c r="Z10" i="32"/>
  <c r="Z9" i="32"/>
  <c r="Z11" i="32"/>
  <c r="B3" i="38"/>
  <c r="B5" i="38"/>
  <c r="B4" i="38"/>
  <c r="B6" i="38"/>
  <c r="X19" i="32"/>
  <c r="X20" i="32"/>
  <c r="X18" i="32"/>
  <c r="P31" i="32"/>
  <c r="D6" i="39"/>
  <c r="D3" i="39"/>
  <c r="D4" i="39"/>
  <c r="D5" i="39"/>
  <c r="F6" i="39"/>
  <c r="F4" i="39"/>
  <c r="F3" i="39"/>
  <c r="F5" i="39"/>
  <c r="C5" i="39"/>
  <c r="C3" i="39"/>
  <c r="C4" i="39"/>
  <c r="C6" i="39"/>
  <c r="E5" i="39"/>
  <c r="E3" i="39"/>
  <c r="E4" i="39"/>
  <c r="E6" i="39"/>
  <c r="Z20" i="32"/>
  <c r="Z19" i="32"/>
  <c r="Z18" i="32"/>
  <c r="B4" i="39"/>
  <c r="B5" i="39"/>
  <c r="B6" i="39"/>
  <c r="B3" i="39"/>
  <c r="AD18" i="32"/>
  <c r="AD19" i="32"/>
  <c r="AD20" i="32"/>
  <c r="K26" i="32"/>
  <c r="Q31" i="32" s="1"/>
  <c r="X10" i="32"/>
  <c r="X9" i="32"/>
  <c r="X11" i="32"/>
  <c r="Y10" i="32"/>
  <c r="Y9" i="32"/>
  <c r="Y11" i="32"/>
  <c r="Y19" i="32"/>
  <c r="Y20" i="32"/>
  <c r="Y18" i="32"/>
  <c r="P4" i="32"/>
  <c r="U4" i="32"/>
  <c r="T4" i="32"/>
  <c r="J4" i="32"/>
  <c r="AC33" i="32"/>
  <c r="AC95" i="32"/>
  <c r="AC53" i="32"/>
  <c r="AC72" i="32"/>
  <c r="AC85" i="32"/>
  <c r="AC87" i="32"/>
  <c r="AC91" i="32"/>
  <c r="AC90" i="32"/>
  <c r="AC39" i="32"/>
  <c r="AC34" i="32"/>
  <c r="AC69" i="32"/>
  <c r="AC73" i="32"/>
  <c r="AC40" i="32"/>
  <c r="AC92" i="32"/>
  <c r="AC56" i="32"/>
  <c r="AC76" i="32"/>
  <c r="AC67" i="32"/>
  <c r="AC81" i="32"/>
  <c r="AC46" i="32"/>
  <c r="AC37" i="32"/>
  <c r="AC31" i="32"/>
  <c r="AC78" i="32"/>
  <c r="AC42" i="32"/>
  <c r="AC66" i="32"/>
  <c r="AC61" i="32"/>
  <c r="AC79" i="32"/>
  <c r="AC58" i="32"/>
  <c r="AC43" i="32"/>
  <c r="AC50" i="32"/>
  <c r="AC55" i="32"/>
  <c r="AC80" i="32"/>
  <c r="AC74" i="32"/>
  <c r="AC62" i="32"/>
  <c r="AC51" i="32"/>
  <c r="AC60" i="32"/>
  <c r="AC70" i="32"/>
  <c r="AC71" i="32"/>
  <c r="AC47" i="32"/>
  <c r="AC75" i="32"/>
  <c r="AC93" i="32"/>
  <c r="AC48" i="32"/>
  <c r="AC88" i="32"/>
  <c r="AC96" i="32"/>
  <c r="AC86" i="32"/>
  <c r="AC77" i="32"/>
  <c r="AC41" i="32"/>
  <c r="AC38" i="32"/>
  <c r="AC35" i="32"/>
  <c r="AC49" i="32"/>
  <c r="AC94" i="32"/>
  <c r="AC64" i="32"/>
  <c r="AC65" i="32"/>
  <c r="AC30" i="32"/>
  <c r="AC32" i="32"/>
  <c r="AC36" i="32"/>
  <c r="AC84" i="32"/>
  <c r="AC82" i="32"/>
  <c r="AC89" i="32"/>
  <c r="AC54" i="32"/>
  <c r="AC63" i="32"/>
  <c r="AC44" i="32"/>
  <c r="AC59" i="32"/>
  <c r="AC52" i="32"/>
  <c r="AC83" i="32"/>
  <c r="AC57" i="32"/>
  <c r="AC45" i="32"/>
  <c r="AC68" i="32"/>
  <c r="F12" i="38"/>
  <c r="G6" i="38"/>
  <c r="F10" i="39"/>
  <c r="E10" i="39"/>
  <c r="F10" i="38"/>
  <c r="G3" i="38"/>
  <c r="F11" i="39"/>
  <c r="E12" i="39"/>
  <c r="F9" i="38"/>
  <c r="G4" i="38"/>
  <c r="H6" i="39"/>
  <c r="G5" i="39"/>
  <c r="K4" i="32"/>
  <c r="H3" i="38"/>
  <c r="E9" i="38"/>
  <c r="H4" i="39"/>
  <c r="G3" i="39"/>
  <c r="H6" i="38"/>
  <c r="E11" i="38"/>
  <c r="H3" i="39"/>
  <c r="G4" i="39"/>
  <c r="H4" i="38"/>
  <c r="E12" i="38"/>
  <c r="H5" i="39"/>
  <c r="G6" i="39"/>
  <c r="H5" i="38"/>
  <c r="E10" i="38"/>
  <c r="F12" i="39"/>
  <c r="E11" i="39"/>
  <c r="F11" i="38"/>
  <c r="G5" i="38"/>
  <c r="F9" i="39"/>
  <c r="E9" i="39"/>
  <c r="J9" i="39" l="1"/>
  <c r="N17" i="39" s="1"/>
  <c r="H9" i="39"/>
  <c r="G9" i="39"/>
  <c r="I9" i="39"/>
  <c r="I5" i="38"/>
  <c r="I11" i="38"/>
  <c r="G11" i="38"/>
  <c r="J11" i="38"/>
  <c r="N19" i="38" s="1"/>
  <c r="H11" i="38"/>
  <c r="H12" i="39"/>
  <c r="P20" i="39" s="1"/>
  <c r="J12" i="39"/>
  <c r="N20" i="39" s="1"/>
  <c r="G12" i="39"/>
  <c r="Q20" i="39" s="1"/>
  <c r="I12" i="39"/>
  <c r="O20" i="39" s="1"/>
  <c r="I6" i="39"/>
  <c r="U20" i="39" s="1"/>
  <c r="I4" i="39"/>
  <c r="I3" i="39"/>
  <c r="K3" i="32"/>
  <c r="N31" i="32"/>
  <c r="I5" i="39"/>
  <c r="I4" i="38"/>
  <c r="G9" i="38"/>
  <c r="J9" i="38"/>
  <c r="N17" i="38" s="1"/>
  <c r="I9" i="38"/>
  <c r="H9" i="38"/>
  <c r="H11" i="39"/>
  <c r="I11" i="39"/>
  <c r="G11" i="39"/>
  <c r="J11" i="39"/>
  <c r="N19" i="39" s="1"/>
  <c r="I3" i="38"/>
  <c r="H10" i="38"/>
  <c r="G10" i="38"/>
  <c r="I10" i="38"/>
  <c r="J10" i="38"/>
  <c r="N18" i="38" s="1"/>
  <c r="H10" i="39"/>
  <c r="G10" i="39"/>
  <c r="J10" i="39"/>
  <c r="N18" i="39" s="1"/>
  <c r="I10" i="39"/>
  <c r="I6" i="38"/>
  <c r="U20" i="38" s="1"/>
  <c r="H12" i="38"/>
  <c r="P20" i="38" s="1"/>
  <c r="I12" i="38"/>
  <c r="O20" i="38" s="1"/>
  <c r="G12" i="38"/>
  <c r="Q20" i="38" s="1"/>
  <c r="J12" i="38"/>
  <c r="N20" i="38" s="1"/>
  <c r="AF18" i="32" a="1"/>
  <c r="AF9" i="32" a="1"/>
  <c r="O4" i="38" l="1"/>
  <c r="O18" i="38"/>
  <c r="P3" i="38"/>
  <c r="P17" i="38"/>
  <c r="P9" i="38"/>
  <c r="Q18" i="38"/>
  <c r="Q10" i="38"/>
  <c r="Q4" i="38"/>
  <c r="O3" i="38"/>
  <c r="O17" i="38"/>
  <c r="U4" i="39"/>
  <c r="U18" i="39"/>
  <c r="U10" i="39"/>
  <c r="Q19" i="38"/>
  <c r="Q5" i="38"/>
  <c r="P10" i="38"/>
  <c r="P18" i="38"/>
  <c r="P4" i="38"/>
  <c r="O5" i="38"/>
  <c r="O19" i="38"/>
  <c r="AF10" i="32"/>
  <c r="AH9" i="32"/>
  <c r="AG9" i="32"/>
  <c r="AG10" i="32"/>
  <c r="AH10" i="32"/>
  <c r="AF9" i="32"/>
  <c r="AF11" i="32"/>
  <c r="AG11" i="32"/>
  <c r="AH11" i="32"/>
  <c r="O4" i="39"/>
  <c r="O18" i="39"/>
  <c r="U17" i="38"/>
  <c r="U9" i="38"/>
  <c r="U13" i="38"/>
  <c r="U3" i="38"/>
  <c r="Q13" i="38"/>
  <c r="W13" i="38" s="1"/>
  <c r="S13" i="38" s="1"/>
  <c r="Q17" i="38"/>
  <c r="Q9" i="38"/>
  <c r="Q3" i="38"/>
  <c r="U19" i="38"/>
  <c r="U5" i="38"/>
  <c r="U4" i="38"/>
  <c r="U18" i="38"/>
  <c r="U10" i="38"/>
  <c r="O17" i="39"/>
  <c r="O3" i="39"/>
  <c r="AH18" i="32"/>
  <c r="AG19" i="32"/>
  <c r="AF19" i="32"/>
  <c r="AF18" i="32"/>
  <c r="AH20" i="32"/>
  <c r="AG20" i="32"/>
  <c r="AG18" i="32"/>
  <c r="AF20" i="32"/>
  <c r="AH19" i="32"/>
  <c r="Q18" i="39"/>
  <c r="Q10" i="39"/>
  <c r="Q4" i="39"/>
  <c r="Q5" i="39"/>
  <c r="Q19" i="39"/>
  <c r="U5" i="39"/>
  <c r="U19" i="39"/>
  <c r="Q3" i="39"/>
  <c r="Q9" i="39"/>
  <c r="Q13" i="39"/>
  <c r="W13" i="39" s="1"/>
  <c r="Q17" i="39"/>
  <c r="P4" i="39"/>
  <c r="P18" i="39"/>
  <c r="P10" i="39"/>
  <c r="O19" i="39"/>
  <c r="O5" i="39"/>
  <c r="P9" i="39"/>
  <c r="P17" i="39"/>
  <c r="P3" i="39"/>
  <c r="P5" i="39"/>
  <c r="P19" i="39"/>
  <c r="P5" i="38"/>
  <c r="P19" i="38"/>
  <c r="W3" i="39" l="1" a="1"/>
  <c r="W17" i="39" a="1"/>
  <c r="Z20" i="39" s="1"/>
  <c r="W17" i="38" a="1"/>
  <c r="X18" i="38" s="1"/>
  <c r="Z17" i="39"/>
  <c r="X20" i="39"/>
  <c r="Y18" i="39"/>
  <c r="W17" i="39"/>
  <c r="X17" i="39"/>
  <c r="Y20" i="39"/>
  <c r="Z19" i="39"/>
  <c r="X17" i="38"/>
  <c r="W9" i="38" a="1"/>
  <c r="W10" i="38" s="1"/>
  <c r="AB18" i="32" a="1"/>
  <c r="AB20" i="32" s="1"/>
  <c r="U32" i="32" s="1"/>
  <c r="AB9" i="32" a="1"/>
  <c r="AB11" i="32" s="1"/>
  <c r="T32" i="32" s="1"/>
  <c r="W3" i="38" a="1"/>
  <c r="Y5" i="38" s="1"/>
  <c r="W9" i="39" a="1"/>
  <c r="W9" i="39" s="1"/>
  <c r="W3" i="39"/>
  <c r="Y4" i="39"/>
  <c r="X3" i="39"/>
  <c r="W5" i="39"/>
  <c r="W4" i="39"/>
  <c r="X5" i="39"/>
  <c r="Y3" i="39"/>
  <c r="X4" i="39"/>
  <c r="Y5" i="39"/>
  <c r="D58" i="38"/>
  <c r="D27" i="38"/>
  <c r="D55" i="38"/>
  <c r="D17" i="38"/>
  <c r="D47" i="38"/>
  <c r="D68" i="38"/>
  <c r="D80" i="38"/>
  <c r="D25" i="38"/>
  <c r="D73" i="38"/>
  <c r="D44" i="38"/>
  <c r="D35" i="38"/>
  <c r="D29" i="38"/>
  <c r="D48" i="38"/>
  <c r="D20" i="38"/>
  <c r="D77" i="38"/>
  <c r="R48" i="38"/>
  <c r="N59" i="38" s="1"/>
  <c r="D26" i="38"/>
  <c r="D71" i="38"/>
  <c r="D33" i="38"/>
  <c r="D56" i="38"/>
  <c r="D61" i="38"/>
  <c r="D30" i="38"/>
  <c r="D75" i="38"/>
  <c r="D67" i="38"/>
  <c r="R46" i="38"/>
  <c r="N57" i="38" s="1"/>
  <c r="D28" i="38"/>
  <c r="D81" i="38"/>
  <c r="D76" i="38"/>
  <c r="R44" i="38"/>
  <c r="N55" i="38" s="1"/>
  <c r="D49" i="38"/>
  <c r="D42" i="38"/>
  <c r="D72" i="38"/>
  <c r="D45" i="38"/>
  <c r="D18" i="38"/>
  <c r="D82" i="38"/>
  <c r="D23" i="38"/>
  <c r="R50" i="38"/>
  <c r="N61" i="38" s="1"/>
  <c r="D38" i="38"/>
  <c r="D83" i="38"/>
  <c r="D19" i="38"/>
  <c r="D43" i="38"/>
  <c r="D59" i="38"/>
  <c r="D22" i="38"/>
  <c r="D24" i="38"/>
  <c r="R45" i="38"/>
  <c r="N56" i="38" s="1"/>
  <c r="D34" i="38"/>
  <c r="D60" i="38"/>
  <c r="D46" i="38"/>
  <c r="D53" i="38"/>
  <c r="R47" i="38"/>
  <c r="N58" i="38" s="1"/>
  <c r="D36" i="38"/>
  <c r="D39" i="38"/>
  <c r="D37" i="38"/>
  <c r="D54" i="38"/>
  <c r="D74" i="38"/>
  <c r="D51" i="38"/>
  <c r="D21" i="38"/>
  <c r="D50" i="38"/>
  <c r="D64" i="38"/>
  <c r="D78" i="38"/>
  <c r="D62" i="38"/>
  <c r="R49" i="38"/>
  <c r="N60" i="38" s="1"/>
  <c r="D79" i="38"/>
  <c r="D31" i="38"/>
  <c r="D57" i="38"/>
  <c r="D63" i="38"/>
  <c r="D65" i="38"/>
  <c r="D66" i="38"/>
  <c r="D69" i="38"/>
  <c r="D70" i="38"/>
  <c r="D32" i="38"/>
  <c r="D40" i="38"/>
  <c r="D52" i="38"/>
  <c r="D41" i="38"/>
  <c r="X18" i="39" l="1"/>
  <c r="W19" i="39"/>
  <c r="Y19" i="39"/>
  <c r="Y17" i="39"/>
  <c r="W20" i="39"/>
  <c r="W5" i="38"/>
  <c r="X19" i="38"/>
  <c r="X10" i="38"/>
  <c r="Y19" i="38"/>
  <c r="W9" i="38"/>
  <c r="Y17" i="38"/>
  <c r="Y20" i="38"/>
  <c r="W18" i="38"/>
  <c r="W19" i="38"/>
  <c r="Z18" i="38"/>
  <c r="X9" i="38"/>
  <c r="X20" i="38"/>
  <c r="W20" i="38"/>
  <c r="AB9" i="32"/>
  <c r="T30" i="32" s="1"/>
  <c r="AB19" i="32"/>
  <c r="U31" i="32" s="1"/>
  <c r="AB18" i="32"/>
  <c r="U30" i="32" s="1"/>
  <c r="W10" i="39"/>
  <c r="Z20" i="38"/>
  <c r="Y18" i="38"/>
  <c r="Y3" i="38"/>
  <c r="Y4" i="38"/>
  <c r="W4" i="38"/>
  <c r="X10" i="39"/>
  <c r="Z19" i="38"/>
  <c r="Z17" i="38"/>
  <c r="Z18" i="39"/>
  <c r="X19" i="39"/>
  <c r="X4" i="38"/>
  <c r="W17" i="38"/>
  <c r="W18" i="39"/>
  <c r="X9" i="39"/>
  <c r="W3" i="38"/>
  <c r="X3" i="38"/>
  <c r="X5" i="38"/>
  <c r="AB10" i="32"/>
  <c r="T31" i="32" s="1"/>
  <c r="S9" i="38" l="1" a="1"/>
  <c r="S10" i="38" s="1"/>
  <c r="AJ18" i="32" a="1"/>
  <c r="S17" i="38" a="1"/>
  <c r="S18" i="38" s="1"/>
  <c r="AE63" i="32"/>
  <c r="AE71" i="32"/>
  <c r="AE62" i="32"/>
  <c r="AE34" i="32"/>
  <c r="AE45" i="32"/>
  <c r="AE80" i="32"/>
  <c r="AE52" i="32"/>
  <c r="AE33" i="32"/>
  <c r="AE56" i="32"/>
  <c r="AE58" i="32"/>
  <c r="AE61" i="32"/>
  <c r="AE53" i="32"/>
  <c r="AE88" i="32"/>
  <c r="AE79" i="32"/>
  <c r="AE59" i="32"/>
  <c r="AE65" i="32"/>
  <c r="AE38" i="32"/>
  <c r="AE74" i="32"/>
  <c r="AE82" i="32"/>
  <c r="AE90" i="32"/>
  <c r="AE85" i="32"/>
  <c r="AE42" i="32"/>
  <c r="AE39" i="32"/>
  <c r="AE37" i="32"/>
  <c r="AE66" i="32"/>
  <c r="S19" i="38"/>
  <c r="S20" i="38"/>
  <c r="S17" i="38"/>
  <c r="AE43" i="32"/>
  <c r="AE49" i="32"/>
  <c r="AE47" i="32"/>
  <c r="AE44" i="32"/>
  <c r="AE57" i="32"/>
  <c r="AE93" i="32"/>
  <c r="AE32" i="32"/>
  <c r="AE64" i="32"/>
  <c r="AE91" i="32"/>
  <c r="AE73" i="32"/>
  <c r="AE81" i="32"/>
  <c r="AE76" i="32"/>
  <c r="AE30" i="32"/>
  <c r="S3" i="38" a="1"/>
  <c r="AE60" i="32"/>
  <c r="AE70" i="32"/>
  <c r="AE78" i="32"/>
  <c r="AJ9" i="32" a="1"/>
  <c r="AJ9" i="32" s="1"/>
  <c r="AE54" i="32"/>
  <c r="AE92" i="32"/>
  <c r="AE95" i="32"/>
  <c r="AE35" i="32"/>
  <c r="AE96" i="32"/>
  <c r="AE67" i="32"/>
  <c r="AE36" i="32"/>
  <c r="AE55" i="32"/>
  <c r="AE94" i="32"/>
  <c r="AJ19" i="32"/>
  <c r="AJ18" i="32"/>
  <c r="AJ20" i="32"/>
  <c r="U37" i="32"/>
  <c r="P37" i="32" s="1"/>
  <c r="I37" i="32" s="1"/>
  <c r="J18" i="33" s="1"/>
  <c r="U36" i="32"/>
  <c r="P36" i="32" s="1"/>
  <c r="I36" i="32" s="1"/>
  <c r="J17" i="33" s="1"/>
  <c r="U42" i="32"/>
  <c r="P42" i="32" s="1"/>
  <c r="I42" i="32" s="1"/>
  <c r="J23" i="33" s="1"/>
  <c r="U38" i="32"/>
  <c r="P38" i="32" s="1"/>
  <c r="I38" i="32" s="1"/>
  <c r="J19" i="33" s="1"/>
  <c r="U43" i="32"/>
  <c r="P43" i="32" s="1"/>
  <c r="I43" i="32" s="1"/>
  <c r="J24" i="33" s="1"/>
  <c r="U34" i="32"/>
  <c r="P34" i="32" s="1"/>
  <c r="I34" i="32" s="1"/>
  <c r="J15" i="33" s="1"/>
  <c r="U41" i="32"/>
  <c r="P41" i="32" s="1"/>
  <c r="I41" i="32" s="1"/>
  <c r="J22" i="33" s="1"/>
  <c r="U35" i="32"/>
  <c r="P35" i="32" s="1"/>
  <c r="I35" i="32" s="1"/>
  <c r="J16" i="33" s="1"/>
  <c r="U39" i="32"/>
  <c r="P39" i="32" s="1"/>
  <c r="I39" i="32" s="1"/>
  <c r="J20" i="33" s="1"/>
  <c r="U40" i="32"/>
  <c r="P40" i="32" s="1"/>
  <c r="I40" i="32" s="1"/>
  <c r="J21" i="33" s="1"/>
  <c r="AE69" i="32"/>
  <c r="T35" i="32"/>
  <c r="T39" i="32"/>
  <c r="T36" i="32"/>
  <c r="T40" i="32"/>
  <c r="T37" i="32"/>
  <c r="T34" i="32"/>
  <c r="T38" i="32"/>
  <c r="AE72" i="32"/>
  <c r="AE50" i="32"/>
  <c r="AE31" i="32"/>
  <c r="AE40" i="32"/>
  <c r="AE41" i="32"/>
  <c r="AE83" i="32"/>
  <c r="AE75" i="32"/>
  <c r="AE89" i="32"/>
  <c r="AE51" i="32"/>
  <c r="AE86" i="32"/>
  <c r="AE68" i="32"/>
  <c r="AE77" i="32"/>
  <c r="AE46" i="32"/>
  <c r="AE48" i="32"/>
  <c r="AE87" i="32"/>
  <c r="AE84" i="32"/>
  <c r="S9" i="38" l="1"/>
  <c r="E72" i="38"/>
  <c r="E30" i="38"/>
  <c r="E62" i="38"/>
  <c r="E71" i="38"/>
  <c r="E21" i="38"/>
  <c r="E60" i="38"/>
  <c r="S49" i="38"/>
  <c r="O60" i="38" s="1"/>
  <c r="E46" i="38"/>
  <c r="E75" i="38"/>
  <c r="AJ10" i="32"/>
  <c r="AJ11" i="32"/>
  <c r="S3" i="38"/>
  <c r="S5" i="38"/>
  <c r="S4" i="38"/>
  <c r="G47" i="38"/>
  <c r="G29" i="38"/>
  <c r="U44" i="38"/>
  <c r="Q55" i="38" s="1"/>
  <c r="G24" i="38"/>
  <c r="G40" i="38"/>
  <c r="G44" i="38"/>
  <c r="G45" i="38"/>
  <c r="G35" i="38"/>
  <c r="G49" i="38"/>
  <c r="G75" i="38"/>
  <c r="U46" i="38"/>
  <c r="Q57" i="38" s="1"/>
  <c r="G46" i="38"/>
  <c r="G32" i="38"/>
  <c r="G59" i="38"/>
  <c r="G83" i="38"/>
  <c r="U50" i="38"/>
  <c r="Q61" i="38" s="1"/>
  <c r="G39" i="38"/>
  <c r="G78" i="38"/>
  <c r="G73" i="38"/>
  <c r="G62" i="38"/>
  <c r="U49" i="38"/>
  <c r="Q60" i="38" s="1"/>
  <c r="G38" i="38"/>
  <c r="G81" i="38"/>
  <c r="G36" i="38"/>
  <c r="G71" i="38"/>
  <c r="G52" i="38"/>
  <c r="G80" i="38"/>
  <c r="G27" i="38"/>
  <c r="G17" i="38"/>
  <c r="G25" i="38"/>
  <c r="G18" i="38"/>
  <c r="G54" i="38"/>
  <c r="G28" i="38"/>
  <c r="G20" i="38"/>
  <c r="G76" i="38"/>
  <c r="G77" i="38"/>
  <c r="G48" i="38"/>
  <c r="G30" i="38"/>
  <c r="G58" i="38"/>
  <c r="G33" i="38"/>
  <c r="G37" i="38"/>
  <c r="G26" i="38"/>
  <c r="G57" i="38"/>
  <c r="U47" i="38"/>
  <c r="Q58" i="38" s="1"/>
  <c r="G60" i="38"/>
  <c r="G41" i="38"/>
  <c r="G79" i="38"/>
  <c r="G69" i="38"/>
  <c r="G51" i="38"/>
  <c r="G68" i="38"/>
  <c r="G23" i="38"/>
  <c r="G43" i="38"/>
  <c r="G61" i="38"/>
  <c r="G34" i="38"/>
  <c r="G82" i="38"/>
  <c r="G64" i="38"/>
  <c r="G70" i="38"/>
  <c r="G53" i="38"/>
  <c r="G65" i="38"/>
  <c r="G31" i="38"/>
  <c r="U48" i="38"/>
  <c r="Q59" i="38" s="1"/>
  <c r="G66" i="38"/>
  <c r="G55" i="38"/>
  <c r="G50" i="38"/>
  <c r="G42" i="38"/>
  <c r="G21" i="38"/>
  <c r="G63" i="38"/>
  <c r="G67" i="38"/>
  <c r="G74" i="38"/>
  <c r="G72" i="38"/>
  <c r="G19" i="38"/>
  <c r="G22" i="38"/>
  <c r="G56" i="38"/>
  <c r="U45" i="38"/>
  <c r="Q56" i="38" s="1"/>
  <c r="S46" i="38" l="1"/>
  <c r="O57" i="38" s="1"/>
  <c r="E31" i="38"/>
  <c r="E28" i="38"/>
  <c r="E49" i="38"/>
  <c r="E33" i="38"/>
  <c r="E64" i="38"/>
  <c r="E40" i="38"/>
  <c r="E55" i="38"/>
  <c r="E65" i="38"/>
  <c r="E38" i="38"/>
  <c r="E44" i="38"/>
  <c r="S45" i="38"/>
  <c r="O56" i="38" s="1"/>
  <c r="E50" i="38"/>
  <c r="E27" i="38"/>
  <c r="E39" i="38"/>
  <c r="E18" i="38"/>
  <c r="E73" i="38"/>
  <c r="E66" i="38"/>
  <c r="E24" i="38"/>
  <c r="E74" i="38"/>
  <c r="E42" i="38"/>
  <c r="E69" i="38"/>
  <c r="E56" i="38"/>
  <c r="E35" i="38"/>
  <c r="E34" i="38"/>
  <c r="E32" i="38"/>
  <c r="E54" i="38"/>
  <c r="E17" i="38"/>
  <c r="S48" i="38"/>
  <c r="O59" i="38" s="1"/>
  <c r="E67" i="38"/>
  <c r="E58" i="38"/>
  <c r="E19" i="38"/>
  <c r="E48" i="38"/>
  <c r="E83" i="38"/>
  <c r="S47" i="38"/>
  <c r="O58" i="38" s="1"/>
  <c r="E68" i="38"/>
  <c r="E20" i="38"/>
  <c r="E43" i="38"/>
  <c r="E61" i="38"/>
  <c r="E57" i="38"/>
  <c r="S50" i="38"/>
  <c r="O61" i="38" s="1"/>
  <c r="E80" i="38"/>
  <c r="E78" i="38"/>
  <c r="E53" i="38"/>
  <c r="E47" i="38"/>
  <c r="E26" i="38"/>
  <c r="E25" i="38"/>
  <c r="E52" i="38"/>
  <c r="E81" i="38"/>
  <c r="E36" i="38"/>
  <c r="E23" i="38"/>
  <c r="E79" i="38"/>
  <c r="E77" i="38"/>
  <c r="E76" i="38"/>
  <c r="E41" i="38"/>
  <c r="S44" i="38"/>
  <c r="O55" i="38" s="1"/>
  <c r="E29" i="38"/>
  <c r="E45" i="38"/>
  <c r="E59" i="38"/>
  <c r="E37" i="38"/>
  <c r="E82" i="38"/>
  <c r="E22" i="38"/>
  <c r="E51" i="38"/>
  <c r="E70" i="38"/>
  <c r="E63" i="38"/>
  <c r="F56" i="38"/>
  <c r="F18" i="38"/>
  <c r="F31" i="38"/>
  <c r="F47" i="38"/>
  <c r="F44" i="38"/>
  <c r="F52" i="38"/>
  <c r="F40" i="38"/>
  <c r="F71" i="38"/>
  <c r="F53" i="38"/>
  <c r="F27" i="38"/>
  <c r="F73" i="38"/>
  <c r="F79" i="38"/>
  <c r="F72" i="38"/>
  <c r="T50" i="38"/>
  <c r="P61" i="38" s="1"/>
  <c r="F78" i="38"/>
  <c r="F20" i="38"/>
  <c r="F81" i="38"/>
  <c r="F60" i="38"/>
  <c r="F55" i="38"/>
  <c r="F19" i="38"/>
  <c r="F36" i="38"/>
  <c r="F23" i="38"/>
  <c r="F41" i="38"/>
  <c r="F59" i="38"/>
  <c r="T44" i="38"/>
  <c r="P55" i="38" s="1"/>
  <c r="F76" i="38"/>
  <c r="F29" i="38"/>
  <c r="F61" i="38"/>
  <c r="F17" i="38"/>
  <c r="F80" i="38"/>
  <c r="F46" i="38"/>
  <c r="F65" i="38"/>
  <c r="F39" i="38"/>
  <c r="F43" i="38"/>
  <c r="F37" i="38"/>
  <c r="F48" i="38"/>
  <c r="F35" i="38"/>
  <c r="F34" i="38"/>
  <c r="F62" i="38"/>
  <c r="T45" i="38"/>
  <c r="P56" i="38" s="1"/>
  <c r="F67" i="38"/>
  <c r="F66" i="38"/>
  <c r="F49" i="38"/>
  <c r="F57" i="38"/>
  <c r="T46" i="38"/>
  <c r="P57" i="38" s="1"/>
  <c r="F58" i="38"/>
  <c r="F82" i="38"/>
  <c r="F75" i="38"/>
  <c r="F68" i="38"/>
  <c r="F64" i="38"/>
  <c r="F77" i="38"/>
  <c r="F28" i="38"/>
  <c r="F45" i="38"/>
  <c r="F74" i="38"/>
  <c r="F21" i="38"/>
  <c r="F22" i="38"/>
  <c r="F24" i="38"/>
  <c r="T49" i="38"/>
  <c r="P60" i="38" s="1"/>
  <c r="F70" i="38"/>
  <c r="F33" i="38"/>
  <c r="F50" i="38"/>
  <c r="F54" i="38"/>
  <c r="T47" i="38"/>
  <c r="P58" i="38" s="1"/>
  <c r="F51" i="38"/>
  <c r="F38" i="38"/>
  <c r="T48" i="38"/>
  <c r="P59" i="38" s="1"/>
  <c r="F32" i="38"/>
  <c r="F30" i="38"/>
  <c r="F63" i="38"/>
  <c r="F69" i="38"/>
  <c r="F26" i="38"/>
  <c r="F25" i="38"/>
  <c r="F83" i="38"/>
  <c r="F42" i="38"/>
  <c r="N3" i="33" l="1" a="1"/>
  <c r="N17" i="33"/>
  <c r="O17" i="33"/>
  <c r="N24" i="33" l="1"/>
  <c r="O24" i="33"/>
  <c r="N16" i="33"/>
  <c r="O16" i="33"/>
  <c r="N23" i="33"/>
  <c r="O23" i="33"/>
  <c r="N15" i="33"/>
  <c r="O15" i="33"/>
  <c r="N22" i="33"/>
  <c r="O22" i="33"/>
  <c r="N18" i="33"/>
  <c r="O18" i="33"/>
  <c r="N19" i="33"/>
  <c r="O19" i="33"/>
  <c r="N20" i="33"/>
  <c r="O20" i="33"/>
  <c r="N21" i="33"/>
  <c r="O21" i="33"/>
  <c r="P15" i="33"/>
  <c r="K18" i="32"/>
  <c r="L3" i="32"/>
  <c r="D44" i="29"/>
  <c r="G31" i="32"/>
  <c r="L4" i="32"/>
  <c r="L27" i="32"/>
  <c r="K2" i="39"/>
  <c r="D43" i="29"/>
  <c r="K9" i="32"/>
  <c r="K3" i="39" a="1"/>
  <c r="J31" i="32"/>
  <c r="L26" i="32"/>
  <c r="N32" i="32"/>
  <c r="K3" i="39"/>
  <c r="K5" i="39"/>
  <c r="Q32" i="32"/>
  <c r="Q41" i="32"/>
  <c r="J41" i="32"/>
  <c r="J32" i="33" s="1"/>
  <c r="G32" i="32"/>
  <c r="J32" i="32"/>
  <c r="K6" i="39"/>
  <c r="O31" i="32"/>
  <c r="K4" i="39"/>
  <c r="L9" i="32"/>
  <c r="O32" i="32"/>
  <c r="O37" i="32" s="1"/>
  <c r="H37" i="32" s="1"/>
  <c r="J11" i="33" s="1"/>
  <c r="O38" i="32"/>
  <c r="H38" i="32" s="1"/>
  <c r="J12" i="33" s="1"/>
  <c r="U9" i="39"/>
  <c r="S9" i="39" s="1" a="1"/>
  <c r="O36" i="32"/>
  <c r="H36" i="32"/>
  <c r="J10" i="33"/>
  <c r="O35" i="32"/>
  <c r="H35" i="32" s="1"/>
  <c r="J9" i="33" s="1"/>
  <c r="O34" i="32"/>
  <c r="H34" i="32" s="1"/>
  <c r="J8" i="33" s="1"/>
  <c r="U17" i="39"/>
  <c r="S17" i="39" a="1"/>
  <c r="S19" i="39" s="1"/>
  <c r="O40" i="32"/>
  <c r="H40" i="32" s="1"/>
  <c r="J14" i="33" s="1"/>
  <c r="U13" i="39"/>
  <c r="S13" i="39"/>
  <c r="D53" i="39" s="1"/>
  <c r="D35" i="39"/>
  <c r="O39" i="32"/>
  <c r="H39" i="32" s="1"/>
  <c r="J13" i="33" s="1"/>
  <c r="U3" i="39"/>
  <c r="S3" i="39" s="1" a="1"/>
  <c r="AD88" i="32"/>
  <c r="AD67" i="32"/>
  <c r="AD89" i="32"/>
  <c r="AD31" i="32"/>
  <c r="AD52" i="32"/>
  <c r="AD38" i="32"/>
  <c r="AD70" i="32"/>
  <c r="AD87" i="32"/>
  <c r="AD64" i="32"/>
  <c r="AD50" i="32"/>
  <c r="AD81" i="32"/>
  <c r="AD30" i="32"/>
  <c r="AD51" i="32"/>
  <c r="AD69" i="32"/>
  <c r="AD71" i="32"/>
  <c r="AD40" i="32"/>
  <c r="AD37" i="32"/>
  <c r="AD90" i="32"/>
  <c r="AD63" i="32"/>
  <c r="AD76" i="32"/>
  <c r="AD74" i="32"/>
  <c r="AD68" i="32"/>
  <c r="AD78" i="32"/>
  <c r="AD45" i="32"/>
  <c r="AD85" i="32"/>
  <c r="AD44" i="32"/>
  <c r="AD61" i="32"/>
  <c r="AD83" i="32"/>
  <c r="AD79" i="32"/>
  <c r="AD84" i="32"/>
  <c r="AD65" i="32"/>
  <c r="AD48" i="32"/>
  <c r="AD33" i="32"/>
  <c r="AD47" i="32"/>
  <c r="AD60" i="32"/>
  <c r="AD73" i="32"/>
  <c r="AD62" i="32"/>
  <c r="AD54" i="32"/>
  <c r="AD42" i="32"/>
  <c r="AD53" i="32"/>
  <c r="AD41" i="32"/>
  <c r="AD96" i="32"/>
  <c r="AD32" i="32"/>
  <c r="AD49" i="32"/>
  <c r="AD46" i="32"/>
  <c r="AD39" i="32"/>
  <c r="AD86" i="32"/>
  <c r="AD36" i="32"/>
  <c r="AD91" i="32"/>
  <c r="AD66" i="32"/>
  <c r="AD77" i="32"/>
  <c r="AD82" i="32"/>
  <c r="AD34" i="32"/>
  <c r="AD35" i="32"/>
  <c r="AD59" i="32"/>
  <c r="AD92" i="32"/>
  <c r="AD93" i="32"/>
  <c r="AD56" i="32"/>
  <c r="AD57" i="32"/>
  <c r="AD55" i="32"/>
  <c r="AD95" i="32"/>
  <c r="AD80" i="32"/>
  <c r="AD43" i="32"/>
  <c r="AD58" i="32"/>
  <c r="AD72" i="32"/>
  <c r="AD75" i="32"/>
  <c r="AD94" i="32"/>
  <c r="L18" i="32"/>
  <c r="S17" i="39" l="1"/>
  <c r="S18" i="39"/>
  <c r="S20" i="39"/>
  <c r="G132" i="39" s="1"/>
  <c r="D75" i="39"/>
  <c r="D98" i="39"/>
  <c r="G107" i="39"/>
  <c r="G130" i="39"/>
  <c r="G35" i="39"/>
  <c r="G118" i="39"/>
  <c r="G78" i="39"/>
  <c r="G69" i="39"/>
  <c r="G58" i="39"/>
  <c r="G84" i="39"/>
  <c r="U47" i="39"/>
  <c r="Q61" i="39" s="1"/>
  <c r="G101" i="39"/>
  <c r="G85" i="39"/>
  <c r="G55" i="39"/>
  <c r="G30" i="39"/>
  <c r="D111" i="39"/>
  <c r="G24" i="39"/>
  <c r="G135" i="39"/>
  <c r="G50" i="39"/>
  <c r="G60" i="39"/>
  <c r="G39" i="39"/>
  <c r="D81" i="39"/>
  <c r="D123" i="39"/>
  <c r="D108" i="39"/>
  <c r="G112" i="39"/>
  <c r="G122" i="39"/>
  <c r="G57" i="39"/>
  <c r="G123" i="39"/>
  <c r="R52" i="39"/>
  <c r="N66" i="39" s="1"/>
  <c r="D65" i="39"/>
  <c r="G143" i="39"/>
  <c r="G87" i="39"/>
  <c r="G76" i="39"/>
  <c r="G82" i="39"/>
  <c r="G46" i="39"/>
  <c r="G94" i="39"/>
  <c r="G125" i="39"/>
  <c r="U51" i="39"/>
  <c r="Q65" i="39" s="1"/>
  <c r="D95" i="39"/>
  <c r="R48" i="39"/>
  <c r="N62" i="39" s="1"/>
  <c r="D127" i="39"/>
  <c r="G113" i="39"/>
  <c r="G32" i="39"/>
  <c r="G70" i="39"/>
  <c r="G110" i="39"/>
  <c r="G100" i="39"/>
  <c r="G96" i="39"/>
  <c r="G43" i="39"/>
  <c r="G126" i="39"/>
  <c r="G83" i="39"/>
  <c r="G131" i="39"/>
  <c r="G134" i="39"/>
  <c r="G140" i="39"/>
  <c r="D132" i="39"/>
  <c r="D130" i="39"/>
  <c r="D134" i="39"/>
  <c r="D118" i="39"/>
  <c r="D140" i="39"/>
  <c r="D90" i="39"/>
  <c r="D32" i="39"/>
  <c r="D96" i="39"/>
  <c r="D49" i="39"/>
  <c r="D79" i="39"/>
  <c r="D121" i="39"/>
  <c r="D146" i="39"/>
  <c r="D137" i="39"/>
  <c r="D25" i="39"/>
  <c r="D113" i="39"/>
  <c r="D124" i="39"/>
  <c r="D93" i="39"/>
  <c r="R46" i="39"/>
  <c r="N60" i="39" s="1"/>
  <c r="U44" i="39"/>
  <c r="Q58" i="39" s="1"/>
  <c r="G31" i="39"/>
  <c r="D102" i="39"/>
  <c r="D51" i="39"/>
  <c r="D88" i="39"/>
  <c r="D136" i="39"/>
  <c r="D131" i="39"/>
  <c r="D37" i="39"/>
  <c r="D144" i="39"/>
  <c r="R45" i="39"/>
  <c r="N59" i="39" s="1"/>
  <c r="D55" i="39"/>
  <c r="D101" i="39"/>
  <c r="S3" i="39"/>
  <c r="S4" i="39"/>
  <c r="S5" i="39"/>
  <c r="D82" i="39"/>
  <c r="D114" i="39"/>
  <c r="D80" i="39"/>
  <c r="D38" i="39"/>
  <c r="R50" i="39"/>
  <c r="N64" i="39" s="1"/>
  <c r="D104" i="39"/>
  <c r="D58" i="39"/>
  <c r="D33" i="39"/>
  <c r="D62" i="39"/>
  <c r="D86" i="39"/>
  <c r="R49" i="39"/>
  <c r="N63" i="39" s="1"/>
  <c r="D31" i="39"/>
  <c r="D89" i="39"/>
  <c r="D42" i="39"/>
  <c r="D126" i="39"/>
  <c r="D20" i="39"/>
  <c r="D30" i="39"/>
  <c r="D26" i="39"/>
  <c r="G33" i="39"/>
  <c r="G102" i="39"/>
  <c r="G17" i="39"/>
  <c r="G138" i="39"/>
  <c r="G28" i="39"/>
  <c r="D21" i="39"/>
  <c r="D73" i="39"/>
  <c r="D40" i="39"/>
  <c r="D68" i="39"/>
  <c r="D19" i="39"/>
  <c r="D99" i="39"/>
  <c r="G104" i="39"/>
  <c r="G71" i="39"/>
  <c r="G73" i="39"/>
  <c r="G146" i="39"/>
  <c r="G47" i="39"/>
  <c r="D22" i="39"/>
  <c r="G105" i="39"/>
  <c r="G63" i="39"/>
  <c r="G117" i="39"/>
  <c r="G114" i="39"/>
  <c r="G137" i="39"/>
  <c r="G59" i="39"/>
  <c r="G29" i="39"/>
  <c r="G98" i="39"/>
  <c r="G119" i="39"/>
  <c r="G93" i="39"/>
  <c r="G40" i="39"/>
  <c r="G124" i="39"/>
  <c r="G120" i="39"/>
  <c r="G128" i="39"/>
  <c r="U49" i="39"/>
  <c r="Q63" i="39" s="1"/>
  <c r="G97" i="39"/>
  <c r="G95" i="39"/>
  <c r="G66" i="39"/>
  <c r="G89" i="39"/>
  <c r="D112" i="39"/>
  <c r="D106" i="39"/>
  <c r="D56" i="39"/>
  <c r="D105" i="39"/>
  <c r="D72" i="39"/>
  <c r="D44" i="39"/>
  <c r="D70" i="39"/>
  <c r="D39" i="39"/>
  <c r="D43" i="39"/>
  <c r="D92" i="39"/>
  <c r="D139" i="39"/>
  <c r="D143" i="39"/>
  <c r="D76" i="39"/>
  <c r="D94" i="39"/>
  <c r="D61" i="39"/>
  <c r="D135" i="39"/>
  <c r="D52" i="39"/>
  <c r="D48" i="39"/>
  <c r="D17" i="39"/>
  <c r="D122" i="39"/>
  <c r="D115" i="39"/>
  <c r="D133" i="39"/>
  <c r="D97" i="39"/>
  <c r="U45" i="39"/>
  <c r="Q59" i="39" s="1"/>
  <c r="G56" i="39"/>
  <c r="G121" i="39"/>
  <c r="G144" i="39"/>
  <c r="G21" i="39"/>
  <c r="G111" i="39"/>
  <c r="G37" i="39"/>
  <c r="G145" i="39"/>
  <c r="D138" i="39"/>
  <c r="R47" i="39"/>
  <c r="N61" i="39" s="1"/>
  <c r="D145" i="39"/>
  <c r="D67" i="39"/>
  <c r="D59" i="39"/>
  <c r="D128" i="39"/>
  <c r="G80" i="39"/>
  <c r="G79" i="39"/>
  <c r="G44" i="39"/>
  <c r="G61" i="39"/>
  <c r="G53" i="39"/>
  <c r="G62" i="39"/>
  <c r="G65" i="39"/>
  <c r="D18" i="39"/>
  <c r="G20" i="39"/>
  <c r="G127" i="39"/>
  <c r="G18" i="39"/>
  <c r="G25" i="39"/>
  <c r="G139" i="39"/>
  <c r="G109" i="39"/>
  <c r="G22" i="39"/>
  <c r="G116" i="39"/>
  <c r="G90" i="39"/>
  <c r="G91" i="39"/>
  <c r="G23" i="39"/>
  <c r="G45" i="39"/>
  <c r="G64" i="39"/>
  <c r="G86" i="39"/>
  <c r="G129" i="39"/>
  <c r="G51" i="39"/>
  <c r="D87" i="39"/>
  <c r="D119" i="39"/>
  <c r="D24" i="39"/>
  <c r="D74" i="39"/>
  <c r="D34" i="39"/>
  <c r="D77" i="39"/>
  <c r="D36" i="39"/>
  <c r="D103" i="39"/>
  <c r="D78" i="39"/>
  <c r="D63" i="39"/>
  <c r="D116" i="39"/>
  <c r="D64" i="39"/>
  <c r="D84" i="39"/>
  <c r="D129" i="39"/>
  <c r="D83" i="39"/>
  <c r="D71" i="39"/>
  <c r="S9" i="39"/>
  <c r="S10" i="39"/>
  <c r="D66" i="39"/>
  <c r="D110" i="39"/>
  <c r="D29" i="39"/>
  <c r="D41" i="39"/>
  <c r="D142" i="39"/>
  <c r="D69" i="39"/>
  <c r="D23" i="39"/>
  <c r="G99" i="39"/>
  <c r="G54" i="39"/>
  <c r="U50" i="39"/>
  <c r="Q64" i="39" s="1"/>
  <c r="G74" i="39"/>
  <c r="G27" i="39"/>
  <c r="D46" i="39"/>
  <c r="D50" i="39"/>
  <c r="D141" i="39"/>
  <c r="D107" i="39"/>
  <c r="D117" i="39"/>
  <c r="G142" i="39"/>
  <c r="G68" i="39"/>
  <c r="G77" i="39"/>
  <c r="G92" i="39"/>
  <c r="G115" i="39"/>
  <c r="U46" i="39"/>
  <c r="Q60" i="39" s="1"/>
  <c r="G72" i="39"/>
  <c r="G26" i="39"/>
  <c r="D57" i="39"/>
  <c r="U48" i="39"/>
  <c r="Q62" i="39" s="1"/>
  <c r="G67" i="39"/>
  <c r="G103" i="39"/>
  <c r="G19" i="39"/>
  <c r="G49" i="39"/>
  <c r="G108" i="39"/>
  <c r="G141" i="39"/>
  <c r="G42" i="39"/>
  <c r="G133" i="39"/>
  <c r="G81" i="39"/>
  <c r="G52" i="39"/>
  <c r="G136" i="39"/>
  <c r="G88" i="39"/>
  <c r="G75" i="39"/>
  <c r="G34" i="39"/>
  <c r="G36" i="39"/>
  <c r="U53" i="39"/>
  <c r="Q67" i="39" s="1"/>
  <c r="U52" i="39"/>
  <c r="Q66" i="39" s="1"/>
  <c r="D28" i="39"/>
  <c r="D60" i="39"/>
  <c r="D85" i="39"/>
  <c r="D54" i="39"/>
  <c r="D27" i="39"/>
  <c r="R44" i="39"/>
  <c r="N58" i="39" s="1"/>
  <c r="D125" i="39"/>
  <c r="R53" i="39"/>
  <c r="N67" i="39" s="1"/>
  <c r="R51" i="39"/>
  <c r="N65" i="39" s="1"/>
  <c r="D120" i="39"/>
  <c r="D109" i="39"/>
  <c r="D100" i="39"/>
  <c r="D91" i="39"/>
  <c r="D47" i="39"/>
  <c r="D45" i="39"/>
  <c r="P32" i="32"/>
  <c r="Q45" i="32"/>
  <c r="J45" i="32" s="1"/>
  <c r="J36" i="33" s="1"/>
  <c r="Q39" i="32"/>
  <c r="J39" i="32" s="1"/>
  <c r="J30" i="33" s="1"/>
  <c r="Q34" i="32"/>
  <c r="J34" i="32"/>
  <c r="J25" i="33" s="1"/>
  <c r="Q48" i="32"/>
  <c r="J48" i="32"/>
  <c r="J39" i="33"/>
  <c r="Q49" i="32"/>
  <c r="J49" i="32" s="1"/>
  <c r="J40" i="33" s="1"/>
  <c r="Q40" i="32"/>
  <c r="J40" i="32" s="1"/>
  <c r="J31" i="33" s="1"/>
  <c r="Q46" i="32"/>
  <c r="J46" i="32"/>
  <c r="J37" i="33"/>
  <c r="Q36" i="32"/>
  <c r="J36" i="32"/>
  <c r="J27" i="33"/>
  <c r="Q47" i="32"/>
  <c r="J47" i="32" s="1"/>
  <c r="J38" i="33" s="1"/>
  <c r="Q37" i="32"/>
  <c r="J37" i="32" s="1"/>
  <c r="J28" i="33" s="1"/>
  <c r="Q42" i="32"/>
  <c r="J42" i="32" s="1"/>
  <c r="J33" i="33" s="1"/>
  <c r="N33" i="33" s="1"/>
  <c r="Q43" i="32"/>
  <c r="J43" i="32" s="1"/>
  <c r="J34" i="33" s="1"/>
  <c r="Q44" i="32"/>
  <c r="J44" i="32" s="1"/>
  <c r="J35" i="33" s="1"/>
  <c r="Q35" i="32"/>
  <c r="J35" i="32"/>
  <c r="J26" i="33" s="1"/>
  <c r="Q38" i="32"/>
  <c r="J38" i="32" s="1"/>
  <c r="J29" i="33" s="1"/>
  <c r="N34" i="32"/>
  <c r="G34" i="32" s="1"/>
  <c r="J3" i="33" s="1"/>
  <c r="N36" i="32"/>
  <c r="G36" i="32" s="1"/>
  <c r="J5" i="33" s="1"/>
  <c r="N38" i="32"/>
  <c r="G38" i="32" s="1"/>
  <c r="J7" i="33" s="1"/>
  <c r="N35" i="32"/>
  <c r="G35" i="32"/>
  <c r="J4" i="33" s="1"/>
  <c r="N37" i="32"/>
  <c r="G37" i="32" s="1"/>
  <c r="J6" i="33" s="1"/>
  <c r="O33" i="33"/>
  <c r="G38" i="39" l="1"/>
  <c r="G106" i="39"/>
  <c r="G48" i="39"/>
  <c r="G41" i="39"/>
  <c r="E24" i="39"/>
  <c r="E68" i="39"/>
  <c r="E137" i="39"/>
  <c r="E60" i="39"/>
  <c r="E66" i="39"/>
  <c r="E71" i="39"/>
  <c r="E111" i="39"/>
  <c r="E17" i="39"/>
  <c r="E79" i="39"/>
  <c r="E123" i="39"/>
  <c r="E92" i="39"/>
  <c r="E146" i="39"/>
  <c r="E50" i="39"/>
  <c r="E82" i="39"/>
  <c r="E37" i="39"/>
  <c r="S49" i="39"/>
  <c r="O63" i="39" s="1"/>
  <c r="E39" i="39"/>
  <c r="E91" i="39"/>
  <c r="E31" i="39"/>
  <c r="E100" i="39"/>
  <c r="E110" i="39"/>
  <c r="E44" i="39"/>
  <c r="E75" i="39"/>
  <c r="E108" i="39"/>
  <c r="E140" i="39"/>
  <c r="S48" i="39"/>
  <c r="O62" i="39" s="1"/>
  <c r="E23" i="39"/>
  <c r="E53" i="39"/>
  <c r="E34" i="39"/>
  <c r="E49" i="39"/>
  <c r="E58" i="39"/>
  <c r="E145" i="39"/>
  <c r="E30" i="39"/>
  <c r="E112" i="39"/>
  <c r="S45" i="39"/>
  <c r="O59" i="39" s="1"/>
  <c r="E40" i="39"/>
  <c r="E120" i="39"/>
  <c r="E56" i="39"/>
  <c r="E115" i="39"/>
  <c r="E97" i="39"/>
  <c r="E25" i="39"/>
  <c r="E85" i="39"/>
  <c r="E142" i="39"/>
  <c r="E84" i="39"/>
  <c r="E129" i="39"/>
  <c r="E83" i="39"/>
  <c r="E93" i="39"/>
  <c r="E63" i="39"/>
  <c r="E61" i="39"/>
  <c r="E29" i="39"/>
  <c r="E20" i="39"/>
  <c r="E89" i="39"/>
  <c r="E95" i="39"/>
  <c r="S53" i="39"/>
  <c r="O67" i="39" s="1"/>
  <c r="E144" i="39"/>
  <c r="E117" i="39"/>
  <c r="E42" i="39"/>
  <c r="E107" i="39"/>
  <c r="S44" i="39"/>
  <c r="O58" i="39" s="1"/>
  <c r="E32" i="39"/>
  <c r="E141" i="39"/>
  <c r="E76" i="39"/>
  <c r="E52" i="39"/>
  <c r="E43" i="39"/>
  <c r="E46" i="39"/>
  <c r="E143" i="39"/>
  <c r="E69" i="39"/>
  <c r="E36" i="39"/>
  <c r="E90" i="39"/>
  <c r="E64" i="39"/>
  <c r="E106" i="39"/>
  <c r="E59" i="39"/>
  <c r="E45" i="39"/>
  <c r="E21" i="39"/>
  <c r="E70" i="39"/>
  <c r="E136" i="39"/>
  <c r="E86" i="39"/>
  <c r="E80" i="39"/>
  <c r="E114" i="39"/>
  <c r="E81" i="39"/>
  <c r="S51" i="39"/>
  <c r="O65" i="39" s="1"/>
  <c r="E125" i="39"/>
  <c r="E67" i="39"/>
  <c r="E135" i="39"/>
  <c r="E88" i="39"/>
  <c r="E127" i="39"/>
  <c r="E103" i="39"/>
  <c r="E55" i="39"/>
  <c r="E73" i="39"/>
  <c r="E131" i="39"/>
  <c r="E57" i="39"/>
  <c r="E102" i="39"/>
  <c r="E51" i="39"/>
  <c r="E72" i="39"/>
  <c r="E18" i="39"/>
  <c r="S47" i="39"/>
  <c r="O61" i="39" s="1"/>
  <c r="E77" i="39"/>
  <c r="E139" i="39"/>
  <c r="E41" i="39"/>
  <c r="E128" i="39"/>
  <c r="E74" i="39"/>
  <c r="E35" i="39"/>
  <c r="E119" i="39"/>
  <c r="E78" i="39"/>
  <c r="E48" i="39"/>
  <c r="E62" i="39"/>
  <c r="E118" i="39"/>
  <c r="E109" i="39"/>
  <c r="E26" i="39"/>
  <c r="E22" i="39"/>
  <c r="E65" i="39"/>
  <c r="E124" i="39"/>
  <c r="E98" i="39"/>
  <c r="E54" i="39"/>
  <c r="E130" i="39"/>
  <c r="E87" i="39"/>
  <c r="E28" i="39"/>
  <c r="E126" i="39"/>
  <c r="S50" i="39"/>
  <c r="O64" i="39" s="1"/>
  <c r="E38" i="39"/>
  <c r="S52" i="39"/>
  <c r="O66" i="39" s="1"/>
  <c r="E121" i="39"/>
  <c r="E96" i="39"/>
  <c r="S46" i="39"/>
  <c r="O60" i="39" s="1"/>
  <c r="E122" i="39"/>
  <c r="E99" i="39"/>
  <c r="E47" i="39"/>
  <c r="E116" i="39"/>
  <c r="E33" i="39"/>
  <c r="E105" i="39"/>
  <c r="E132" i="39"/>
  <c r="E113" i="39"/>
  <c r="E133" i="39"/>
  <c r="E101" i="39"/>
  <c r="E138" i="39"/>
  <c r="E19" i="39"/>
  <c r="E27" i="39"/>
  <c r="E104" i="39"/>
  <c r="E134" i="39"/>
  <c r="E94" i="39"/>
  <c r="F140" i="39"/>
  <c r="T44" i="39"/>
  <c r="P58" i="39" s="1"/>
  <c r="F64" i="39"/>
  <c r="F121" i="39"/>
  <c r="F126" i="39"/>
  <c r="F144" i="39"/>
  <c r="F128" i="39"/>
  <c r="F20" i="39"/>
  <c r="F42" i="39"/>
  <c r="F65" i="39"/>
  <c r="F24" i="39"/>
  <c r="T45" i="39"/>
  <c r="P59" i="39" s="1"/>
  <c r="F141" i="39"/>
  <c r="F77" i="39"/>
  <c r="F134" i="39"/>
  <c r="F102" i="39"/>
  <c r="F135" i="39"/>
  <c r="F98" i="39"/>
  <c r="F95" i="39"/>
  <c r="F82" i="39"/>
  <c r="F105" i="39"/>
  <c r="F145" i="39"/>
  <c r="F109" i="39"/>
  <c r="F108" i="39"/>
  <c r="F22" i="39"/>
  <c r="F23" i="39"/>
  <c r="F38" i="39"/>
  <c r="F57" i="39"/>
  <c r="F139" i="39"/>
  <c r="T47" i="39"/>
  <c r="P61" i="39" s="1"/>
  <c r="F96" i="39"/>
  <c r="F89" i="39"/>
  <c r="F99" i="39"/>
  <c r="F103" i="39"/>
  <c r="F119" i="39"/>
  <c r="F40" i="39"/>
  <c r="F110" i="39"/>
  <c r="F29" i="39"/>
  <c r="F81" i="39"/>
  <c r="F117" i="39"/>
  <c r="F49" i="39"/>
  <c r="F132" i="39"/>
  <c r="F63" i="39"/>
  <c r="F80" i="39"/>
  <c r="F32" i="39"/>
  <c r="T50" i="39"/>
  <c r="P64" i="39" s="1"/>
  <c r="F122" i="39"/>
  <c r="F115" i="39"/>
  <c r="F104" i="39"/>
  <c r="F146" i="39"/>
  <c r="F55" i="39"/>
  <c r="F75" i="39"/>
  <c r="F58" i="39"/>
  <c r="F61" i="39"/>
  <c r="F71" i="39"/>
  <c r="F21" i="39"/>
  <c r="T46" i="39"/>
  <c r="P60" i="39" s="1"/>
  <c r="F28" i="39"/>
  <c r="F107" i="39"/>
  <c r="F46" i="39"/>
  <c r="F17" i="39"/>
  <c r="F124" i="39"/>
  <c r="F62" i="39"/>
  <c r="F79" i="39"/>
  <c r="F76" i="39"/>
  <c r="F66" i="39"/>
  <c r="F48" i="39"/>
  <c r="F78" i="39"/>
  <c r="F70" i="39"/>
  <c r="F39" i="39"/>
  <c r="F33" i="39"/>
  <c r="T49" i="39"/>
  <c r="P63" i="39" s="1"/>
  <c r="F92" i="39"/>
  <c r="F138" i="39"/>
  <c r="F129" i="39"/>
  <c r="F19" i="39"/>
  <c r="F88" i="39"/>
  <c r="F31" i="39"/>
  <c r="F113" i="39"/>
  <c r="F120" i="39"/>
  <c r="F100" i="39"/>
  <c r="F37" i="39"/>
  <c r="F52" i="39"/>
  <c r="F69" i="39"/>
  <c r="F59" i="39"/>
  <c r="F137" i="39"/>
  <c r="T48" i="39"/>
  <c r="P62" i="39" s="1"/>
  <c r="T52" i="39"/>
  <c r="P66" i="39" s="1"/>
  <c r="F90" i="39"/>
  <c r="F142" i="39"/>
  <c r="F123" i="39"/>
  <c r="F74" i="39"/>
  <c r="F112" i="39"/>
  <c r="F87" i="39"/>
  <c r="F27" i="39"/>
  <c r="F86" i="39"/>
  <c r="F26" i="39"/>
  <c r="F116" i="39"/>
  <c r="F47" i="39"/>
  <c r="F54" i="39"/>
  <c r="F91" i="39"/>
  <c r="F36" i="39"/>
  <c r="F127" i="39"/>
  <c r="F45" i="39"/>
  <c r="F85" i="39"/>
  <c r="F143" i="39"/>
  <c r="F133" i="39"/>
  <c r="F25" i="39"/>
  <c r="F136" i="39"/>
  <c r="F106" i="39"/>
  <c r="F18" i="39"/>
  <c r="F94" i="39"/>
  <c r="F41" i="39"/>
  <c r="F111" i="39"/>
  <c r="F44" i="39"/>
  <c r="F118" i="39"/>
  <c r="T53" i="39"/>
  <c r="P67" i="39" s="1"/>
  <c r="F50" i="39"/>
  <c r="F72" i="39"/>
  <c r="F68" i="39"/>
  <c r="F67" i="39"/>
  <c r="F97" i="39"/>
  <c r="F73" i="39"/>
  <c r="F101" i="39"/>
  <c r="F130" i="39"/>
  <c r="F30" i="39"/>
  <c r="F60" i="39"/>
  <c r="F34" i="39"/>
  <c r="F114" i="39"/>
  <c r="F83" i="39"/>
  <c r="F125" i="39"/>
  <c r="F51" i="39"/>
  <c r="F93" i="39"/>
  <c r="F43" i="39"/>
  <c r="F56" i="39"/>
  <c r="F35" i="39"/>
  <c r="F53" i="39"/>
  <c r="F84" i="39"/>
  <c r="F131" i="39"/>
  <c r="T51" i="39"/>
  <c r="P65" i="39" s="1"/>
  <c r="N25" i="33"/>
  <c r="O25" i="33"/>
  <c r="N9" i="33"/>
  <c r="O9" i="33"/>
  <c r="N40" i="33"/>
  <c r="O40" i="33"/>
  <c r="N32" i="33"/>
  <c r="O32" i="33"/>
  <c r="N8" i="33"/>
  <c r="O8" i="33"/>
  <c r="N39" i="33"/>
  <c r="O39" i="33"/>
  <c r="N31" i="33"/>
  <c r="O31" i="33"/>
  <c r="N26" i="33"/>
  <c r="O26" i="33"/>
  <c r="N27" i="33"/>
  <c r="O27" i="33"/>
  <c r="N28" i="33"/>
  <c r="O28" i="33"/>
  <c r="N29" i="33"/>
  <c r="O29" i="33"/>
  <c r="N30" i="33"/>
  <c r="O30" i="33"/>
  <c r="N34" i="33"/>
  <c r="O34" i="33"/>
  <c r="N35" i="33"/>
  <c r="O35" i="33"/>
  <c r="N36" i="33"/>
  <c r="O36" i="33"/>
  <c r="N37" i="33"/>
  <c r="O37" i="33"/>
  <c r="N38" i="33"/>
  <c r="O38" i="33"/>
  <c r="P25" i="33"/>
  <c r="G44" i="36"/>
  <c r="I44" i="36"/>
  <c r="G59" i="36"/>
  <c r="I59" i="36"/>
  <c r="G11" i="36"/>
  <c r="I11" i="36"/>
  <c r="L5" i="35"/>
  <c r="M5" i="35"/>
  <c r="I6" i="36" s="1"/>
  <c r="J6" i="36" s="1"/>
  <c r="P5" i="35"/>
  <c r="H6" i="36"/>
  <c r="G49" i="36"/>
  <c r="I49" i="36"/>
  <c r="G48" i="36"/>
  <c r="I48" i="36"/>
  <c r="G21" i="36"/>
  <c r="I21" i="36"/>
  <c r="G34" i="36"/>
  <c r="I34" i="36"/>
  <c r="G17" i="36"/>
  <c r="I17" i="36"/>
  <c r="G46" i="36"/>
  <c r="I46" i="36"/>
  <c r="L6" i="35"/>
  <c r="H7" i="36"/>
  <c r="M6" i="35"/>
  <c r="I7" i="36" s="1"/>
  <c r="J7" i="36" s="1"/>
  <c r="P6" i="35"/>
  <c r="G13" i="36"/>
  <c r="I13" i="36"/>
  <c r="G39" i="36"/>
  <c r="I39" i="36"/>
  <c r="G58" i="36"/>
  <c r="I58" i="36"/>
  <c r="G16" i="36"/>
  <c r="I16" i="36"/>
  <c r="G28" i="36"/>
  <c r="I28" i="36"/>
  <c r="G36" i="36"/>
  <c r="I36" i="36"/>
  <c r="L4" i="35"/>
  <c r="M4" i="35"/>
  <c r="I5" i="36" s="1"/>
  <c r="J5" i="36" s="1"/>
  <c r="P4" i="35"/>
  <c r="H5" i="36"/>
  <c r="G27" i="36"/>
  <c r="I27" i="36"/>
  <c r="G56" i="36"/>
  <c r="I56" i="36"/>
  <c r="G57" i="36"/>
  <c r="I57" i="36"/>
  <c r="G37" i="36"/>
  <c r="I37" i="36"/>
  <c r="G24" i="36"/>
  <c r="I24" i="36"/>
  <c r="G32" i="36"/>
  <c r="I32" i="36"/>
  <c r="G47" i="36"/>
  <c r="I47" i="36"/>
  <c r="G45" i="36"/>
  <c r="I45" i="36"/>
  <c r="G41" i="36"/>
  <c r="I41" i="36"/>
  <c r="G25" i="36"/>
  <c r="I25" i="36"/>
  <c r="L3" i="35"/>
  <c r="H4" i="36"/>
  <c r="M3" i="35"/>
  <c r="I4" i="36" s="1"/>
  <c r="J4" i="36" s="1"/>
  <c r="P3" i="35"/>
  <c r="G38" i="36"/>
  <c r="I38" i="36"/>
  <c r="G50" i="36"/>
  <c r="I50" i="36"/>
  <c r="G29" i="36"/>
  <c r="I29" i="36"/>
  <c r="G19" i="36"/>
  <c r="I19" i="36"/>
  <c r="G55" i="36"/>
  <c r="I55" i="36"/>
  <c r="G26" i="36"/>
  <c r="I26" i="36"/>
  <c r="G15" i="36"/>
  <c r="I15" i="36"/>
  <c r="G14" i="36"/>
  <c r="I14" i="36"/>
  <c r="G51" i="36"/>
  <c r="I51" i="36"/>
  <c r="G22" i="36"/>
  <c r="I22" i="36"/>
  <c r="G30" i="36"/>
  <c r="I30" i="36"/>
  <c r="G52" i="36"/>
  <c r="I52" i="36"/>
  <c r="L2" i="35"/>
  <c r="H3" i="36"/>
  <c r="M2" i="35"/>
  <c r="I3" i="36" s="1"/>
  <c r="J3" i="36" s="1"/>
  <c r="P2" i="35"/>
  <c r="L36" i="35"/>
  <c r="M36" i="35"/>
  <c r="N36" i="35"/>
  <c r="J39" i="36" s="1"/>
  <c r="G40" i="36"/>
  <c r="J66" i="33" l="1"/>
  <c r="I40" i="36"/>
  <c r="G18" i="36"/>
  <c r="I18" i="36"/>
  <c r="G20" i="36"/>
  <c r="I20" i="36"/>
  <c r="G31" i="36"/>
  <c r="I31" i="36"/>
  <c r="G54" i="36"/>
  <c r="I54" i="36"/>
  <c r="G12" i="36"/>
  <c r="I12" i="36"/>
  <c r="G35" i="36"/>
  <c r="I35" i="36"/>
  <c r="G43" i="36"/>
  <c r="I43" i="36"/>
  <c r="G53" i="36"/>
  <c r="I53" i="36"/>
  <c r="G23" i="36"/>
  <c r="I23" i="36"/>
  <c r="G42" i="36"/>
  <c r="I42" i="36"/>
  <c r="G33" i="36"/>
  <c r="I33" i="36"/>
  <c r="N7" i="33"/>
  <c r="O7" i="33"/>
  <c r="N14" i="33"/>
  <c r="O14" i="33"/>
  <c r="N6" i="33"/>
  <c r="O6" i="33"/>
  <c r="N13" i="33"/>
  <c r="O13" i="33"/>
  <c r="N5" i="33"/>
  <c r="O5" i="33"/>
  <c r="N12" i="33"/>
  <c r="O12" i="33"/>
  <c r="N4" i="33"/>
  <c r="O4" i="33"/>
  <c r="L37" i="35"/>
  <c r="M37" i="35"/>
  <c r="N37" i="35"/>
  <c r="N11" i="33"/>
  <c r="J67" i="33"/>
  <c r="N67" i="33"/>
  <c r="O11" i="33"/>
  <c r="N3" i="33"/>
  <c r="O3" i="33"/>
  <c r="N66" i="33"/>
  <c r="O66" i="33"/>
  <c r="N10" i="33"/>
  <c r="O10" i="33"/>
  <c r="P2" i="33"/>
  <c r="J40" i="36"/>
  <c r="P8" i="33"/>
  <c r="L44" i="35"/>
  <c r="M44" i="35"/>
  <c r="N44" i="35"/>
  <c r="J47" i="36" s="1"/>
  <c r="L32" i="35"/>
  <c r="M32" i="35"/>
  <c r="N32" i="35"/>
  <c r="J35" i="36"/>
  <c r="L20" i="35"/>
  <c r="M20" i="35"/>
  <c r="N20" i="35"/>
  <c r="J23" i="36"/>
  <c r="L56" i="35"/>
  <c r="M56" i="35"/>
  <c r="N56" i="35"/>
  <c r="J59" i="36"/>
  <c r="O67" i="33"/>
  <c r="L9" i="35"/>
  <c r="M9" i="35"/>
  <c r="N9" i="35"/>
  <c r="J41" i="33" s="1"/>
  <c r="N41" i="33" s="1"/>
  <c r="O41" i="33"/>
  <c r="L10" i="35"/>
  <c r="M10" i="35"/>
  <c r="N10" i="35"/>
  <c r="J42" i="33" s="1"/>
  <c r="N42" i="33" s="1"/>
  <c r="O42" i="33"/>
  <c r="L11" i="35"/>
  <c r="M11" i="35"/>
  <c r="N11" i="35"/>
  <c r="J43" i="33"/>
  <c r="N43" i="33" s="1"/>
  <c r="O43" i="33"/>
  <c r="L12" i="35"/>
  <c r="M12" i="35"/>
  <c r="N12" i="35"/>
  <c r="J44" i="33" s="1"/>
  <c r="N44" i="33" s="1"/>
  <c r="O44" i="33"/>
  <c r="L13" i="35"/>
  <c r="M13" i="35"/>
  <c r="N13" i="35"/>
  <c r="J45" i="33" s="1"/>
  <c r="N45" i="33" s="1"/>
  <c r="O45" i="33"/>
  <c r="L14" i="35"/>
  <c r="M14" i="35"/>
  <c r="N14" i="35"/>
  <c r="J46" i="33" s="1"/>
  <c r="N46" i="33" s="1"/>
  <c r="O46" i="33"/>
  <c r="L15" i="35"/>
  <c r="M15" i="35"/>
  <c r="N15" i="35"/>
  <c r="J47" i="33" s="1"/>
  <c r="N47" i="33" s="1"/>
  <c r="O47" i="33"/>
  <c r="L16" i="35"/>
  <c r="M16" i="35"/>
  <c r="N16" i="35"/>
  <c r="J48" i="33"/>
  <c r="N48" i="33" s="1"/>
  <c r="O48" i="33"/>
  <c r="L17" i="35"/>
  <c r="M17" i="35"/>
  <c r="N17" i="35"/>
  <c r="J49" i="33" s="1"/>
  <c r="N49" i="33" s="1"/>
  <c r="O49" i="33"/>
  <c r="L18" i="35"/>
  <c r="M18" i="35"/>
  <c r="N18" i="35"/>
  <c r="J50" i="33" s="1"/>
  <c r="N50" i="33" s="1"/>
  <c r="O50" i="33"/>
  <c r="L19" i="35"/>
  <c r="M19" i="35"/>
  <c r="N19" i="35"/>
  <c r="J51" i="33" s="1"/>
  <c r="N51" i="33" s="1"/>
  <c r="O51" i="33"/>
  <c r="L21" i="35"/>
  <c r="M21" i="35"/>
  <c r="N21" i="35"/>
  <c r="J52" i="33" s="1"/>
  <c r="N52" i="33" s="1"/>
  <c r="O52" i="33"/>
  <c r="L22" i="35"/>
  <c r="M22" i="35"/>
  <c r="N22" i="35"/>
  <c r="J53" i="33" s="1"/>
  <c r="N53" i="33" s="1"/>
  <c r="O53" i="33"/>
  <c r="L23" i="35"/>
  <c r="M23" i="35"/>
  <c r="N23" i="35"/>
  <c r="J54" i="33"/>
  <c r="N54" i="33" s="1"/>
  <c r="O54" i="33"/>
  <c r="L24" i="35"/>
  <c r="M24" i="35"/>
  <c r="N24" i="35"/>
  <c r="J55" i="33" s="1"/>
  <c r="N55" i="33" s="1"/>
  <c r="O55" i="33"/>
  <c r="L25" i="35"/>
  <c r="M25" i="35"/>
  <c r="N25" i="35"/>
  <c r="J56" i="33" s="1"/>
  <c r="N56" i="33" s="1"/>
  <c r="O56" i="33"/>
  <c r="L26" i="35"/>
  <c r="M26" i="35"/>
  <c r="N26" i="35"/>
  <c r="J57" i="33"/>
  <c r="N57" i="33" s="1"/>
  <c r="O57" i="33"/>
  <c r="L27" i="35"/>
  <c r="M27" i="35"/>
  <c r="N27" i="35"/>
  <c r="J58" i="33"/>
  <c r="N58" i="33" s="1"/>
  <c r="O58" i="33"/>
  <c r="L28" i="35"/>
  <c r="M28" i="35"/>
  <c r="N28" i="35"/>
  <c r="J59" i="33" s="1"/>
  <c r="N59" i="33" s="1"/>
  <c r="O59" i="33"/>
  <c r="L29" i="35"/>
  <c r="M29" i="35"/>
  <c r="N29" i="35"/>
  <c r="J60" i="33"/>
  <c r="N60" i="33" s="1"/>
  <c r="O60" i="33"/>
  <c r="L30" i="35"/>
  <c r="M30" i="35"/>
  <c r="N30" i="35"/>
  <c r="J61" i="33"/>
  <c r="N61" i="33"/>
  <c r="O61" i="33"/>
  <c r="L31" i="35"/>
  <c r="M31" i="35"/>
  <c r="N31" i="35"/>
  <c r="J62" i="33"/>
  <c r="N62" i="33" s="1"/>
  <c r="O62" i="33"/>
  <c r="L33" i="35"/>
  <c r="M33" i="35"/>
  <c r="N33" i="35"/>
  <c r="J63" i="33" s="1"/>
  <c r="N63" i="33" s="1"/>
  <c r="O63" i="33"/>
  <c r="L34" i="35"/>
  <c r="M34" i="35"/>
  <c r="N34" i="35"/>
  <c r="J64" i="33"/>
  <c r="N64" i="33" s="1"/>
  <c r="O64" i="33"/>
  <c r="L35" i="35"/>
  <c r="M35" i="35"/>
  <c r="N35" i="35"/>
  <c r="J65" i="33"/>
  <c r="N65" i="33" s="1"/>
  <c r="O65" i="33"/>
  <c r="L38" i="35"/>
  <c r="M38" i="35"/>
  <c r="N38" i="35"/>
  <c r="J68" i="33" s="1"/>
  <c r="N68" i="33" s="1"/>
  <c r="O68" i="33"/>
  <c r="L39" i="35"/>
  <c r="M39" i="35"/>
  <c r="N39" i="35"/>
  <c r="J69" i="33"/>
  <c r="N69" i="33"/>
  <c r="O69" i="33"/>
  <c r="L40" i="35"/>
  <c r="M40" i="35"/>
  <c r="N40" i="35"/>
  <c r="J70" i="33"/>
  <c r="N70" i="33"/>
  <c r="O70" i="33"/>
  <c r="L41" i="35"/>
  <c r="M41" i="35"/>
  <c r="N41" i="35"/>
  <c r="J71" i="33"/>
  <c r="N71" i="33"/>
  <c r="O71" i="33"/>
  <c r="L42" i="35"/>
  <c r="M42" i="35"/>
  <c r="N42" i="35"/>
  <c r="J72" i="33"/>
  <c r="N72" i="33"/>
  <c r="O72" i="33"/>
  <c r="L43" i="35"/>
  <c r="M43" i="35"/>
  <c r="N43" i="35"/>
  <c r="J73" i="33"/>
  <c r="N73" i="33"/>
  <c r="O73" i="33"/>
  <c r="L45" i="35"/>
  <c r="M45" i="35"/>
  <c r="N45" i="35"/>
  <c r="J74" i="33"/>
  <c r="N74" i="33"/>
  <c r="O74" i="33"/>
  <c r="L46" i="35"/>
  <c r="M46" i="35"/>
  <c r="N46" i="35"/>
  <c r="J75" i="33" s="1"/>
  <c r="N75" i="33" s="1"/>
  <c r="O75" i="33"/>
  <c r="L47" i="35"/>
  <c r="M47" i="35"/>
  <c r="N47" i="35"/>
  <c r="J76" i="33"/>
  <c r="N76" i="33"/>
  <c r="O76" i="33"/>
  <c r="L48" i="35"/>
  <c r="M48" i="35"/>
  <c r="N48" i="35"/>
  <c r="J77" i="33"/>
  <c r="N77" i="33"/>
  <c r="O77" i="33"/>
  <c r="L49" i="35"/>
  <c r="M49" i="35"/>
  <c r="N49" i="35"/>
  <c r="J78" i="33"/>
  <c r="N78" i="33"/>
  <c r="O78" i="33"/>
  <c r="L50" i="35"/>
  <c r="M50" i="35"/>
  <c r="N50" i="35"/>
  <c r="J79" i="33"/>
  <c r="N79" i="33"/>
  <c r="O79" i="33"/>
  <c r="L51" i="35"/>
  <c r="M51" i="35"/>
  <c r="N51" i="35"/>
  <c r="J80" i="33"/>
  <c r="N80" i="33"/>
  <c r="O80" i="33"/>
  <c r="L52" i="35"/>
  <c r="M52" i="35"/>
  <c r="N52" i="35"/>
  <c r="J81" i="33"/>
  <c r="N81" i="33"/>
  <c r="O81" i="33"/>
  <c r="L53" i="35"/>
  <c r="M53" i="35"/>
  <c r="N53" i="35"/>
  <c r="J82" i="33"/>
  <c r="N82" i="33"/>
  <c r="O82" i="33"/>
  <c r="L54" i="35"/>
  <c r="M54" i="35"/>
  <c r="N54" i="35"/>
  <c r="J83" i="33"/>
  <c r="N83" i="33"/>
  <c r="O83" i="33"/>
  <c r="L55" i="35"/>
  <c r="M55" i="35"/>
  <c r="N55" i="35"/>
  <c r="J84" i="33"/>
  <c r="N84" i="33"/>
  <c r="O84" i="33"/>
  <c r="P41" i="33"/>
  <c r="J28" i="36"/>
  <c r="J36" i="36"/>
  <c r="J21" i="36"/>
  <c r="J32" i="36"/>
  <c r="J24" i="36"/>
  <c r="J54" i="36"/>
  <c r="J16" i="36"/>
  <c r="J22" i="36"/>
  <c r="J15" i="36"/>
  <c r="J57" i="36"/>
  <c r="J48" i="36"/>
  <c r="J27" i="36"/>
  <c r="J46" i="36"/>
  <c r="J51" i="36"/>
  <c r="J20" i="36"/>
  <c r="J17" i="36"/>
  <c r="J30" i="36"/>
  <c r="J12" i="36"/>
  <c r="J55" i="36"/>
  <c r="J41" i="36"/>
  <c r="J58" i="36"/>
  <c r="J26" i="36"/>
  <c r="J33" i="36"/>
  <c r="J14" i="36"/>
  <c r="J18" i="36"/>
  <c r="J38" i="36"/>
  <c r="J29" i="36"/>
  <c r="J53" i="36"/>
  <c r="J25" i="36"/>
  <c r="L8" i="35"/>
  <c r="M8" i="35"/>
  <c r="N8" i="35"/>
  <c r="J44" i="36"/>
  <c r="J50" i="36"/>
  <c r="J37" i="36"/>
  <c r="J43" i="36"/>
  <c r="J49" i="36"/>
  <c r="J56" i="36"/>
  <c r="J11" i="36"/>
  <c r="J42" i="36"/>
  <c r="J52" i="36"/>
  <c r="J45" i="36"/>
  <c r="J19" i="36"/>
  <c r="J31" i="36"/>
  <c r="J13" i="36"/>
  <c r="J34" i="36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<sst xmlns="http://schemas.openxmlformats.org/spreadsheetml/2006/main" count="461" uniqueCount="187">
  <si>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</si>
  <si>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</si>
  <si>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</si>
  <si>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</si>
  <si>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</si>
  <si>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</si>
  <si>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</si>
  <si>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</si>
  <si>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</si>
  <si>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</si>
  <si>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</si>
  <si>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</si>
  <si>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</si>
  <si>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</si>
  <si>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</si>
  <si>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</si>
  <si>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</si>
  <si>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</si>
  <si>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</si>
  <si>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</si>
  <si>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</si>
  <si>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</si>
  <si>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</si>
  <si>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</si>
  <si>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</si>
  <si>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</si>
  <si>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</si>
  <si>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</si>
  <si>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</si>
  <si>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</si>
  <si>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</si>
  <si>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</si>
  <si>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</si>
  <si>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</si>
  <si>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</si>
  <si>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</si>
  <si>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</si>
  <si>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</si>
  <si>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</si>
  <si>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</si>
  <si>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</si>
  <si>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</si>
  <si>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</si>
  <si>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</si>
  <si>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</si>
  <si>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</si>
  <si>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</si>
  <si>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</si>
  <si>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</si>
  <si>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</si>
  <si>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</si>
  <si>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</si>
  <si>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</si>
  <si>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</si>
  <si>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</si>
  <si>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</si>
  <si>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</si>
  <si>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</si>
  <si>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</si>
  <si>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</si>
  <si>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</si>
  <si>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</si>
  <si>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</si>
  <si>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</si>
  <si>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</si>
  <si>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</si>
  <si>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</si>
  <si>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</si>
  <si>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</si>
  <si>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</si>
  <si>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</si>
  <si>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</si>
  <si>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</si>
  <si>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</si>
  <si>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</si>
  <si>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</si>
  <si>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</si>
  <si>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</si>
  <si>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</si>
  <si>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</si>
  <si>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</si>
  <si>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</si>
  <si>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</si>
  <si>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</si>
  <si>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</si>
  <si>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</si>
  <si>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</si>
  <si>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</si>
  <si>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</si>
  <si>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</si>
  <si>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</si>
  <si>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</si>
  <si>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</si>
  <si>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</si>
  <si>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</si>
  <si>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</si>
  <si>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</si>
  <si>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</si>
  <si>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</si>
  <si>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</si>
  <si>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</si>
  <si>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</si>
  <si>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</si>
  <si>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</si>
  <si>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</si>
  <si>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</si>
  <si>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</si>
  <si>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</si>
  <si>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</si>
  <si>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</si>
  <si>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</si>
  <si>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</si>
  <si>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</si>
  <si>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</si>
  <si>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</si>
  <si>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</si>
  <si>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</si>
  <si>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</si>
  <si>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</si>
  <si>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</si>
  <si>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</si>
  <si>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</si>
  <si>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</si>
  <si>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</si>
  <si>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</si>
  <si>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</si>
  <si>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</si>
  <si>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</si>
  <si>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</si>
  <si>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</si>
  <si>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</si>
  <si>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</si>
  <si>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</si>
  <si>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</si>
  <si>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</si>
  <si>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</si>
  <si>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</si>
  <si>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</si>
  <si>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</si>
  <si>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</si>
  <si>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</si>
  <si>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Synt FRA</t>
  </si>
  <si>
    <t>Linear</t>
  </si>
  <si>
    <t>Quadratic</t>
  </si>
  <si>
    <t>EURFUT3MQ4_Quote</t>
  </si>
  <si>
    <t>EURFUT3MU4_Quote</t>
  </si>
  <si>
    <t>Euribor3M LastFixing</t>
  </si>
  <si>
    <t>Instruments</t>
  </si>
  <si>
    <t>Basis</t>
  </si>
  <si>
    <t>FRA 12x24</t>
  </si>
  <si>
    <t>IRS 3Y (vs 12M Euribor)</t>
  </si>
  <si>
    <t>IRS 4Y (vs 12M Euribor)</t>
  </si>
  <si>
    <t>IRS 5Y (vs 12M Euribor)</t>
  </si>
  <si>
    <t>Implied FRA</t>
  </si>
  <si>
    <t>Fixing 12M</t>
  </si>
  <si>
    <t>quadratic</t>
  </si>
  <si>
    <t>linear</t>
  </si>
  <si>
    <t>flat</t>
  </si>
  <si>
    <t>3M market day counter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</si>
  <si>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</si>
  <si>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</si>
  <si>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</si>
  <si>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</si>
  <si>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</si>
  <si>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</si>
  <si>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</si>
  <si>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</si>
  <si>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</si>
  <si>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</si>
  <si>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3M Synthetic Deposits</t>
  </si>
  <si>
    <t>coef 4</t>
  </si>
  <si>
    <t>cubic</t>
  </si>
  <si>
    <t>6M Curve</t>
  </si>
  <si>
    <t>start date</t>
  </si>
  <si>
    <t>maturity date</t>
  </si>
  <si>
    <t>Discounting</t>
  </si>
  <si>
    <t>EURON</t>
  </si>
  <si>
    <t>OIS 6M ON curve</t>
  </si>
  <si>
    <t>6M Instruments</t>
  </si>
  <si>
    <t>3M Curve</t>
  </si>
  <si>
    <t>OIS 3M Curve</t>
  </si>
  <si>
    <t>diff</t>
  </si>
  <si>
    <t>3M Market quote</t>
  </si>
  <si>
    <t xml:space="preserve">OIS 3M </t>
  </si>
  <si>
    <t>Market 6M quote</t>
  </si>
  <si>
    <t>OIS 6M</t>
  </si>
  <si>
    <t>OIS 6M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</si>
</sst>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  <numFmt numFmtId="180" formatCode="0.E+00"/>
    <numFmt numFmtId="181" formatCode="0.0000E+00"/>
  </numFmts>
  <fonts count="3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10"/>
      <color theme="0"/>
      <name val="Courier New"/>
      <family val="3"/>
    </font>
    <font>
      <sz val="8"/>
      <color theme="0"/>
      <name val="Courier New"/>
      <family val="3"/>
    </font>
    <font>
      <b/>
      <i/>
      <sz val="8"/>
      <name val="Courier New"/>
      <family val="3"/>
    </font>
    <font>
      <sz val="8"/>
      <color theme="0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8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6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5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0" borderId="0"/>
    <xf numFmtId="0" fontId="3" fillId="0" borderId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9" fontId="11" fillId="0" borderId="0" applyFont="0" applyFill="0" applyBorder="0" applyAlignment="0" applyProtection="0"/>
    <xf numFmtId="0" fontId="5" fillId="0" borderId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561">
    <xf numFmtId="0" fontId="0" fillId="0" borderId="0" xfId="0"/>
    <xf numFmtId="0" fontId="10" fillId="3" borderId="0" xfId="15" applyFont="1" applyFill="1"/>
    <xf numFmtId="0" fontId="10" fillId="5" borderId="4" xfId="15" applyFont="1" applyFill="1" applyBorder="1"/>
    <xf numFmtId="0" fontId="10" fillId="5" borderId="0" xfId="15" applyFont="1" applyFill="1" applyBorder="1"/>
    <xf numFmtId="0" fontId="10" fillId="5" borderId="5" xfId="15" applyFont="1" applyFill="1" applyBorder="1"/>
    <xf numFmtId="0" fontId="10" fillId="6" borderId="6" xfId="15" applyFont="1" applyFill="1" applyBorder="1" applyAlignment="1">
      <alignment horizontal="right"/>
    </xf>
    <xf numFmtId="0" fontId="10" fillId="5" borderId="6" xfId="15" applyFont="1" applyFill="1" applyBorder="1" applyAlignment="1">
      <alignment horizontal="center"/>
    </xf>
    <xf numFmtId="168" fontId="10" fillId="5" borderId="6" xfId="15" applyNumberFormat="1" applyFont="1" applyFill="1" applyBorder="1" applyAlignment="1">
      <alignment horizontal="center"/>
    </xf>
    <xf numFmtId="0" fontId="10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0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0" fillId="5" borderId="7" xfId="17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0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0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0" fillId="5" borderId="10" xfId="15" applyFont="1" applyFill="1" applyBorder="1"/>
    <xf numFmtId="0" fontId="10" fillId="5" borderId="11" xfId="15" applyFont="1" applyFill="1" applyBorder="1"/>
    <xf numFmtId="0" fontId="10" fillId="5" borderId="12" xfId="15" applyFont="1" applyFill="1" applyBorder="1"/>
    <xf numFmtId="0" fontId="10" fillId="3" borderId="0" xfId="15" applyFont="1" applyFill="1" applyBorder="1"/>
    <xf numFmtId="0" fontId="10" fillId="5" borderId="0" xfId="0" applyFont="1" applyFill="1" applyBorder="1"/>
    <xf numFmtId="0" fontId="10" fillId="0" borderId="0" xfId="0" applyFont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6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22" xfId="0" applyFont="1" applyBorder="1"/>
    <xf numFmtId="0" fontId="10" fillId="0" borderId="18" xfId="0" applyFont="1" applyBorder="1"/>
    <xf numFmtId="0" fontId="10" fillId="8" borderId="22" xfId="0" applyFont="1" applyFill="1" applyBorder="1" applyAlignment="1"/>
    <xf numFmtId="171" fontId="10" fillId="8" borderId="23" xfId="0" applyNumberFormat="1" applyFont="1" applyFill="1" applyBorder="1" applyAlignment="1"/>
    <xf numFmtId="171" fontId="10" fillId="8" borderId="18" xfId="0" applyNumberFormat="1" applyFont="1" applyFill="1" applyBorder="1" applyAlignment="1"/>
    <xf numFmtId="172" fontId="10" fillId="8" borderId="22" xfId="0" applyNumberFormat="1" applyFont="1" applyFill="1" applyBorder="1" applyAlignment="1"/>
    <xf numFmtId="172" fontId="10" fillId="8" borderId="23" xfId="17" applyNumberFormat="1" applyFont="1" applyFill="1" applyBorder="1"/>
    <xf numFmtId="172" fontId="10" fillId="8" borderId="18" xfId="0" applyNumberFormat="1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10" fillId="8" borderId="0" xfId="0" applyNumberFormat="1" applyFont="1" applyFill="1" applyBorder="1"/>
    <xf numFmtId="2" fontId="10" fillId="8" borderId="0" xfId="0" applyNumberFormat="1" applyFont="1" applyFill="1"/>
    <xf numFmtId="0" fontId="10" fillId="0" borderId="13" xfId="0" applyFont="1" applyFill="1" applyBorder="1"/>
    <xf numFmtId="0" fontId="10" fillId="0" borderId="9" xfId="0" applyFont="1" applyBorder="1"/>
    <xf numFmtId="0" fontId="10" fillId="8" borderId="13" xfId="0" applyFont="1" applyFill="1" applyBorder="1" applyAlignment="1"/>
    <xf numFmtId="171" fontId="10" fillId="8" borderId="0" xfId="0" applyNumberFormat="1" applyFont="1" applyFill="1" applyBorder="1" applyAlignment="1"/>
    <xf numFmtId="171" fontId="10" fillId="8" borderId="9" xfId="0" applyNumberFormat="1" applyFont="1" applyFill="1" applyBorder="1" applyAlignment="1"/>
    <xf numFmtId="172" fontId="10" fillId="8" borderId="13" xfId="0" applyNumberFormat="1" applyFont="1" applyFill="1" applyBorder="1" applyAlignment="1"/>
    <xf numFmtId="172" fontId="10" fillId="8" borderId="0" xfId="17" applyNumberFormat="1" applyFont="1" applyFill="1" applyBorder="1"/>
    <xf numFmtId="172" fontId="10" fillId="8" borderId="9" xfId="0" applyNumberFormat="1" applyFont="1" applyFill="1" applyBorder="1"/>
    <xf numFmtId="172" fontId="10" fillId="8" borderId="0" xfId="0" applyNumberFormat="1" applyFont="1" applyFill="1" applyBorder="1"/>
    <xf numFmtId="0" fontId="10" fillId="0" borderId="13" xfId="0" applyFont="1" applyBorder="1" applyAlignment="1"/>
    <xf numFmtId="171" fontId="10" fillId="0" borderId="0" xfId="0" applyNumberFormat="1" applyFont="1" applyBorder="1" applyAlignment="1"/>
    <xf numFmtId="171" fontId="10" fillId="0" borderId="9" xfId="0" applyNumberFormat="1" applyFont="1" applyBorder="1" applyAlignment="1"/>
    <xf numFmtId="172" fontId="10" fillId="0" borderId="13" xfId="0" applyNumberFormat="1" applyFont="1" applyBorder="1" applyAlignment="1"/>
    <xf numFmtId="172" fontId="10" fillId="0" borderId="0" xfId="17" applyNumberFormat="1" applyFont="1" applyBorder="1"/>
    <xf numFmtId="172" fontId="10" fillId="0" borderId="9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2" fontId="10" fillId="0" borderId="0" xfId="0" applyNumberFormat="1" applyFont="1"/>
    <xf numFmtId="0" fontId="10" fillId="0" borderId="14" xfId="0" applyFont="1" applyBorder="1" applyAlignment="1"/>
    <xf numFmtId="172" fontId="10" fillId="0" borderId="13" xfId="17" applyNumberFormat="1" applyFont="1" applyBorder="1" applyAlignment="1"/>
    <xf numFmtId="172" fontId="10" fillId="0" borderId="0" xfId="17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10" fillId="8" borderId="0" xfId="0" quotePrefix="1" applyFont="1" applyFill="1" applyBorder="1"/>
    <xf numFmtId="0" fontId="10" fillId="0" borderId="13" xfId="0" applyFont="1" applyBorder="1"/>
    <xf numFmtId="172" fontId="10" fillId="8" borderId="13" xfId="17" applyNumberFormat="1" applyFont="1" applyFill="1" applyBorder="1" applyAlignment="1"/>
    <xf numFmtId="2" fontId="10" fillId="0" borderId="2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10" fillId="0" borderId="23" xfId="0" applyNumberFormat="1" applyFont="1" applyBorder="1"/>
    <xf numFmtId="2" fontId="10" fillId="0" borderId="0" xfId="0" applyNumberFormat="1" applyFont="1" applyBorder="1"/>
    <xf numFmtId="2" fontId="10" fillId="0" borderId="15" xfId="0" applyNumberFormat="1" applyFont="1" applyBorder="1"/>
    <xf numFmtId="2" fontId="10" fillId="0" borderId="18" xfId="0" applyNumberFormat="1" applyFont="1" applyBorder="1"/>
    <xf numFmtId="2" fontId="10" fillId="0" borderId="9" xfId="0" applyNumberFormat="1" applyFont="1" applyBorder="1"/>
    <xf numFmtId="2" fontId="10" fillId="0" borderId="16" xfId="0" applyNumberFormat="1" applyFont="1" applyBorder="1"/>
    <xf numFmtId="172" fontId="10" fillId="0" borderId="17" xfId="0" applyNumberFormat="1" applyFont="1" applyBorder="1"/>
    <xf numFmtId="172" fontId="10" fillId="0" borderId="8" xfId="0" applyNumberFormat="1" applyFont="1" applyBorder="1"/>
    <xf numFmtId="172" fontId="10" fillId="0" borderId="19" xfId="0" applyNumberFormat="1" applyFont="1" applyBorder="1"/>
    <xf numFmtId="175" fontId="10" fillId="0" borderId="22" xfId="0" applyNumberFormat="1" applyFont="1" applyBorder="1"/>
    <xf numFmtId="175" fontId="10" fillId="0" borderId="23" xfId="0" applyNumberFormat="1" applyFont="1" applyBorder="1"/>
    <xf numFmtId="175" fontId="10" fillId="0" borderId="18" xfId="0" applyNumberFormat="1" applyFont="1" applyBorder="1"/>
    <xf numFmtId="175" fontId="10" fillId="0" borderId="13" xfId="0" applyNumberFormat="1" applyFont="1" applyBorder="1"/>
    <xf numFmtId="175" fontId="10" fillId="0" borderId="0" xfId="0" applyNumberFormat="1" applyFont="1" applyBorder="1"/>
    <xf numFmtId="175" fontId="10" fillId="0" borderId="9" xfId="0" applyNumberFormat="1" applyFont="1" applyBorder="1"/>
    <xf numFmtId="175" fontId="10" fillId="0" borderId="14" xfId="0" applyNumberFormat="1" applyFont="1" applyBorder="1"/>
    <xf numFmtId="175" fontId="10" fillId="0" borderId="15" xfId="0" applyNumberFormat="1" applyFont="1" applyBorder="1"/>
    <xf numFmtId="175" fontId="10" fillId="0" borderId="16" xfId="0" applyNumberFormat="1" applyFont="1" applyBorder="1"/>
    <xf numFmtId="175" fontId="10" fillId="0" borderId="17" xfId="0" applyNumberFormat="1" applyFont="1" applyBorder="1"/>
    <xf numFmtId="175" fontId="10" fillId="0" borderId="8" xfId="0" applyNumberFormat="1" applyFont="1" applyBorder="1"/>
    <xf numFmtId="175" fontId="10" fillId="0" borderId="19" xfId="0" applyNumberFormat="1" applyFont="1" applyBorder="1"/>
    <xf numFmtId="172" fontId="10" fillId="0" borderId="0" xfId="0" applyNumberFormat="1" applyFont="1"/>
    <xf numFmtId="0" fontId="10" fillId="0" borderId="23" xfId="0" applyFont="1" applyBorder="1"/>
    <xf numFmtId="169" fontId="10" fillId="0" borderId="23" xfId="0" applyNumberFormat="1" applyFont="1" applyBorder="1" applyAlignment="1"/>
    <xf numFmtId="172" fontId="10" fillId="0" borderId="23" xfId="0" applyNumberFormat="1" applyFont="1" applyBorder="1" applyAlignment="1"/>
    <xf numFmtId="172" fontId="10" fillId="0" borderId="0" xfId="17" applyNumberFormat="1" applyFont="1"/>
    <xf numFmtId="169" fontId="10" fillId="0" borderId="0" xfId="0" applyNumberFormat="1" applyFont="1" applyBorder="1" applyAlignment="1"/>
    <xf numFmtId="0" fontId="10" fillId="0" borderId="17" xfId="0" applyFont="1" applyBorder="1" applyAlignment="1">
      <alignment horizontal="center"/>
    </xf>
    <xf numFmtId="172" fontId="10" fillId="0" borderId="23" xfId="0" applyNumberFormat="1" applyFont="1" applyBorder="1"/>
    <xf numFmtId="172" fontId="10" fillId="0" borderId="18" xfId="0" applyNumberFormat="1" applyFont="1" applyBorder="1"/>
    <xf numFmtId="172" fontId="10" fillId="0" borderId="20" xfId="0" applyNumberFormat="1" applyFont="1" applyBorder="1"/>
    <xf numFmtId="172" fontId="10" fillId="0" borderId="21" xfId="0" applyNumberFormat="1" applyFont="1" applyBorder="1"/>
    <xf numFmtId="172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172" fontId="10" fillId="0" borderId="0" xfId="0" applyNumberFormat="1" applyFont="1" applyBorder="1"/>
    <xf numFmtId="0" fontId="10" fillId="0" borderId="6" xfId="0" applyFont="1" applyBorder="1"/>
    <xf numFmtId="0" fontId="10" fillId="0" borderId="22" xfId="0" applyFont="1" applyBorder="1" applyAlignment="1">
      <alignment horizontal="right"/>
    </xf>
    <xf numFmtId="171" fontId="10" fillId="0" borderId="23" xfId="0" applyNumberFormat="1" applyFont="1" applyBorder="1" applyAlignment="1"/>
    <xf numFmtId="171" fontId="10" fillId="0" borderId="18" xfId="0" applyNumberFormat="1" applyFont="1" applyBorder="1"/>
    <xf numFmtId="172" fontId="16" fillId="0" borderId="0" xfId="17" applyNumberFormat="1" applyFont="1" applyBorder="1"/>
    <xf numFmtId="0" fontId="10" fillId="0" borderId="17" xfId="0" applyFont="1" applyBorder="1"/>
    <xf numFmtId="172" fontId="10" fillId="0" borderId="17" xfId="17" applyNumberFormat="1" applyFont="1" applyBorder="1"/>
    <xf numFmtId="172" fontId="10" fillId="0" borderId="13" xfId="0" applyNumberFormat="1" applyFont="1" applyBorder="1"/>
    <xf numFmtId="0" fontId="10" fillId="0" borderId="17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71" fontId="10" fillId="0" borderId="9" xfId="0" applyNumberFormat="1" applyFont="1" applyBorder="1"/>
    <xf numFmtId="0" fontId="10" fillId="0" borderId="8" xfId="0" applyFont="1" applyBorder="1"/>
    <xf numFmtId="172" fontId="10" fillId="0" borderId="8" xfId="17" applyNumberFormat="1" applyFont="1" applyBorder="1"/>
    <xf numFmtId="0" fontId="10" fillId="0" borderId="8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right"/>
    </xf>
    <xf numFmtId="171" fontId="10" fillId="0" borderId="15" xfId="0" applyNumberFormat="1" applyFont="1" applyBorder="1" applyAlignment="1"/>
    <xf numFmtId="171" fontId="10" fillId="0" borderId="16" xfId="0" applyNumberFormat="1" applyFont="1" applyBorder="1"/>
    <xf numFmtId="172" fontId="16" fillId="0" borderId="15" xfId="17" applyNumberFormat="1" applyFont="1" applyBorder="1"/>
    <xf numFmtId="0" fontId="10" fillId="0" borderId="19" xfId="0" applyFont="1" applyBorder="1"/>
    <xf numFmtId="172" fontId="10" fillId="0" borderId="19" xfId="17" applyNumberFormat="1" applyFont="1" applyBorder="1"/>
    <xf numFmtId="172" fontId="10" fillId="0" borderId="14" xfId="0" applyNumberFormat="1" applyFont="1" applyBorder="1"/>
    <xf numFmtId="172" fontId="10" fillId="0" borderId="15" xfId="0" applyNumberFormat="1" applyFont="1" applyBorder="1"/>
    <xf numFmtId="172" fontId="10" fillId="0" borderId="16" xfId="0" applyNumberFormat="1" applyFont="1" applyBorder="1"/>
    <xf numFmtId="0" fontId="10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9" borderId="17" xfId="17" applyNumberFormat="1" applyFont="1" applyFill="1" applyBorder="1" applyAlignment="1"/>
    <xf numFmtId="172" fontId="16" fillId="9" borderId="8" xfId="17" applyNumberFormat="1" applyFont="1" applyFill="1" applyBorder="1" applyAlignment="1"/>
    <xf numFmtId="172" fontId="16" fillId="9" borderId="13" xfId="17" applyNumberFormat="1" applyFont="1" applyFill="1" applyBorder="1" applyAlignment="1"/>
    <xf numFmtId="172" fontId="16" fillId="9" borderId="18" xfId="17" applyNumberFormat="1" applyFont="1" applyFill="1" applyBorder="1"/>
    <xf numFmtId="172" fontId="16" fillId="9" borderId="9" xfId="17" applyNumberFormat="1" applyFont="1" applyFill="1" applyBorder="1"/>
    <xf numFmtId="0" fontId="10" fillId="0" borderId="13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172" fontId="16" fillId="9" borderId="16" xfId="17" applyNumberFormat="1" applyFont="1" applyFill="1" applyBorder="1"/>
    <xf numFmtId="172" fontId="16" fillId="9" borderId="0" xfId="17" applyNumberFormat="1" applyFont="1" applyFill="1" applyBorder="1"/>
    <xf numFmtId="172" fontId="16" fillId="10" borderId="13" xfId="17" applyNumberFormat="1" applyFont="1" applyFill="1" applyBorder="1" applyAlignment="1">
      <alignment horizontal="left"/>
    </xf>
    <xf numFmtId="172" fontId="16" fillId="10" borderId="0" xfId="17" applyNumberFormat="1" applyFont="1" applyFill="1" applyBorder="1"/>
    <xf numFmtId="172" fontId="16" fillId="10" borderId="13" xfId="17" applyNumberFormat="1" applyFont="1" applyFill="1" applyBorder="1" applyAlignment="1"/>
    <xf numFmtId="172" fontId="16" fillId="10" borderId="0" xfId="17" applyNumberFormat="1" applyFont="1" applyFill="1" applyBorder="1" applyAlignment="1">
      <alignment horizontal="center"/>
    </xf>
    <xf numFmtId="172" fontId="16" fillId="10" borderId="9" xfId="17" applyNumberFormat="1" applyFont="1" applyFill="1" applyBorder="1"/>
    <xf numFmtId="172" fontId="16" fillId="10" borderId="9" xfId="17" applyNumberFormat="1" applyFont="1" applyFill="1" applyBorder="1" applyAlignment="1">
      <alignment horizontal="right"/>
    </xf>
    <xf numFmtId="172" fontId="16" fillId="9" borderId="14" xfId="17" applyNumberFormat="1" applyFont="1" applyFill="1" applyBorder="1" applyAlignment="1"/>
    <xf numFmtId="172" fontId="16" fillId="9" borderId="15" xfId="17" applyNumberFormat="1" applyFont="1" applyFill="1" applyBorder="1"/>
    <xf numFmtId="176" fontId="10" fillId="0" borderId="0" xfId="0" applyNumberFormat="1" applyFont="1"/>
    <xf numFmtId="0" fontId="10" fillId="5" borderId="24" xfId="14" applyFont="1" applyFill="1" applyBorder="1"/>
    <xf numFmtId="0" fontId="10" fillId="5" borderId="25" xfId="14" applyFont="1" applyFill="1" applyBorder="1"/>
    <xf numFmtId="0" fontId="10" fillId="5" borderId="26" xfId="14" applyFont="1" applyFill="1" applyBorder="1"/>
    <xf numFmtId="0" fontId="10" fillId="0" borderId="0" xfId="14" applyFont="1"/>
    <xf numFmtId="0" fontId="10" fillId="5" borderId="24" xfId="20" applyFont="1" applyFill="1" applyBorder="1" applyAlignment="1">
      <alignment horizontal="center"/>
    </xf>
    <xf numFmtId="0" fontId="10" fillId="5" borderId="25" xfId="20" applyFont="1" applyFill="1" applyBorder="1"/>
    <xf numFmtId="0" fontId="10" fillId="5" borderId="25" xfId="20" applyFont="1" applyFill="1" applyBorder="1" applyAlignment="1">
      <alignment horizontal="center"/>
    </xf>
    <xf numFmtId="0" fontId="10" fillId="5" borderId="26" xfId="18" applyFont="1" applyFill="1" applyBorder="1"/>
    <xf numFmtId="0" fontId="11" fillId="0" borderId="0" xfId="14" applyFont="1"/>
    <xf numFmtId="0" fontId="10" fillId="5" borderId="5" xfId="14" applyFont="1" applyFill="1" applyBorder="1" applyAlignment="1">
      <alignment horizontal="center"/>
    </xf>
    <xf numFmtId="0" fontId="10" fillId="5" borderId="4" xfId="20" applyFont="1" applyFill="1" applyBorder="1" applyAlignment="1">
      <alignment horizontal="center"/>
    </xf>
    <xf numFmtId="0" fontId="10" fillId="5" borderId="0" xfId="20" applyFont="1" applyFill="1" applyBorder="1" applyAlignment="1">
      <alignment horizontal="center"/>
    </xf>
    <xf numFmtId="0" fontId="10" fillId="5" borderId="5" xfId="18" applyFont="1" applyFill="1" applyBorder="1"/>
    <xf numFmtId="0" fontId="10" fillId="5" borderId="17" xfId="14" applyNumberFormat="1" applyFont="1" applyFill="1" applyBorder="1" applyAlignment="1"/>
    <xf numFmtId="0" fontId="10" fillId="5" borderId="0" xfId="20" quotePrefix="1" applyFont="1" applyFill="1" applyBorder="1" applyAlignment="1">
      <alignment horizontal="center"/>
    </xf>
    <xf numFmtId="0" fontId="10" fillId="5" borderId="8" xfId="14" applyNumberFormat="1" applyFont="1" applyFill="1" applyBorder="1" applyAlignment="1"/>
    <xf numFmtId="0" fontId="11" fillId="5" borderId="4" xfId="14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0" fontId="10" fillId="5" borderId="5" xfId="0" applyFont="1" applyFill="1" applyBorder="1"/>
    <xf numFmtId="0" fontId="10" fillId="5" borderId="10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4" fillId="5" borderId="5" xfId="14" applyFont="1" applyFill="1" applyBorder="1"/>
    <xf numFmtId="0" fontId="11" fillId="5" borderId="10" xfId="14" applyFont="1" applyFill="1" applyBorder="1" applyAlignment="1">
      <alignment horizontal="center"/>
    </xf>
    <xf numFmtId="0" fontId="4" fillId="5" borderId="12" xfId="14" applyFont="1" applyFill="1" applyBorder="1"/>
    <xf numFmtId="0" fontId="17" fillId="10" borderId="21" xfId="8" applyFont="1" applyFill="1" applyBorder="1" applyAlignment="1">
      <alignment horizontal="center" vertical="center" wrapText="1"/>
    </xf>
    <xf numFmtId="0" fontId="17" fillId="10" borderId="7" xfId="8" applyFont="1" applyFill="1" applyBorder="1" applyAlignment="1">
      <alignment horizontal="center" vertical="center" wrapText="1"/>
    </xf>
    <xf numFmtId="0" fontId="10" fillId="0" borderId="0" xfId="8" applyFont="1"/>
    <xf numFmtId="0" fontId="17" fillId="5" borderId="14" xfId="8" applyFont="1" applyFill="1" applyBorder="1" applyAlignment="1">
      <alignment vertical="center" textRotation="90"/>
    </xf>
    <xf numFmtId="0" fontId="10" fillId="5" borderId="15" xfId="8" applyNumberFormat="1" applyFont="1" applyFill="1" applyBorder="1" applyAlignment="1"/>
    <xf numFmtId="0" fontId="10" fillId="5" borderId="15" xfId="8" applyFont="1" applyFill="1" applyBorder="1" applyAlignment="1"/>
    <xf numFmtId="172" fontId="10" fillId="5" borderId="15" xfId="11" applyNumberFormat="1" applyFont="1" applyFill="1" applyBorder="1" applyAlignment="1">
      <alignment horizontal="right"/>
    </xf>
    <xf numFmtId="0" fontId="10" fillId="5" borderId="15" xfId="8" applyFont="1" applyFill="1" applyBorder="1" applyAlignment="1">
      <alignment horizontal="center"/>
    </xf>
    <xf numFmtId="169" fontId="10" fillId="5" borderId="15" xfId="8" applyNumberFormat="1" applyFont="1" applyFill="1" applyBorder="1" applyAlignment="1">
      <alignment horizontal="right"/>
    </xf>
    <xf numFmtId="169" fontId="10" fillId="5" borderId="16" xfId="8" applyNumberFormat="1" applyFont="1" applyFill="1" applyBorder="1" applyAlignment="1">
      <alignment horizontal="right"/>
    </xf>
    <xf numFmtId="0" fontId="10" fillId="5" borderId="20" xfId="8" applyNumberFormat="1" applyFont="1" applyFill="1" applyBorder="1" applyAlignment="1"/>
    <xf numFmtId="0" fontId="10" fillId="5" borderId="21" xfId="8" applyNumberFormat="1" applyFont="1" applyFill="1" applyBorder="1" applyAlignment="1"/>
    <xf numFmtId="172" fontId="10" fillId="5" borderId="21" xfId="11" applyNumberFormat="1" applyFont="1" applyFill="1" applyBorder="1" applyAlignment="1">
      <alignment horizontal="right"/>
    </xf>
    <xf numFmtId="0" fontId="10" fillId="5" borderId="21" xfId="8" applyFont="1" applyFill="1" applyBorder="1" applyAlignment="1">
      <alignment horizontal="center"/>
    </xf>
    <xf numFmtId="169" fontId="10" fillId="5" borderId="21" xfId="8" applyNumberFormat="1" applyFont="1" applyFill="1" applyBorder="1" applyAlignment="1">
      <alignment horizontal="right"/>
    </xf>
    <xf numFmtId="169" fontId="10" fillId="5" borderId="7" xfId="8" applyNumberFormat="1" applyFont="1" applyFill="1" applyBorder="1" applyAlignment="1">
      <alignment horizontal="right"/>
    </xf>
    <xf numFmtId="172" fontId="10" fillId="0" borderId="0" xfId="8" applyNumberFormat="1" applyFont="1"/>
    <xf numFmtId="0" fontId="10" fillId="5" borderId="22" xfId="8" applyNumberFormat="1" applyFont="1" applyFill="1" applyBorder="1" applyAlignment="1"/>
    <xf numFmtId="0" fontId="10" fillId="5" borderId="23" xfId="8" applyNumberFormat="1" applyFont="1" applyFill="1" applyBorder="1" applyAlignment="1"/>
    <xf numFmtId="0" fontId="10" fillId="5" borderId="23" xfId="8" applyFont="1" applyFill="1" applyBorder="1" applyAlignment="1"/>
    <xf numFmtId="172" fontId="10" fillId="5" borderId="23" xfId="11" applyNumberFormat="1" applyFont="1" applyFill="1" applyBorder="1" applyAlignment="1">
      <alignment horizontal="right"/>
    </xf>
    <xf numFmtId="0" fontId="10" fillId="5" borderId="23" xfId="8" applyFont="1" applyFill="1" applyBorder="1" applyAlignment="1">
      <alignment horizontal="center"/>
    </xf>
    <xf numFmtId="169" fontId="10" fillId="5" borderId="23" xfId="8" applyNumberFormat="1" applyFont="1" applyFill="1" applyBorder="1" applyAlignment="1">
      <alignment horizontal="right"/>
    </xf>
    <xf numFmtId="169" fontId="10" fillId="5" borderId="18" xfId="8" applyNumberFormat="1" applyFont="1" applyFill="1" applyBorder="1" applyAlignment="1">
      <alignment horizontal="right"/>
    </xf>
    <xf numFmtId="0" fontId="10" fillId="5" borderId="13" xfId="8" applyNumberFormat="1" applyFont="1" applyFill="1" applyBorder="1" applyAlignment="1"/>
    <xf numFmtId="0" fontId="10" fillId="5" borderId="0" xfId="8" applyNumberFormat="1" applyFont="1" applyFill="1" applyBorder="1" applyAlignment="1"/>
    <xf numFmtId="0" fontId="10" fillId="5" borderId="0" xfId="8" applyFont="1" applyFill="1" applyBorder="1" applyAlignment="1"/>
    <xf numFmtId="172" fontId="10" fillId="5" borderId="0" xfId="11" applyNumberFormat="1" applyFont="1" applyFill="1" applyBorder="1" applyAlignment="1">
      <alignment horizontal="right"/>
    </xf>
    <xf numFmtId="0" fontId="10" fillId="5" borderId="0" xfId="8" applyFont="1" applyFill="1" applyBorder="1" applyAlignment="1">
      <alignment horizontal="center"/>
    </xf>
    <xf numFmtId="169" fontId="10" fillId="5" borderId="0" xfId="8" applyNumberFormat="1" applyFont="1" applyFill="1" applyBorder="1" applyAlignment="1">
      <alignment horizontal="right"/>
    </xf>
    <xf numFmtId="169" fontId="10" fillId="5" borderId="9" xfId="8" applyNumberFormat="1" applyFont="1" applyFill="1" applyBorder="1" applyAlignment="1">
      <alignment horizontal="right"/>
    </xf>
    <xf numFmtId="0" fontId="10" fillId="5" borderId="14" xfId="8" applyNumberFormat="1" applyFont="1" applyFill="1" applyBorder="1" applyAlignment="1"/>
    <xf numFmtId="0" fontId="10" fillId="0" borderId="0" xfId="8" applyFont="1" applyAlignment="1">
      <alignment horizontal="left"/>
    </xf>
    <xf numFmtId="0" fontId="17" fillId="10" borderId="20" xfId="8" applyFont="1" applyFill="1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0" fillId="9" borderId="20" xfId="8" applyFont="1" applyFill="1" applyBorder="1"/>
    <xf numFmtId="0" fontId="10" fillId="9" borderId="21" xfId="8" applyFont="1" applyFill="1" applyBorder="1"/>
    <xf numFmtId="171" fontId="10" fillId="9" borderId="7" xfId="8" applyNumberFormat="1" applyFont="1" applyFill="1" applyBorder="1"/>
    <xf numFmtId="171" fontId="10" fillId="5" borderId="9" xfId="8" applyNumberFormat="1" applyFont="1" applyFill="1" applyBorder="1" applyAlignment="1"/>
    <xf numFmtId="172" fontId="10" fillId="0" borderId="0" xfId="11" applyNumberFormat="1" applyFont="1"/>
    <xf numFmtId="171" fontId="10" fillId="0" borderId="0" xfId="8" applyNumberFormat="1" applyFont="1"/>
    <xf numFmtId="0" fontId="10" fillId="5" borderId="13" xfId="8" applyFont="1" applyFill="1" applyBorder="1" applyAlignment="1"/>
    <xf numFmtId="172" fontId="10" fillId="5" borderId="0" xfId="8" applyNumberFormat="1" applyFont="1" applyFill="1" applyBorder="1" applyAlignment="1"/>
    <xf numFmtId="171" fontId="10" fillId="5" borderId="0" xfId="8" applyNumberFormat="1" applyFont="1" applyFill="1" applyBorder="1" applyAlignment="1"/>
    <xf numFmtId="0" fontId="10" fillId="5" borderId="14" xfId="8" applyFont="1" applyFill="1" applyBorder="1" applyAlignment="1"/>
    <xf numFmtId="172" fontId="10" fillId="5" borderId="15" xfId="8" applyNumberFormat="1" applyFont="1" applyFill="1" applyBorder="1" applyAlignment="1"/>
    <xf numFmtId="171" fontId="10" fillId="5" borderId="15" xfId="8" applyNumberFormat="1" applyFont="1" applyFill="1" applyBorder="1" applyAlignment="1"/>
    <xf numFmtId="171" fontId="10" fillId="5" borderId="16" xfId="8" applyNumberFormat="1" applyFont="1" applyFill="1" applyBorder="1" applyAlignment="1"/>
    <xf numFmtId="0" fontId="10" fillId="5" borderId="0" xfId="19" quotePrefix="1" applyFont="1" applyFill="1" applyBorder="1" applyAlignment="1">
      <alignment horizontal="center"/>
    </xf>
    <xf numFmtId="0" fontId="10" fillId="5" borderId="0" xfId="19" applyFont="1" applyFill="1" applyBorder="1" applyAlignment="1">
      <alignment horizontal="center"/>
    </xf>
    <xf numFmtId="0" fontId="10" fillId="11" borderId="4" xfId="15" applyFont="1" applyFill="1" applyBorder="1"/>
    <xf numFmtId="0" fontId="10" fillId="11" borderId="0" xfId="15" applyFont="1" applyFill="1" applyBorder="1" applyAlignment="1">
      <alignment horizontal="right"/>
    </xf>
    <xf numFmtId="171" fontId="10" fillId="11" borderId="0" xfId="17" applyNumberFormat="1" applyFont="1" applyFill="1" applyBorder="1" applyAlignment="1">
      <alignment horizontal="center"/>
    </xf>
    <xf numFmtId="0" fontId="10" fillId="11" borderId="0" xfId="15" applyFont="1" applyFill="1" applyBorder="1"/>
    <xf numFmtId="0" fontId="10" fillId="11" borderId="5" xfId="15" applyFont="1" applyFill="1" applyBorder="1"/>
    <xf numFmtId="168" fontId="11" fillId="5" borderId="6" xfId="15" applyNumberFormat="1" applyFont="1" applyFill="1" applyBorder="1" applyAlignment="1">
      <alignment horizontal="center"/>
    </xf>
    <xf numFmtId="1" fontId="10" fillId="5" borderId="6" xfId="15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6" borderId="6" xfId="15" applyFont="1" applyFill="1" applyBorder="1" applyAlignment="1">
      <alignment horizontal="right" vertical="center"/>
    </xf>
    <xf numFmtId="169" fontId="10" fillId="12" borderId="6" xfId="11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169" fontId="10" fillId="5" borderId="17" xfId="0" applyNumberFormat="1" applyFont="1" applyFill="1" applyBorder="1" applyAlignment="1">
      <alignment horizontal="right"/>
    </xf>
    <xf numFmtId="178" fontId="10" fillId="5" borderId="18" xfId="0" applyNumberFormat="1" applyFont="1" applyFill="1" applyBorder="1" applyAlignment="1">
      <alignment horizontal="center"/>
    </xf>
    <xf numFmtId="169" fontId="10" fillId="5" borderId="19" xfId="0" applyNumberFormat="1" applyFont="1" applyFill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10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1" fillId="5" borderId="11" xfId="14" applyNumberFormat="1" applyFont="1" applyFill="1" applyBorder="1" applyAlignment="1"/>
    <xf numFmtId="0" fontId="10" fillId="11" borderId="15" xfId="8" applyFont="1" applyFill="1" applyBorder="1"/>
    <xf numFmtId="0" fontId="10" fillId="11" borderId="21" xfId="8" applyFont="1" applyFill="1" applyBorder="1"/>
    <xf numFmtId="0" fontId="10" fillId="11" borderId="23" xfId="8" applyFont="1" applyFill="1" applyBorder="1"/>
    <xf numFmtId="0" fontId="10" fillId="11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10" fillId="0" borderId="17" xfId="0" applyNumberFormat="1" applyFont="1" applyBorder="1"/>
    <xf numFmtId="0" fontId="10" fillId="7" borderId="30" xfId="14" applyNumberFormat="1" applyFont="1" applyFill="1" applyBorder="1" applyAlignment="1" applyProtection="1"/>
    <xf numFmtId="0" fontId="10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10" fillId="0" borderId="4" xfId="21" applyNumberFormat="1" applyFont="1" applyFill="1" applyBorder="1" applyAlignment="1">
      <alignment vertical="center"/>
    </xf>
    <xf numFmtId="172" fontId="10" fillId="0" borderId="5" xfId="21" quotePrefix="1" applyNumberFormat="1" applyFont="1" applyFill="1" applyBorder="1" applyAlignment="1"/>
    <xf numFmtId="0" fontId="10" fillId="0" borderId="34" xfId="21" applyNumberFormat="1" applyFont="1" applyFill="1" applyBorder="1" applyAlignment="1">
      <alignment vertical="center"/>
    </xf>
    <xf numFmtId="172" fontId="10" fillId="0" borderId="35" xfId="21" quotePrefix="1" applyNumberFormat="1" applyFont="1" applyFill="1" applyBorder="1" applyAlignment="1"/>
    <xf numFmtId="0" fontId="10" fillId="0" borderId="10" xfId="21" applyNumberFormat="1" applyFont="1" applyFill="1" applyBorder="1" applyAlignment="1">
      <alignment vertical="center"/>
    </xf>
    <xf numFmtId="172" fontId="10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10" fillId="0" borderId="36" xfId="21" applyNumberFormat="1" applyFont="1" applyBorder="1" applyAlignment="1"/>
    <xf numFmtId="172" fontId="10" fillId="0" borderId="37" xfId="21" applyNumberFormat="1" applyFont="1" applyBorder="1" applyAlignment="1"/>
    <xf numFmtId="172" fontId="10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10" fillId="0" borderId="4" xfId="21" applyNumberFormat="1" applyFont="1" applyFill="1" applyBorder="1" applyAlignment="1"/>
    <xf numFmtId="172" fontId="10" fillId="0" borderId="5" xfId="21" applyNumberFormat="1" applyFont="1" applyFill="1" applyBorder="1" applyAlignment="1"/>
    <xf numFmtId="172" fontId="10" fillId="0" borderId="34" xfId="21" applyNumberFormat="1" applyFont="1" applyFill="1" applyBorder="1" applyAlignment="1"/>
    <xf numFmtId="172" fontId="10" fillId="0" borderId="35" xfId="21" applyNumberFormat="1" applyFont="1" applyFill="1" applyBorder="1" applyAlignment="1"/>
    <xf numFmtId="172" fontId="10" fillId="0" borderId="10" xfId="21" applyNumberFormat="1" applyFont="1" applyFill="1" applyBorder="1" applyAlignment="1"/>
    <xf numFmtId="172" fontId="10" fillId="0" borderId="12" xfId="21" applyNumberFormat="1" applyFont="1" applyFill="1" applyBorder="1" applyAlignment="1"/>
    <xf numFmtId="0" fontId="10" fillId="0" borderId="4" xfId="21" applyNumberFormat="1" applyFont="1" applyFill="1" applyBorder="1" applyAlignment="1"/>
    <xf numFmtId="0" fontId="10" fillId="0" borderId="34" xfId="21" applyNumberFormat="1" applyFont="1" applyFill="1" applyBorder="1" applyAlignment="1"/>
    <xf numFmtId="0" fontId="10" fillId="0" borderId="10" xfId="21" applyNumberFormat="1" applyFont="1" applyFill="1" applyBorder="1" applyAlignment="1"/>
    <xf numFmtId="0" fontId="10" fillId="5" borderId="36" xfId="20" applyFont="1" applyFill="1" applyBorder="1" applyAlignment="1">
      <alignment horizontal="center"/>
    </xf>
    <xf numFmtId="0" fontId="10" fillId="5" borderId="36" xfId="20" quotePrefix="1" applyFont="1" applyFill="1" applyBorder="1" applyAlignment="1">
      <alignment horizontal="center"/>
    </xf>
    <xf numFmtId="0" fontId="10" fillId="0" borderId="24" xfId="21" applyNumberFormat="1" applyFont="1" applyFill="1" applyBorder="1" applyAlignment="1"/>
    <xf numFmtId="172" fontId="10" fillId="0" borderId="26" xfId="21" quotePrefix="1" applyNumberFormat="1" applyFont="1" applyFill="1" applyBorder="1" applyAlignment="1"/>
    <xf numFmtId="172" fontId="10" fillId="0" borderId="39" xfId="21" applyNumberFormat="1" applyFont="1" applyBorder="1" applyAlignment="1"/>
    <xf numFmtId="172" fontId="10" fillId="0" borderId="24" xfId="21" applyNumberFormat="1" applyFont="1" applyFill="1" applyBorder="1" applyAlignment="1"/>
    <xf numFmtId="172" fontId="10" fillId="0" borderId="26" xfId="21" applyNumberFormat="1" applyFont="1" applyFill="1" applyBorder="1" applyAlignment="1"/>
    <xf numFmtId="0" fontId="10" fillId="0" borderId="24" xfId="21" applyNumberFormat="1" applyFont="1" applyFill="1" applyBorder="1" applyAlignment="1">
      <alignment horizontal="left"/>
    </xf>
    <xf numFmtId="0" fontId="10" fillId="0" borderId="4" xfId="21" applyNumberFormat="1" applyFont="1" applyFill="1" applyBorder="1" applyAlignment="1">
      <alignment horizontal="left"/>
    </xf>
    <xf numFmtId="0" fontId="10" fillId="0" borderId="34" xfId="21" applyNumberFormat="1" applyFont="1" applyFill="1" applyBorder="1" applyAlignment="1">
      <alignment horizontal="left"/>
    </xf>
    <xf numFmtId="0" fontId="10" fillId="0" borderId="4" xfId="19" applyFont="1" applyBorder="1" applyAlignment="1">
      <alignment horizontal="left"/>
    </xf>
    <xf numFmtId="172" fontId="10" fillId="0" borderId="5" xfId="19" quotePrefix="1" applyNumberFormat="1" applyFont="1" applyFill="1" applyBorder="1"/>
    <xf numFmtId="0" fontId="10" fillId="0" borderId="10" xfId="19" applyFont="1" applyBorder="1" applyAlignment="1">
      <alignment horizontal="left"/>
    </xf>
    <xf numFmtId="172" fontId="10" fillId="0" borderId="12" xfId="19" quotePrefix="1" applyNumberFormat="1" applyFont="1" applyFill="1" applyBorder="1"/>
    <xf numFmtId="172" fontId="10" fillId="0" borderId="36" xfId="11" applyNumberFormat="1" applyFont="1" applyBorder="1" applyAlignment="1"/>
    <xf numFmtId="172" fontId="10" fillId="0" borderId="38" xfId="11" applyNumberFormat="1" applyFont="1" applyBorder="1" applyAlignment="1"/>
    <xf numFmtId="172" fontId="10" fillId="0" borderId="4" xfId="11" applyNumberFormat="1" applyFont="1" applyBorder="1"/>
    <xf numFmtId="172" fontId="10" fillId="0" borderId="5" xfId="11" applyNumberFormat="1" applyFont="1" applyFill="1" applyBorder="1" applyAlignment="1"/>
    <xf numFmtId="0" fontId="10" fillId="11" borderId="43" xfId="14" applyFont="1" applyFill="1" applyBorder="1"/>
    <xf numFmtId="0" fontId="10" fillId="11" borderId="44" xfId="14" applyFont="1" applyFill="1" applyBorder="1"/>
    <xf numFmtId="0" fontId="10" fillId="5" borderId="45" xfId="14" applyFont="1" applyFill="1" applyBorder="1" applyAlignment="1">
      <alignment horizontal="left"/>
    </xf>
    <xf numFmtId="0" fontId="10" fillId="5" borderId="20" xfId="14" applyFont="1" applyFill="1" applyBorder="1" applyAlignment="1">
      <alignment horizontal="left"/>
    </xf>
    <xf numFmtId="177" fontId="10" fillId="7" borderId="41" xfId="14" applyNumberFormat="1" applyFont="1" applyFill="1" applyBorder="1" applyAlignment="1" applyProtection="1">
      <alignment horizontal="left"/>
    </xf>
    <xf numFmtId="177" fontId="10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10" fillId="5" borderId="28" xfId="14" applyNumberFormat="1" applyFont="1" applyFill="1" applyBorder="1" applyAlignment="1"/>
    <xf numFmtId="0" fontId="10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10" fillId="5" borderId="5" xfId="14" applyNumberFormat="1" applyFont="1" applyFill="1" applyBorder="1" applyAlignment="1"/>
    <xf numFmtId="0" fontId="10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10" fillId="5" borderId="33" xfId="14" applyNumberFormat="1" applyFont="1" applyFill="1" applyBorder="1" applyAlignment="1"/>
    <xf numFmtId="177" fontId="10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10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10" fillId="5" borderId="27" xfId="14" applyFont="1" applyFill="1" applyBorder="1" applyAlignment="1">
      <alignment horizontal="left"/>
    </xf>
    <xf numFmtId="0" fontId="10" fillId="5" borderId="47" xfId="14" applyFont="1" applyFill="1" applyBorder="1" applyAlignment="1">
      <alignment horizontal="left"/>
    </xf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10" fillId="5" borderId="12" xfId="14" applyNumberFormat="1" applyFont="1" applyFill="1" applyBorder="1" applyAlignment="1"/>
    <xf numFmtId="0" fontId="11" fillId="0" borderId="36" xfId="14" applyFont="1" applyBorder="1"/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0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1" fillId="5" borderId="36" xfId="14" applyFont="1" applyFill="1" applyBorder="1"/>
    <xf numFmtId="0" fontId="4" fillId="5" borderId="36" xfId="14" applyFont="1" applyFill="1" applyBorder="1"/>
    <xf numFmtId="0" fontId="11" fillId="5" borderId="37" xfId="14" applyFont="1" applyFill="1" applyBorder="1" applyAlignment="1">
      <alignment horizontal="center"/>
    </xf>
    <xf numFmtId="0" fontId="10" fillId="0" borderId="10" xfId="21" applyNumberFormat="1" applyFont="1" applyFill="1" applyBorder="1" applyAlignment="1">
      <alignment horizontal="left"/>
    </xf>
    <xf numFmtId="172" fontId="10" fillId="0" borderId="10" xfId="11" applyNumberFormat="1" applyFont="1" applyBorder="1"/>
    <xf numFmtId="172" fontId="10" fillId="0" borderId="12" xfId="11" applyNumberFormat="1" applyFont="1" applyFill="1" applyBorder="1" applyAlignment="1"/>
    <xf numFmtId="0" fontId="10" fillId="0" borderId="36" xfId="20" applyFont="1" applyFill="1" applyBorder="1" applyAlignment="1">
      <alignment horizontal="center"/>
    </xf>
    <xf numFmtId="0" fontId="10" fillId="5" borderId="5" xfId="18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1" fillId="5" borderId="0" xfId="17" applyNumberFormat="1" applyFont="1" applyFill="1" applyBorder="1" applyAlignment="1">
      <alignment horizontal="center" vertical="center"/>
    </xf>
    <xf numFmtId="0" fontId="12" fillId="4" borderId="1" xfId="16" applyFont="1" applyFill="1" applyBorder="1" applyAlignment="1">
      <alignment horizontal="centerContinuous" vertical="center"/>
    </xf>
    <xf numFmtId="0" fontId="12" fillId="4" borderId="49" xfId="16" applyFont="1" applyFill="1" applyBorder="1" applyAlignment="1">
      <alignment horizontal="centerContinuous" vertical="center"/>
    </xf>
    <xf numFmtId="171" fontId="10" fillId="5" borderId="6" xfId="15" applyNumberFormat="1" applyFont="1" applyFill="1" applyBorder="1" applyAlignment="1">
      <alignment horizontal="center"/>
    </xf>
    <xf numFmtId="1" fontId="10" fillId="5" borderId="6" xfId="17" applyNumberFormat="1" applyFont="1" applyFill="1" applyBorder="1" applyAlignment="1">
      <alignment horizontal="center"/>
    </xf>
    <xf numFmtId="1" fontId="10" fillId="5" borderId="7" xfId="17" applyNumberFormat="1" applyFont="1" applyFill="1" applyBorder="1" applyAlignment="1">
      <alignment horizontal="center"/>
    </xf>
    <xf numFmtId="0" fontId="10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0" fontId="13" fillId="4" borderId="1" xfId="14" applyFont="1" applyFill="1" applyBorder="1" applyAlignment="1">
      <alignment horizontal="centerContinuous"/>
    </xf>
    <xf numFmtId="0" fontId="13" fillId="4" borderId="2" xfId="14" applyFont="1" applyFill="1" applyBorder="1" applyAlignment="1">
      <alignment horizontal="centerContinuous"/>
    </xf>
    <xf numFmtId="0" fontId="13" fillId="4" borderId="3" xfId="14" applyFont="1" applyFill="1" applyBorder="1" applyAlignment="1">
      <alignment horizontal="centerContinuous"/>
    </xf>
    <xf numFmtId="180" fontId="10" fillId="0" borderId="0" xfId="8" applyNumberFormat="1" applyFont="1"/>
    <xf numFmtId="0" fontId="10" fillId="13" borderId="0" xfId="8" applyFont="1" applyFill="1"/>
    <xf numFmtId="171" fontId="10" fillId="13" borderId="0" xfId="8" applyNumberFormat="1" applyFont="1" applyFill="1"/>
    <xf numFmtId="172" fontId="10" fillId="13" borderId="0" xfId="11" applyNumberFormat="1" applyFont="1" applyFill="1"/>
    <xf numFmtId="172" fontId="10" fillId="13" borderId="0" xfId="8" applyNumberFormat="1" applyFont="1" applyFill="1"/>
    <xf numFmtId="0" fontId="10" fillId="14" borderId="0" xfId="8" applyFont="1" applyFill="1"/>
    <xf numFmtId="171" fontId="10" fillId="14" borderId="0" xfId="8" applyNumberFormat="1" applyFont="1" applyFill="1"/>
    <xf numFmtId="172" fontId="10" fillId="14" borderId="0" xfId="11" applyNumberFormat="1" applyFont="1" applyFill="1"/>
    <xf numFmtId="172" fontId="10" fillId="14" borderId="0" xfId="8" applyNumberFormat="1" applyFont="1" applyFill="1"/>
    <xf numFmtId="171" fontId="10" fillId="0" borderId="0" xfId="0" applyNumberFormat="1" applyFont="1"/>
    <xf numFmtId="0" fontId="23" fillId="15" borderId="51" xfId="0" applyFont="1" applyFill="1" applyBorder="1" applyAlignment="1">
      <alignment horizontal="center" vertical="center" wrapText="1"/>
    </xf>
    <xf numFmtId="0" fontId="23" fillId="15" borderId="52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22" fillId="11" borderId="48" xfId="0" applyFont="1" applyFill="1" applyBorder="1"/>
    <xf numFmtId="171" fontId="22" fillId="11" borderId="28" xfId="0" applyNumberFormat="1" applyFont="1" applyFill="1" applyBorder="1"/>
    <xf numFmtId="172" fontId="22" fillId="11" borderId="28" xfId="0" applyNumberFormat="1" applyFont="1" applyFill="1" applyBorder="1"/>
    <xf numFmtId="172" fontId="22" fillId="11" borderId="50" xfId="0" applyNumberFormat="1" applyFont="1" applyFill="1" applyBorder="1"/>
    <xf numFmtId="0" fontId="22" fillId="11" borderId="40" xfId="0" applyFont="1" applyFill="1" applyBorder="1"/>
    <xf numFmtId="171" fontId="22" fillId="11" borderId="8" xfId="0" applyNumberFormat="1" applyFont="1" applyFill="1" applyBorder="1"/>
    <xf numFmtId="172" fontId="22" fillId="11" borderId="8" xfId="0" applyNumberFormat="1" applyFont="1" applyFill="1" applyBorder="1"/>
    <xf numFmtId="172" fontId="22" fillId="11" borderId="31" xfId="0" applyNumberFormat="1" applyFont="1" applyFill="1" applyBorder="1"/>
    <xf numFmtId="0" fontId="22" fillId="11" borderId="46" xfId="0" applyFont="1" applyFill="1" applyBorder="1"/>
    <xf numFmtId="171" fontId="22" fillId="11" borderId="32" xfId="0" applyNumberFormat="1" applyFont="1" applyFill="1" applyBorder="1"/>
    <xf numFmtId="172" fontId="22" fillId="11" borderId="32" xfId="0" applyNumberFormat="1" applyFont="1" applyFill="1" applyBorder="1"/>
    <xf numFmtId="172" fontId="22" fillId="11" borderId="33" xfId="0" applyNumberFormat="1" applyFont="1" applyFill="1" applyBorder="1"/>
    <xf numFmtId="0" fontId="24" fillId="15" borderId="51" xfId="23" applyFont="1" applyFill="1" applyBorder="1" applyAlignment="1">
      <alignment horizontal="center" vertical="center" wrapText="1"/>
    </xf>
    <xf numFmtId="0" fontId="24" fillId="15" borderId="52" xfId="23" applyFont="1" applyFill="1" applyBorder="1" applyAlignment="1">
      <alignment horizontal="center" vertical="center" wrapText="1"/>
    </xf>
    <xf numFmtId="0" fontId="24" fillId="15" borderId="53" xfId="23" applyFont="1" applyFill="1" applyBorder="1" applyAlignment="1">
      <alignment horizontal="center" vertical="center" wrapText="1"/>
    </xf>
    <xf numFmtId="171" fontId="10" fillId="11" borderId="40" xfId="23" applyNumberFormat="1" applyFont="1" applyFill="1" applyBorder="1"/>
    <xf numFmtId="171" fontId="10" fillId="11" borderId="8" xfId="23" applyNumberFormat="1" applyFont="1" applyFill="1" applyBorder="1"/>
    <xf numFmtId="172" fontId="10" fillId="11" borderId="8" xfId="23" applyNumberFormat="1" applyFont="1" applyFill="1" applyBorder="1" applyAlignment="1">
      <alignment horizontal="center" vertical="center"/>
    </xf>
    <xf numFmtId="172" fontId="10" fillId="11" borderId="31" xfId="23" applyNumberFormat="1" applyFont="1" applyFill="1" applyBorder="1" applyAlignment="1">
      <alignment horizontal="center" vertical="center"/>
    </xf>
    <xf numFmtId="0" fontId="10" fillId="11" borderId="4" xfId="8" applyFont="1" applyFill="1" applyBorder="1"/>
    <xf numFmtId="0" fontId="10" fillId="11" borderId="5" xfId="8" applyFont="1" applyFill="1" applyBorder="1"/>
    <xf numFmtId="0" fontId="10" fillId="11" borderId="10" xfId="8" applyFont="1" applyFill="1" applyBorder="1"/>
    <xf numFmtId="0" fontId="25" fillId="11" borderId="38" xfId="8" applyFont="1" applyFill="1" applyBorder="1"/>
    <xf numFmtId="0" fontId="25" fillId="11" borderId="4" xfId="8" applyFont="1" applyFill="1" applyBorder="1"/>
    <xf numFmtId="171" fontId="25" fillId="11" borderId="42" xfId="23" applyNumberFormat="1" applyFont="1" applyFill="1" applyBorder="1"/>
    <xf numFmtId="171" fontId="25" fillId="11" borderId="19" xfId="23" applyNumberFormat="1" applyFont="1" applyFill="1" applyBorder="1"/>
    <xf numFmtId="172" fontId="25" fillId="11" borderId="19" xfId="23" applyNumberFormat="1" applyFont="1" applyFill="1" applyBorder="1" applyAlignment="1">
      <alignment horizontal="center" vertical="center"/>
    </xf>
    <xf numFmtId="172" fontId="25" fillId="11" borderId="54" xfId="23" applyNumberFormat="1" applyFont="1" applyFill="1" applyBorder="1" applyAlignment="1">
      <alignment horizontal="center" vertical="center"/>
    </xf>
    <xf numFmtId="171" fontId="25" fillId="11" borderId="40" xfId="23" applyNumberFormat="1" applyFont="1" applyFill="1" applyBorder="1"/>
    <xf numFmtId="171" fontId="25" fillId="11" borderId="8" xfId="23" applyNumberFormat="1" applyFont="1" applyFill="1" applyBorder="1"/>
    <xf numFmtId="172" fontId="25" fillId="11" borderId="8" xfId="23" applyNumberFormat="1" applyFont="1" applyFill="1" applyBorder="1" applyAlignment="1">
      <alignment horizontal="center" vertical="center"/>
    </xf>
    <xf numFmtId="172" fontId="25" fillId="11" borderId="31" xfId="23" applyNumberFormat="1" applyFont="1" applyFill="1" applyBorder="1" applyAlignment="1">
      <alignment horizontal="center" vertical="center"/>
    </xf>
    <xf numFmtId="171" fontId="25" fillId="11" borderId="48" xfId="23" applyNumberFormat="1" applyFont="1" applyFill="1" applyBorder="1"/>
    <xf numFmtId="171" fontId="25" fillId="11" borderId="28" xfId="23" applyNumberFormat="1" applyFont="1" applyFill="1" applyBorder="1"/>
    <xf numFmtId="172" fontId="25" fillId="11" borderId="28" xfId="23" applyNumberFormat="1" applyFont="1" applyFill="1" applyBorder="1" applyAlignment="1">
      <alignment horizontal="center" vertical="center"/>
    </xf>
    <xf numFmtId="172" fontId="25" fillId="11" borderId="50" xfId="23" applyNumberFormat="1" applyFont="1" applyFill="1" applyBorder="1" applyAlignment="1">
      <alignment horizontal="center" vertical="center"/>
    </xf>
    <xf numFmtId="0" fontId="24" fillId="15" borderId="55" xfId="23" applyFont="1" applyFill="1" applyBorder="1" applyAlignment="1">
      <alignment horizontal="center" vertical="center" wrapText="1"/>
    </xf>
    <xf numFmtId="172" fontId="25" fillId="11" borderId="28" xfId="23" applyNumberFormat="1" applyFont="1" applyFill="1" applyBorder="1"/>
    <xf numFmtId="172" fontId="10" fillId="11" borderId="8" xfId="23" applyNumberFormat="1" applyFont="1" applyFill="1" applyBorder="1"/>
    <xf numFmtId="172" fontId="25" fillId="11" borderId="8" xfId="23" applyNumberFormat="1" applyFont="1" applyFill="1" applyBorder="1"/>
    <xf numFmtId="172" fontId="25" fillId="11" borderId="19" xfId="23" applyNumberFormat="1" applyFont="1" applyFill="1" applyBorder="1"/>
    <xf numFmtId="0" fontId="10" fillId="11" borderId="13" xfId="8" applyFont="1" applyFill="1" applyBorder="1"/>
    <xf numFmtId="180" fontId="10" fillId="11" borderId="0" xfId="8" applyNumberFormat="1" applyFont="1" applyFill="1" applyBorder="1"/>
    <xf numFmtId="172" fontId="10" fillId="11" borderId="0" xfId="0" applyNumberFormat="1" applyFont="1" applyFill="1"/>
    <xf numFmtId="171" fontId="10" fillId="11" borderId="32" xfId="23" applyNumberFormat="1" applyFont="1" applyFill="1" applyBorder="1"/>
    <xf numFmtId="172" fontId="10" fillId="11" borderId="32" xfId="23" applyNumberFormat="1" applyFont="1" applyFill="1" applyBorder="1"/>
    <xf numFmtId="172" fontId="10" fillId="11" borderId="33" xfId="23" applyNumberFormat="1" applyFont="1" applyFill="1" applyBorder="1" applyAlignment="1">
      <alignment horizontal="center" vertical="center"/>
    </xf>
    <xf numFmtId="0" fontId="24" fillId="15" borderId="49" xfId="23" applyFont="1" applyFill="1" applyBorder="1" applyAlignment="1">
      <alignment horizontal="center" vertical="center" wrapText="1"/>
    </xf>
    <xf numFmtId="172" fontId="10" fillId="11" borderId="36" xfId="23" applyNumberFormat="1" applyFont="1" applyFill="1" applyBorder="1" applyAlignment="1">
      <alignment horizontal="center" vertical="center"/>
    </xf>
    <xf numFmtId="172" fontId="10" fillId="11" borderId="38" xfId="23" applyNumberFormat="1" applyFont="1" applyFill="1" applyBorder="1" applyAlignment="1">
      <alignment horizontal="center" vertical="center"/>
    </xf>
    <xf numFmtId="0" fontId="0" fillId="11" borderId="0" xfId="0" applyFill="1"/>
    <xf numFmtId="0" fontId="10" fillId="11" borderId="40" xfId="0" applyFont="1" applyFill="1" applyBorder="1" applyAlignment="1"/>
    <xf numFmtId="171" fontId="10" fillId="11" borderId="8" xfId="0" applyNumberFormat="1" applyFont="1" applyFill="1" applyBorder="1" applyAlignment="1"/>
    <xf numFmtId="172" fontId="10" fillId="11" borderId="8" xfId="0" applyNumberFormat="1" applyFont="1" applyFill="1" applyBorder="1" applyAlignment="1"/>
    <xf numFmtId="172" fontId="10" fillId="11" borderId="8" xfId="17" applyNumberFormat="1" applyFont="1" applyFill="1" applyBorder="1"/>
    <xf numFmtId="172" fontId="10" fillId="11" borderId="31" xfId="0" applyNumberFormat="1" applyFont="1" applyFill="1" applyBorder="1"/>
    <xf numFmtId="0" fontId="10" fillId="11" borderId="46" xfId="0" applyFont="1" applyFill="1" applyBorder="1" applyAlignment="1"/>
    <xf numFmtId="171" fontId="10" fillId="11" borderId="32" xfId="0" applyNumberFormat="1" applyFont="1" applyFill="1" applyBorder="1" applyAlignment="1"/>
    <xf numFmtId="172" fontId="10" fillId="11" borderId="32" xfId="0" applyNumberFormat="1" applyFont="1" applyFill="1" applyBorder="1" applyAlignment="1"/>
    <xf numFmtId="172" fontId="10" fillId="11" borderId="32" xfId="17" applyNumberFormat="1" applyFont="1" applyFill="1" applyBorder="1"/>
    <xf numFmtId="172" fontId="10" fillId="11" borderId="33" xfId="0" applyNumberFormat="1" applyFont="1" applyFill="1" applyBorder="1"/>
    <xf numFmtId="0" fontId="24" fillId="15" borderId="56" xfId="0" applyFont="1" applyFill="1" applyBorder="1" applyAlignment="1">
      <alignment horizontal="center" vertical="center" wrapText="1"/>
    </xf>
    <xf numFmtId="0" fontId="24" fillId="15" borderId="57" xfId="0" applyFont="1" applyFill="1" applyBorder="1" applyAlignment="1">
      <alignment horizontal="center" vertical="center" wrapText="1"/>
    </xf>
    <xf numFmtId="0" fontId="24" fillId="15" borderId="58" xfId="0" applyFont="1" applyFill="1" applyBorder="1" applyAlignment="1">
      <alignment horizontal="center" vertical="center" wrapText="1"/>
    </xf>
    <xf numFmtId="2" fontId="10" fillId="11" borderId="0" xfId="0" applyNumberFormat="1" applyFont="1" applyFill="1" applyBorder="1"/>
    <xf numFmtId="0" fontId="10" fillId="11" borderId="0" xfId="0" applyFont="1" applyFill="1" applyBorder="1" applyAlignment="1">
      <alignment horizontal="center"/>
    </xf>
    <xf numFmtId="172" fontId="10" fillId="11" borderId="0" xfId="0" applyNumberFormat="1" applyFont="1" applyFill="1" applyBorder="1"/>
    <xf numFmtId="0" fontId="10" fillId="11" borderId="0" xfId="0" applyFont="1" applyFill="1" applyBorder="1"/>
    <xf numFmtId="2" fontId="0" fillId="11" borderId="0" xfId="0" applyNumberFormat="1" applyFill="1"/>
    <xf numFmtId="0" fontId="0" fillId="11" borderId="0" xfId="0" applyFill="1" applyAlignment="1">
      <alignment horizontal="center"/>
    </xf>
    <xf numFmtId="171" fontId="10" fillId="11" borderId="0" xfId="0" applyNumberFormat="1" applyFont="1" applyFill="1"/>
    <xf numFmtId="181" fontId="0" fillId="11" borderId="0" xfId="0" applyNumberFormat="1" applyFill="1"/>
    <xf numFmtId="0" fontId="10" fillId="11" borderId="0" xfId="0" applyFont="1" applyFill="1" applyAlignment="1">
      <alignment horizontal="center" vertical="center"/>
    </xf>
    <xf numFmtId="2" fontId="10" fillId="11" borderId="13" xfId="0" applyNumberFormat="1" applyFont="1" applyFill="1" applyBorder="1" applyAlignment="1">
      <alignment horizontal="center" vertical="center"/>
    </xf>
    <xf numFmtId="2" fontId="10" fillId="11" borderId="0" xfId="0" applyNumberFormat="1" applyFont="1" applyFill="1" applyBorder="1" applyAlignment="1">
      <alignment horizontal="center" vertical="center"/>
    </xf>
    <xf numFmtId="2" fontId="10" fillId="11" borderId="9" xfId="0" applyNumberFormat="1" applyFont="1" applyFill="1" applyBorder="1" applyAlignment="1">
      <alignment horizontal="center" vertical="center"/>
    </xf>
    <xf numFmtId="2" fontId="10" fillId="11" borderId="8" xfId="0" applyNumberFormat="1" applyFont="1" applyFill="1" applyBorder="1" applyAlignment="1">
      <alignment horizontal="center" vertical="center"/>
    </xf>
    <xf numFmtId="172" fontId="10" fillId="11" borderId="8" xfId="0" applyNumberFormat="1" applyFont="1" applyFill="1" applyBorder="1" applyAlignment="1">
      <alignment vertical="center"/>
    </xf>
    <xf numFmtId="2" fontId="10" fillId="11" borderId="0" xfId="0" applyNumberFormat="1" applyFont="1" applyFill="1" applyBorder="1" applyAlignment="1"/>
    <xf numFmtId="0" fontId="10" fillId="11" borderId="0" xfId="0" applyFont="1" applyFill="1" applyAlignment="1">
      <alignment vertical="center"/>
    </xf>
    <xf numFmtId="0" fontId="10" fillId="11" borderId="0" xfId="0" applyFont="1" applyFill="1" applyAlignment="1"/>
    <xf numFmtId="0" fontId="24" fillId="15" borderId="45" xfId="0" applyFont="1" applyFill="1" applyBorder="1" applyAlignment="1">
      <alignment horizontal="center" vertical="center" wrapText="1"/>
    </xf>
    <xf numFmtId="172" fontId="10" fillId="11" borderId="13" xfId="17" applyNumberFormat="1" applyFont="1" applyFill="1" applyBorder="1"/>
    <xf numFmtId="172" fontId="10" fillId="11" borderId="59" xfId="17" applyNumberFormat="1" applyFont="1" applyFill="1" applyBorder="1"/>
    <xf numFmtId="171" fontId="10" fillId="11" borderId="58" xfId="0" applyNumberFormat="1" applyFont="1" applyFill="1" applyBorder="1" applyAlignment="1"/>
    <xf numFmtId="0" fontId="24" fillId="15" borderId="60" xfId="0" applyFont="1" applyFill="1" applyBorder="1" applyAlignment="1">
      <alignment horizontal="center" vertical="center" wrapText="1"/>
    </xf>
    <xf numFmtId="171" fontId="10" fillId="11" borderId="61" xfId="0" applyNumberFormat="1" applyFont="1" applyFill="1" applyBorder="1" applyAlignment="1"/>
    <xf numFmtId="0" fontId="24" fillId="15" borderId="62" xfId="0" applyFont="1" applyFill="1" applyBorder="1" applyAlignment="1">
      <alignment horizontal="center" vertical="center" wrapText="1"/>
    </xf>
    <xf numFmtId="171" fontId="10" fillId="11" borderId="63" xfId="0" applyNumberFormat="1" applyFont="1" applyFill="1" applyBorder="1" applyAlignment="1"/>
    <xf numFmtId="0" fontId="26" fillId="15" borderId="57" xfId="0" applyFont="1" applyFill="1" applyBorder="1" applyAlignment="1">
      <alignment horizontal="center" vertical="center" wrapText="1"/>
    </xf>
    <xf numFmtId="0" fontId="26" fillId="15" borderId="45" xfId="0" applyFont="1" applyFill="1" applyBorder="1" applyAlignment="1">
      <alignment horizontal="center" vertical="center" wrapText="1"/>
    </xf>
    <xf numFmtId="0" fontId="26" fillId="15" borderId="58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0" fillId="11" borderId="65" xfId="0" applyFill="1" applyBorder="1"/>
    <xf numFmtId="0" fontId="0" fillId="11" borderId="8" xfId="0" applyFill="1" applyBorder="1"/>
    <xf numFmtId="0" fontId="0" fillId="11" borderId="31" xfId="0" applyFill="1" applyBorder="1"/>
    <xf numFmtId="0" fontId="0" fillId="11" borderId="32" xfId="0" applyFill="1" applyBorder="1"/>
    <xf numFmtId="0" fontId="0" fillId="11" borderId="33" xfId="0" applyFill="1" applyBorder="1"/>
    <xf numFmtId="171" fontId="10" fillId="11" borderId="64" xfId="0" applyNumberFormat="1" applyFont="1" applyFill="1" applyBorder="1"/>
    <xf numFmtId="172" fontId="10" fillId="11" borderId="17" xfId="0" applyNumberFormat="1" applyFont="1" applyFill="1" applyBorder="1"/>
    <xf numFmtId="172" fontId="10" fillId="11" borderId="65" xfId="0" applyNumberFormat="1" applyFont="1" applyFill="1" applyBorder="1"/>
    <xf numFmtId="171" fontId="10" fillId="11" borderId="40" xfId="0" applyNumberFormat="1" applyFont="1" applyFill="1" applyBorder="1"/>
    <xf numFmtId="172" fontId="10" fillId="11" borderId="8" xfId="0" applyNumberFormat="1" applyFont="1" applyFill="1" applyBorder="1"/>
    <xf numFmtId="171" fontId="10" fillId="11" borderId="46" xfId="0" applyNumberFormat="1" applyFont="1" applyFill="1" applyBorder="1"/>
    <xf numFmtId="172" fontId="10" fillId="11" borderId="32" xfId="0" applyNumberFormat="1" applyFont="1" applyFill="1" applyBorder="1"/>
    <xf numFmtId="0" fontId="27" fillId="11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172" fontId="10" fillId="11" borderId="31" xfId="17" applyNumberFormat="1" applyFont="1" applyFill="1" applyBorder="1"/>
    <xf numFmtId="172" fontId="10" fillId="11" borderId="33" xfId="17" applyNumberFormat="1" applyFont="1" applyFill="1" applyBorder="1"/>
    <xf numFmtId="173" fontId="0" fillId="11" borderId="64" xfId="0" applyNumberFormat="1" applyFill="1" applyBorder="1"/>
    <xf numFmtId="173" fontId="0" fillId="11" borderId="17" xfId="0" applyNumberFormat="1" applyFill="1" applyBorder="1"/>
    <xf numFmtId="173" fontId="0" fillId="11" borderId="40" xfId="0" applyNumberFormat="1" applyFill="1" applyBorder="1"/>
    <xf numFmtId="173" fontId="0" fillId="11" borderId="8" xfId="0" applyNumberFormat="1" applyFill="1" applyBorder="1"/>
    <xf numFmtId="173" fontId="0" fillId="11" borderId="46" xfId="0" applyNumberFormat="1" applyFill="1" applyBorder="1"/>
    <xf numFmtId="173" fontId="0" fillId="11" borderId="32" xfId="0" applyNumberFormat="1" applyFill="1" applyBorder="1"/>
    <xf numFmtId="172" fontId="10" fillId="11" borderId="17" xfId="17" applyNumberFormat="1" applyFont="1" applyFill="1" applyBorder="1"/>
    <xf numFmtId="171" fontId="10" fillId="11" borderId="17" xfId="0" applyNumberFormat="1" applyFont="1" applyFill="1" applyBorder="1" applyAlignment="1"/>
    <xf numFmtId="171" fontId="10" fillId="11" borderId="17" xfId="0" applyNumberFormat="1" applyFont="1" applyFill="1" applyBorder="1"/>
    <xf numFmtId="0" fontId="10" fillId="11" borderId="17" xfId="0" applyFont="1" applyFill="1" applyBorder="1"/>
    <xf numFmtId="171" fontId="10" fillId="11" borderId="8" xfId="0" applyNumberFormat="1" applyFont="1" applyFill="1" applyBorder="1"/>
    <xf numFmtId="0" fontId="10" fillId="11" borderId="8" xfId="0" applyFont="1" applyFill="1" applyBorder="1"/>
    <xf numFmtId="171" fontId="10" fillId="11" borderId="32" xfId="0" applyNumberFormat="1" applyFont="1" applyFill="1" applyBorder="1"/>
    <xf numFmtId="0" fontId="10" fillId="11" borderId="32" xfId="0" applyFont="1" applyFill="1" applyBorder="1"/>
    <xf numFmtId="0" fontId="24" fillId="15" borderId="48" xfId="0" applyFont="1" applyFill="1" applyBorder="1" applyAlignment="1">
      <alignment horizontal="center" vertical="center" wrapText="1"/>
    </xf>
    <xf numFmtId="0" fontId="24" fillId="15" borderId="28" xfId="0" applyFont="1" applyFill="1" applyBorder="1" applyAlignment="1">
      <alignment horizontal="center" vertical="center" wrapText="1"/>
    </xf>
    <xf numFmtId="0" fontId="26" fillId="15" borderId="28" xfId="0" applyFont="1" applyFill="1" applyBorder="1" applyAlignment="1">
      <alignment horizontal="center" vertical="center" wrapText="1"/>
    </xf>
    <xf numFmtId="0" fontId="26" fillId="15" borderId="50" xfId="0" applyFont="1" applyFill="1" applyBorder="1" applyAlignment="1">
      <alignment horizontal="center" vertical="center" wrapText="1"/>
    </xf>
    <xf numFmtId="172" fontId="0" fillId="11" borderId="28" xfId="0" applyNumberFormat="1" applyFill="1" applyBorder="1"/>
    <xf numFmtId="172" fontId="0" fillId="11" borderId="50" xfId="0" applyNumberFormat="1" applyFill="1" applyBorder="1"/>
    <xf numFmtId="172" fontId="0" fillId="11" borderId="8" xfId="0" applyNumberFormat="1" applyFill="1" applyBorder="1"/>
    <xf numFmtId="172" fontId="0" fillId="11" borderId="31" xfId="0" applyNumberFormat="1" applyFill="1" applyBorder="1"/>
    <xf numFmtId="172" fontId="0" fillId="11" borderId="32" xfId="0" applyNumberFormat="1" applyFill="1" applyBorder="1"/>
    <xf numFmtId="172" fontId="0" fillId="11" borderId="33" xfId="0" applyNumberFormat="1" applyFill="1" applyBorder="1"/>
    <xf numFmtId="171" fontId="10" fillId="11" borderId="28" xfId="0" applyNumberFormat="1" applyFont="1" applyFill="1" applyBorder="1" applyAlignment="1"/>
    <xf numFmtId="171" fontId="10" fillId="11" borderId="28" xfId="0" applyNumberFormat="1" applyFont="1" applyFill="1" applyBorder="1"/>
    <xf numFmtId="0" fontId="10" fillId="11" borderId="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26" fillId="15" borderId="1" xfId="0" applyFont="1" applyFill="1" applyBorder="1" applyAlignment="1">
      <alignment horizontal="centerContinuous" vertical="center" wrapText="1"/>
    </xf>
    <xf numFmtId="0" fontId="26" fillId="15" borderId="2" xfId="0" applyFont="1" applyFill="1" applyBorder="1" applyAlignment="1">
      <alignment horizontal="centerContinuous" vertical="center" wrapText="1"/>
    </xf>
    <xf numFmtId="0" fontId="26" fillId="15" borderId="3" xfId="0" applyFont="1" applyFill="1" applyBorder="1" applyAlignment="1">
      <alignment horizontal="centerContinuous" vertical="center" wrapText="1"/>
    </xf>
    <xf numFmtId="0" fontId="10" fillId="11" borderId="48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46" xfId="0" applyFont="1" applyFill="1" applyBorder="1" applyAlignment="1">
      <alignment horizontal="center" vertical="center"/>
    </xf>
    <xf numFmtId="0" fontId="10" fillId="11" borderId="64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73" fontId="0" fillId="11" borderId="65" xfId="0" applyNumberFormat="1" applyFill="1" applyBorder="1"/>
    <xf numFmtId="173" fontId="0" fillId="11" borderId="31" xfId="0" applyNumberFormat="1" applyFill="1" applyBorder="1"/>
    <xf numFmtId="173" fontId="0" fillId="11" borderId="33" xfId="0" applyNumberFormat="1" applyFill="1" applyBorder="1"/>
    <xf numFmtId="0" fontId="10" fillId="11" borderId="0" xfId="0" applyFont="1" applyFill="1" applyAlignment="1">
      <alignment horizontal="center" vertical="center"/>
    </xf>
    <xf numFmtId="0" fontId="0" fillId="11" borderId="0" xfId="0" applyFill="1" applyBorder="1"/>
    <xf numFmtId="173" fontId="10" fillId="11" borderId="13" xfId="0" applyNumberFormat="1" applyFont="1" applyFill="1" applyBorder="1" applyAlignment="1">
      <alignment horizontal="center" vertical="center"/>
    </xf>
    <xf numFmtId="173" fontId="10" fillId="11" borderId="0" xfId="0" applyNumberFormat="1" applyFont="1" applyFill="1" applyBorder="1" applyAlignment="1">
      <alignment horizontal="center" vertical="center"/>
    </xf>
    <xf numFmtId="173" fontId="10" fillId="11" borderId="9" xfId="0" applyNumberFormat="1" applyFont="1" applyFill="1" applyBorder="1" applyAlignment="1">
      <alignment horizontal="center" vertical="center"/>
    </xf>
    <xf numFmtId="178" fontId="0" fillId="11" borderId="8" xfId="0" applyNumberFormat="1" applyFill="1" applyBorder="1"/>
    <xf numFmtId="172" fontId="0" fillId="0" borderId="0" xfId="0" applyNumberFormat="1"/>
    <xf numFmtId="171" fontId="0" fillId="0" borderId="0" xfId="0" applyNumberFormat="1"/>
    <xf numFmtId="172" fontId="0" fillId="11" borderId="0" xfId="0" applyNumberFormat="1" applyFill="1"/>
    <xf numFmtId="0" fontId="29" fillId="15" borderId="4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29" fillId="15" borderId="50" xfId="0" applyFont="1" applyFill="1" applyBorder="1" applyAlignment="1">
      <alignment horizontal="center" vertical="center" wrapText="1"/>
    </xf>
    <xf numFmtId="0" fontId="0" fillId="0" borderId="40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31" xfId="0" applyNumberFormat="1" applyBorder="1"/>
    <xf numFmtId="0" fontId="0" fillId="0" borderId="46" xfId="0" applyBorder="1"/>
    <xf numFmtId="171" fontId="0" fillId="0" borderId="32" xfId="0" applyNumberFormat="1" applyBorder="1"/>
    <xf numFmtId="172" fontId="0" fillId="0" borderId="32" xfId="0" applyNumberFormat="1" applyBorder="1"/>
    <xf numFmtId="0" fontId="0" fillId="0" borderId="32" xfId="0" applyBorder="1"/>
    <xf numFmtId="172" fontId="0" fillId="0" borderId="33" xfId="0" applyNumberFormat="1" applyBorder="1"/>
    <xf numFmtId="171" fontId="0" fillId="0" borderId="40" xfId="0" applyNumberFormat="1" applyBorder="1"/>
    <xf numFmtId="171" fontId="0" fillId="0" borderId="46" xfId="0" applyNumberFormat="1" applyBorder="1"/>
    <xf numFmtId="0" fontId="17" fillId="10" borderId="20" xfId="8" applyFont="1" applyFill="1" applyBorder="1" applyAlignment="1">
      <alignment horizontal="center" vertical="center" wrapText="1"/>
    </xf>
    <xf numFmtId="0" fontId="17" fillId="10" borderId="21" xfId="8" applyFont="1" applyFill="1" applyBorder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</cellXfs>
  <cellStyles count="4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1303587051618"/>
          <c:y val="5.1400554097404488E-2"/>
          <c:w val="0.83818328958880128"/>
          <c:h val="0.76329323417906092"/>
        </c:manualLayout>
      </c:layout>
      <c:lineChart>
        <c:grouping val="standard"/>
        <c:varyColors val="0"/>
        <c:ser>
          <c:idx val="0"/>
          <c:order val="0"/>
          <c:tx>
            <c:strRef>
              <c:f>SynthDepo!$AC$29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</c:numCache>
            </c:numRef>
          </c:cat>
          <c:val>
            <c:numRef>
              <c:f>SynthDepo!$AC$30:$AC$128</c:f>
              <c:numCache>
                <c:formatCode>0.0000%</c:formatCode>
                <c:ptCount val="99"/>
                <c:pt idx="0">
                  <c:v>1.4779553494261878E-3</c:v>
                </c:pt>
                <c:pt idx="1">
                  <c:v>1.4779553494261878E-3</c:v>
                </c:pt>
                <c:pt idx="2">
                  <c:v>1.4779553494261878E-3</c:v>
                </c:pt>
                <c:pt idx="3">
                  <c:v>1.4779553494261878E-3</c:v>
                </c:pt>
                <c:pt idx="4">
                  <c:v>1.4779553494261878E-3</c:v>
                </c:pt>
                <c:pt idx="5">
                  <c:v>1.4779553494261878E-3</c:v>
                </c:pt>
                <c:pt idx="6">
                  <c:v>1.4779553494261878E-3</c:v>
                </c:pt>
                <c:pt idx="7">
                  <c:v>1.4779553494261878E-3</c:v>
                </c:pt>
                <c:pt idx="8">
                  <c:v>1.4779553494261878E-3</c:v>
                </c:pt>
                <c:pt idx="9">
                  <c:v>1.4779553494261878E-3</c:v>
                </c:pt>
                <c:pt idx="10">
                  <c:v>1.4779553494261878E-3</c:v>
                </c:pt>
                <c:pt idx="11">
                  <c:v>1.4779553494261878E-3</c:v>
                </c:pt>
                <c:pt idx="12">
                  <c:v>1.4779553494261878E-3</c:v>
                </c:pt>
                <c:pt idx="13">
                  <c:v>1.4779553494261878E-3</c:v>
                </c:pt>
                <c:pt idx="14">
                  <c:v>1.4779553494261878E-3</c:v>
                </c:pt>
                <c:pt idx="15">
                  <c:v>1.4779553494261878E-3</c:v>
                </c:pt>
                <c:pt idx="16">
                  <c:v>1.4779553494261878E-3</c:v>
                </c:pt>
                <c:pt idx="17">
                  <c:v>1.4779553494261878E-3</c:v>
                </c:pt>
                <c:pt idx="18">
                  <c:v>1.4779553494261878E-3</c:v>
                </c:pt>
                <c:pt idx="19">
                  <c:v>1.4779553494261878E-3</c:v>
                </c:pt>
                <c:pt idx="20">
                  <c:v>1.4779553494261878E-3</c:v>
                </c:pt>
                <c:pt idx="21">
                  <c:v>1.4779553494261878E-3</c:v>
                </c:pt>
                <c:pt idx="22">
                  <c:v>1.4779553494261878E-3</c:v>
                </c:pt>
                <c:pt idx="23">
                  <c:v>1.4779553494261878E-3</c:v>
                </c:pt>
                <c:pt idx="24">
                  <c:v>1.4779553494261878E-3</c:v>
                </c:pt>
                <c:pt idx="25">
                  <c:v>1.4779553494261878E-3</c:v>
                </c:pt>
                <c:pt idx="26">
                  <c:v>1.4779553494261878E-3</c:v>
                </c:pt>
                <c:pt idx="27">
                  <c:v>1.4779553494261878E-3</c:v>
                </c:pt>
                <c:pt idx="28">
                  <c:v>1.4779553494261878E-3</c:v>
                </c:pt>
                <c:pt idx="29">
                  <c:v>1.4779553494261878E-3</c:v>
                </c:pt>
                <c:pt idx="30">
                  <c:v>1.4779553494261878E-3</c:v>
                </c:pt>
                <c:pt idx="31">
                  <c:v>1.4779553494261878E-3</c:v>
                </c:pt>
                <c:pt idx="32">
                  <c:v>1.4779553494261878E-3</c:v>
                </c:pt>
                <c:pt idx="33">
                  <c:v>1.4779553494261878E-3</c:v>
                </c:pt>
                <c:pt idx="34">
                  <c:v>1.4779553494261878E-3</c:v>
                </c:pt>
                <c:pt idx="35">
                  <c:v>1.4779553494261878E-3</c:v>
                </c:pt>
                <c:pt idx="36">
                  <c:v>1.4779553494261878E-3</c:v>
                </c:pt>
                <c:pt idx="37">
                  <c:v>1.4779553494261878E-3</c:v>
                </c:pt>
                <c:pt idx="38">
                  <c:v>1.4779553494261878E-3</c:v>
                </c:pt>
                <c:pt idx="39">
                  <c:v>1.4779553494261878E-3</c:v>
                </c:pt>
                <c:pt idx="40">
                  <c:v>1.4779553494261878E-3</c:v>
                </c:pt>
                <c:pt idx="41">
                  <c:v>1.4779553494261878E-3</c:v>
                </c:pt>
                <c:pt idx="42">
                  <c:v>1.4779553494261878E-3</c:v>
                </c:pt>
                <c:pt idx="43">
                  <c:v>1.4779553494261878E-3</c:v>
                </c:pt>
                <c:pt idx="44">
                  <c:v>1.4779553494261878E-3</c:v>
                </c:pt>
                <c:pt idx="45">
                  <c:v>1.4779553494261878E-3</c:v>
                </c:pt>
                <c:pt idx="46">
                  <c:v>1.4779553494261878E-3</c:v>
                </c:pt>
                <c:pt idx="47">
                  <c:v>1.4779553494261878E-3</c:v>
                </c:pt>
                <c:pt idx="48">
                  <c:v>1.4779553494261878E-3</c:v>
                </c:pt>
                <c:pt idx="49">
                  <c:v>1.4779553494261878E-3</c:v>
                </c:pt>
                <c:pt idx="50">
                  <c:v>1.4779553494261878E-3</c:v>
                </c:pt>
                <c:pt idx="51">
                  <c:v>1.4779553494261878E-3</c:v>
                </c:pt>
                <c:pt idx="52">
                  <c:v>1.4779553494261878E-3</c:v>
                </c:pt>
                <c:pt idx="53">
                  <c:v>1.4779553494261878E-3</c:v>
                </c:pt>
                <c:pt idx="54">
                  <c:v>1.4779553494261878E-3</c:v>
                </c:pt>
                <c:pt idx="55">
                  <c:v>1.4779553494261878E-3</c:v>
                </c:pt>
                <c:pt idx="56">
                  <c:v>1.4779553494261878E-3</c:v>
                </c:pt>
                <c:pt idx="57">
                  <c:v>1.4779553494261878E-3</c:v>
                </c:pt>
                <c:pt idx="58">
                  <c:v>1.4779553494261878E-3</c:v>
                </c:pt>
                <c:pt idx="59">
                  <c:v>1.4779553494261878E-3</c:v>
                </c:pt>
                <c:pt idx="60">
                  <c:v>1.4779553494261878E-3</c:v>
                </c:pt>
                <c:pt idx="61">
                  <c:v>1.4779553494261878E-3</c:v>
                </c:pt>
                <c:pt idx="62">
                  <c:v>1.4779553494261878E-3</c:v>
                </c:pt>
                <c:pt idx="63">
                  <c:v>1.4779553494261878E-3</c:v>
                </c:pt>
                <c:pt idx="64">
                  <c:v>1.4779553494261878E-3</c:v>
                </c:pt>
                <c:pt idx="65">
                  <c:v>1.4779553494261878E-3</c:v>
                </c:pt>
                <c:pt idx="66">
                  <c:v>1.4779553494261878E-3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SynthDepo!$AD$29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</c:numCache>
            </c:numRef>
          </c:cat>
          <c:val>
            <c:numRef>
              <c:f>SynthDepo!$AD$30:$AD$128</c:f>
              <c:numCache>
                <c:formatCode>0.0000%</c:formatCode>
                <c:ptCount val="99"/>
                <c:pt idx="0">
                  <c:v>1.6922973657627482E-3</c:v>
                </c:pt>
                <c:pt idx="1">
                  <c:v>1.685456663113709E-3</c:v>
                </c:pt>
                <c:pt idx="2">
                  <c:v>1.6831764288973627E-3</c:v>
                </c:pt>
                <c:pt idx="3">
                  <c:v>1.6808961946810162E-3</c:v>
                </c:pt>
                <c:pt idx="4">
                  <c:v>1.6786159604646699E-3</c:v>
                </c:pt>
                <c:pt idx="5">
                  <c:v>1.6763357262483233E-3</c:v>
                </c:pt>
                <c:pt idx="6">
                  <c:v>1.6694950235992842E-3</c:v>
                </c:pt>
                <c:pt idx="7">
                  <c:v>1.6672147893829379E-3</c:v>
                </c:pt>
                <c:pt idx="8">
                  <c:v>1.6649345551665916E-3</c:v>
                </c:pt>
                <c:pt idx="9">
                  <c:v>1.6626543209502451E-3</c:v>
                </c:pt>
                <c:pt idx="10">
                  <c:v>1.6603740867338988E-3</c:v>
                </c:pt>
                <c:pt idx="11">
                  <c:v>1.6535333840848596E-3</c:v>
                </c:pt>
                <c:pt idx="12">
                  <c:v>1.6512531498685131E-3</c:v>
                </c:pt>
                <c:pt idx="13">
                  <c:v>1.6489729156521668E-3</c:v>
                </c:pt>
                <c:pt idx="14">
                  <c:v>1.6466926814358205E-3</c:v>
                </c:pt>
                <c:pt idx="15">
                  <c:v>1.644412447219474E-3</c:v>
                </c:pt>
                <c:pt idx="16">
                  <c:v>1.6375717445704348E-3</c:v>
                </c:pt>
                <c:pt idx="17">
                  <c:v>1.6352915103540885E-3</c:v>
                </c:pt>
                <c:pt idx="18">
                  <c:v>1.6330112761377422E-3</c:v>
                </c:pt>
                <c:pt idx="19">
                  <c:v>1.6307310419213957E-3</c:v>
                </c:pt>
                <c:pt idx="20">
                  <c:v>1.6284508077050494E-3</c:v>
                </c:pt>
                <c:pt idx="21">
                  <c:v>1.6216101050560102E-3</c:v>
                </c:pt>
                <c:pt idx="22">
                  <c:v>1.6193298708396637E-3</c:v>
                </c:pt>
                <c:pt idx="23">
                  <c:v>1.6170496366233174E-3</c:v>
                </c:pt>
                <c:pt idx="24">
                  <c:v>1.6147694024069711E-3</c:v>
                </c:pt>
                <c:pt idx="25">
                  <c:v>1.6124891681906246E-3</c:v>
                </c:pt>
                <c:pt idx="26">
                  <c:v>1.6056484655415854E-3</c:v>
                </c:pt>
                <c:pt idx="27">
                  <c:v>1.6033682313252391E-3</c:v>
                </c:pt>
                <c:pt idx="28">
                  <c:v>1.6010879971088926E-3</c:v>
                </c:pt>
                <c:pt idx="29">
                  <c:v>1.5988077628925463E-3</c:v>
                </c:pt>
                <c:pt idx="30">
                  <c:v>1.5965275286762E-3</c:v>
                </c:pt>
                <c:pt idx="31">
                  <c:v>1.5896868260271608E-3</c:v>
                </c:pt>
                <c:pt idx="32">
                  <c:v>1.5874065918108143E-3</c:v>
                </c:pt>
                <c:pt idx="33">
                  <c:v>1.585126357594468E-3</c:v>
                </c:pt>
                <c:pt idx="34">
                  <c:v>1.5828461233781217E-3</c:v>
                </c:pt>
                <c:pt idx="35">
                  <c:v>1.5805658891617752E-3</c:v>
                </c:pt>
                <c:pt idx="36">
                  <c:v>1.573725186512736E-3</c:v>
                </c:pt>
                <c:pt idx="37">
                  <c:v>1.5714449522963897E-3</c:v>
                </c:pt>
                <c:pt idx="38">
                  <c:v>1.5691647180800432E-3</c:v>
                </c:pt>
                <c:pt idx="39">
                  <c:v>1.5668844838636969E-3</c:v>
                </c:pt>
                <c:pt idx="40">
                  <c:v>1.5646042496473506E-3</c:v>
                </c:pt>
                <c:pt idx="41">
                  <c:v>1.5577635469983114E-3</c:v>
                </c:pt>
                <c:pt idx="42">
                  <c:v>1.5554833127819649E-3</c:v>
                </c:pt>
                <c:pt idx="43">
                  <c:v>1.5532030785656186E-3</c:v>
                </c:pt>
                <c:pt idx="44">
                  <c:v>1.5509228443492721E-3</c:v>
                </c:pt>
                <c:pt idx="45">
                  <c:v>1.5486426101329258E-3</c:v>
                </c:pt>
                <c:pt idx="46">
                  <c:v>1.5418019074838866E-3</c:v>
                </c:pt>
                <c:pt idx="47">
                  <c:v>1.5395216732675403E-3</c:v>
                </c:pt>
                <c:pt idx="48">
                  <c:v>1.5372414390511938E-3</c:v>
                </c:pt>
                <c:pt idx="49">
                  <c:v>1.5349612048348475E-3</c:v>
                </c:pt>
                <c:pt idx="50">
                  <c:v>1.5326809706185012E-3</c:v>
                </c:pt>
                <c:pt idx="51">
                  <c:v>1.5258402679694618E-3</c:v>
                </c:pt>
                <c:pt idx="52">
                  <c:v>1.5235600337531155E-3</c:v>
                </c:pt>
                <c:pt idx="53">
                  <c:v>1.5212797995367692E-3</c:v>
                </c:pt>
                <c:pt idx="54">
                  <c:v>1.5189995653204227E-3</c:v>
                </c:pt>
                <c:pt idx="55">
                  <c:v>1.5167193311040764E-3</c:v>
                </c:pt>
                <c:pt idx="56">
                  <c:v>1.5098786284550372E-3</c:v>
                </c:pt>
                <c:pt idx="57">
                  <c:v>1.5075983942386909E-3</c:v>
                </c:pt>
                <c:pt idx="58">
                  <c:v>1.5053181600223444E-3</c:v>
                </c:pt>
                <c:pt idx="59">
                  <c:v>1.5030379258059981E-3</c:v>
                </c:pt>
                <c:pt idx="60">
                  <c:v>1.5007576915896516E-3</c:v>
                </c:pt>
                <c:pt idx="61">
                  <c:v>1.4939169889406124E-3</c:v>
                </c:pt>
                <c:pt idx="62">
                  <c:v>1.4916367547242661E-3</c:v>
                </c:pt>
                <c:pt idx="63">
                  <c:v>1.4893565205079198E-3</c:v>
                </c:pt>
                <c:pt idx="64">
                  <c:v>1.4870762862915733E-3</c:v>
                </c:pt>
                <c:pt idx="65">
                  <c:v>1.484796052075227E-3</c:v>
                </c:pt>
                <c:pt idx="66">
                  <c:v>1.4779553494261878E-3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SynthDepo!$AE$29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</c:numCache>
            </c:numRef>
          </c:cat>
          <c:val>
            <c:numRef>
              <c:f>SynthDepo!$AE$30:$AE$128</c:f>
              <c:numCache>
                <c:formatCode>0.0000%</c:formatCode>
                <c:ptCount val="99"/>
                <c:pt idx="0">
                  <c:v>1.8556561438108474E-3</c:v>
                </c:pt>
                <c:pt idx="1">
                  <c:v>1.8175584931696225E-3</c:v>
                </c:pt>
                <c:pt idx="2">
                  <c:v>1.8051718816366449E-3</c:v>
                </c:pt>
                <c:pt idx="3">
                  <c:v>1.7929415727773825E-3</c:v>
                </c:pt>
                <c:pt idx="4">
                  <c:v>1.7808675665918355E-3</c:v>
                </c:pt>
                <c:pt idx="5">
                  <c:v>1.7689498630800039E-3</c:v>
                </c:pt>
                <c:pt idx="6">
                  <c:v>1.7341345685868014E-3</c:v>
                </c:pt>
                <c:pt idx="7">
                  <c:v>1.722842075769831E-3</c:v>
                </c:pt>
                <c:pt idx="8">
                  <c:v>1.711705885626576E-3</c:v>
                </c:pt>
                <c:pt idx="9">
                  <c:v>1.7007259981570368E-3</c:v>
                </c:pt>
                <c:pt idx="10">
                  <c:v>1.6899024133612125E-3</c:v>
                </c:pt>
                <c:pt idx="11">
                  <c:v>1.6583694750160317E-3</c:v>
                </c:pt>
                <c:pt idx="12">
                  <c:v>1.6481711009150688E-3</c:v>
                </c:pt>
                <c:pt idx="13">
                  <c:v>1.6381290294878214E-3</c:v>
                </c:pt>
                <c:pt idx="14">
                  <c:v>1.6282432607342893E-3</c:v>
                </c:pt>
                <c:pt idx="15">
                  <c:v>1.6185137946544725E-3</c:v>
                </c:pt>
                <c:pt idx="16">
                  <c:v>1.5902632124573141E-3</c:v>
                </c:pt>
                <c:pt idx="17">
                  <c:v>1.5811589570723585E-3</c:v>
                </c:pt>
                <c:pt idx="18">
                  <c:v>1.5722110043611182E-3</c:v>
                </c:pt>
                <c:pt idx="19">
                  <c:v>1.5634193543235936E-3</c:v>
                </c:pt>
                <c:pt idx="20">
                  <c:v>1.5547840069597841E-3</c:v>
                </c:pt>
                <c:pt idx="21">
                  <c:v>1.5298157809106479E-3</c:v>
                </c:pt>
                <c:pt idx="22">
                  <c:v>1.5218056442416997E-3</c:v>
                </c:pt>
                <c:pt idx="23">
                  <c:v>1.5139518102464669E-3</c:v>
                </c:pt>
                <c:pt idx="24">
                  <c:v>1.5062542789249496E-3</c:v>
                </c:pt>
                <c:pt idx="25">
                  <c:v>1.4987130502771475E-3</c:v>
                </c:pt>
                <c:pt idx="26">
                  <c:v>1.4770271803760332E-3</c:v>
                </c:pt>
                <c:pt idx="27">
                  <c:v>1.4701111624230926E-3</c:v>
                </c:pt>
                <c:pt idx="28">
                  <c:v>1.4633514471438672E-3</c:v>
                </c:pt>
                <c:pt idx="29">
                  <c:v>1.4567480345383571E-3</c:v>
                </c:pt>
                <c:pt idx="30">
                  <c:v>1.4503009246065626E-3</c:v>
                </c:pt>
                <c:pt idx="31">
                  <c:v>1.4318974108534707E-3</c:v>
                </c:pt>
                <c:pt idx="32">
                  <c:v>1.4260755116165373E-3</c:v>
                </c:pt>
                <c:pt idx="33">
                  <c:v>1.4204099150533192E-3</c:v>
                </c:pt>
                <c:pt idx="34">
                  <c:v>1.4149006211638165E-3</c:v>
                </c:pt>
                <c:pt idx="35">
                  <c:v>1.4095476299480292E-3</c:v>
                </c:pt>
                <c:pt idx="36">
                  <c:v>1.3944264723429595E-3</c:v>
                </c:pt>
                <c:pt idx="37">
                  <c:v>1.3896986918220334E-3</c:v>
                </c:pt>
                <c:pt idx="38">
                  <c:v>1.3851272139748228E-3</c:v>
                </c:pt>
                <c:pt idx="39">
                  <c:v>1.3807120388013277E-3</c:v>
                </c:pt>
                <c:pt idx="40">
                  <c:v>1.3764531663015478E-3</c:v>
                </c:pt>
                <c:pt idx="41">
                  <c:v>1.3646143648445E-3</c:v>
                </c:pt>
                <c:pt idx="42">
                  <c:v>1.3609807030395813E-3</c:v>
                </c:pt>
                <c:pt idx="43">
                  <c:v>1.3575033439083783E-3</c:v>
                </c:pt>
                <c:pt idx="44">
                  <c:v>1.3541822874508901E-3</c:v>
                </c:pt>
                <c:pt idx="45">
                  <c:v>1.3510175336671178E-3</c:v>
                </c:pt>
                <c:pt idx="46">
                  <c:v>1.3424610883580924E-3</c:v>
                </c:pt>
                <c:pt idx="47">
                  <c:v>1.3399215452691811E-3</c:v>
                </c:pt>
                <c:pt idx="48">
                  <c:v>1.3375383048539852E-3</c:v>
                </c:pt>
                <c:pt idx="49">
                  <c:v>1.3353113671125047E-3</c:v>
                </c:pt>
                <c:pt idx="50">
                  <c:v>1.3332407320447396E-3</c:v>
                </c:pt>
                <c:pt idx="51">
                  <c:v>1.3279666428837361E-3</c:v>
                </c:pt>
                <c:pt idx="52">
                  <c:v>1.3265212185108325E-3</c:v>
                </c:pt>
                <c:pt idx="53">
                  <c:v>1.325232096811644E-3</c:v>
                </c:pt>
                <c:pt idx="54">
                  <c:v>1.3240992777861708E-3</c:v>
                </c:pt>
                <c:pt idx="55">
                  <c:v>1.3231227614344131E-3</c:v>
                </c:pt>
                <c:pt idx="56">
                  <c:v>1.3211310284214318E-3</c:v>
                </c:pt>
                <c:pt idx="57">
                  <c:v>1.3207797227645355E-3</c:v>
                </c:pt>
                <c:pt idx="58">
                  <c:v>1.3205847197813544E-3</c:v>
                </c:pt>
                <c:pt idx="59">
                  <c:v>1.3205460194718886E-3</c:v>
                </c:pt>
                <c:pt idx="60">
                  <c:v>1.3206636218361383E-3</c:v>
                </c:pt>
                <c:pt idx="61">
                  <c:v>1.3219542449711789E-3</c:v>
                </c:pt>
                <c:pt idx="62">
                  <c:v>1.3226970580302901E-3</c:v>
                </c:pt>
                <c:pt idx="63">
                  <c:v>1.3235961737631165E-3</c:v>
                </c:pt>
                <c:pt idx="64">
                  <c:v>1.324651592169658E-3</c:v>
                </c:pt>
                <c:pt idx="65">
                  <c:v>1.3258633132499152E-3</c:v>
                </c:pt>
                <c:pt idx="66">
                  <c:v>1.3304362925329783E-3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457984"/>
        <c:axId val="518316416"/>
      </c:lineChart>
      <c:dateAx>
        <c:axId val="518457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18316416"/>
        <c:crosses val="autoZero"/>
        <c:auto val="1"/>
        <c:lblOffset val="100"/>
        <c:baseTimeUnit val="days"/>
        <c:majorUnit val="1"/>
        <c:majorTimeUnit val="months"/>
      </c:dateAx>
      <c:valAx>
        <c:axId val="518316416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845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61067366579174"/>
          <c:y val="0.56886847477398661"/>
          <c:w val="0.19494488188976378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2532808398948E-2"/>
          <c:y val="4.4835137795275593E-2"/>
          <c:w val="0.87582112131816858"/>
          <c:h val="0.78842960797471506"/>
        </c:manualLayout>
      </c:layout>
      <c:lineChart>
        <c:grouping val="standard"/>
        <c:varyColors val="0"/>
        <c:ser>
          <c:idx val="0"/>
          <c:order val="0"/>
          <c:tx>
            <c:strRef>
              <c:f>FRACharts!$I$10</c:f>
              <c:strCache>
                <c:ptCount val="1"/>
                <c:pt idx="0">
                  <c:v>Synt FRA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(FRACharts!$D$12:$D$22,FRACharts!$D$24:$D$34,FRACharts!$D$36:$D$46,FRACharts!$D$48:$D$58)</c:f>
              <c:numCache>
                <c:formatCode>ddd\,\ dd\-mmm\-yyyy</c:formatCode>
                <c:ptCount val="44"/>
                <c:pt idx="0">
                  <c:v>41897</c:v>
                </c:pt>
                <c:pt idx="1">
                  <c:v>41927</c:v>
                </c:pt>
                <c:pt idx="2">
                  <c:v>41960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42109</c:v>
                </c:pt>
                <c:pt idx="8">
                  <c:v>42139</c:v>
                </c:pt>
                <c:pt idx="9">
                  <c:v>42170</c:v>
                </c:pt>
                <c:pt idx="10">
                  <c:v>42200</c:v>
                </c:pt>
                <c:pt idx="11">
                  <c:v>42262</c:v>
                </c:pt>
                <c:pt idx="12">
                  <c:v>42292</c:v>
                </c:pt>
                <c:pt idx="13">
                  <c:v>42324</c:v>
                </c:pt>
                <c:pt idx="14">
                  <c:v>42353</c:v>
                </c:pt>
                <c:pt idx="15">
                  <c:v>42384</c:v>
                </c:pt>
                <c:pt idx="16">
                  <c:v>42415</c:v>
                </c:pt>
                <c:pt idx="17">
                  <c:v>42444</c:v>
                </c:pt>
                <c:pt idx="18">
                  <c:v>42475</c:v>
                </c:pt>
                <c:pt idx="19">
                  <c:v>42506</c:v>
                </c:pt>
                <c:pt idx="20">
                  <c:v>42536</c:v>
                </c:pt>
                <c:pt idx="21">
                  <c:v>42566</c:v>
                </c:pt>
                <c:pt idx="22">
                  <c:v>42628</c:v>
                </c:pt>
                <c:pt idx="23">
                  <c:v>42660</c:v>
                </c:pt>
                <c:pt idx="24">
                  <c:v>42689</c:v>
                </c:pt>
                <c:pt idx="25">
                  <c:v>42719</c:v>
                </c:pt>
                <c:pt idx="26">
                  <c:v>42751</c:v>
                </c:pt>
                <c:pt idx="27">
                  <c:v>42781</c:v>
                </c:pt>
                <c:pt idx="28">
                  <c:v>42809</c:v>
                </c:pt>
                <c:pt idx="29">
                  <c:v>42843</c:v>
                </c:pt>
                <c:pt idx="30">
                  <c:v>42870</c:v>
                </c:pt>
                <c:pt idx="31">
                  <c:v>42901</c:v>
                </c:pt>
                <c:pt idx="32">
                  <c:v>42933</c:v>
                </c:pt>
                <c:pt idx="33">
                  <c:v>42993</c:v>
                </c:pt>
                <c:pt idx="34">
                  <c:v>43024</c:v>
                </c:pt>
                <c:pt idx="35">
                  <c:v>43054</c:v>
                </c:pt>
                <c:pt idx="36">
                  <c:v>43084</c:v>
                </c:pt>
                <c:pt idx="37">
                  <c:v>43115</c:v>
                </c:pt>
                <c:pt idx="38">
                  <c:v>43146</c:v>
                </c:pt>
                <c:pt idx="39">
                  <c:v>43174</c:v>
                </c:pt>
                <c:pt idx="40">
                  <c:v>43206</c:v>
                </c:pt>
                <c:pt idx="41">
                  <c:v>43235</c:v>
                </c:pt>
                <c:pt idx="42">
                  <c:v>43266</c:v>
                </c:pt>
                <c:pt idx="43">
                  <c:v>43297</c:v>
                </c:pt>
              </c:numCache>
            </c:numRef>
          </c:cat>
          <c:val>
            <c:numRef>
              <c:f>(FRACharts!$I$12:$I$22,FRACharts!$I$24:$I$34,FRACharts!$I$36:$I$46,FRACharts!$I$48:$I$58)</c:f>
              <c:numCache>
                <c:formatCode>0.0000%</c:formatCode>
                <c:ptCount val="44"/>
                <c:pt idx="0">
                  <c:v>4.7700661411049939E-3</c:v>
                </c:pt>
                <c:pt idx="1">
                  <c:v>4.7515568028134595E-3</c:v>
                </c:pt>
                <c:pt idx="2">
                  <c:v>4.7396889879977432E-3</c:v>
                </c:pt>
                <c:pt idx="3">
                  <c:v>4.7382947299897012E-3</c:v>
                </c:pt>
                <c:pt idx="4">
                  <c:v>4.7409566804829774E-3</c:v>
                </c:pt>
                <c:pt idx="5">
                  <c:v>4.7354559024513111E-3</c:v>
                </c:pt>
                <c:pt idx="6">
                  <c:v>4.7459620043513442E-3</c:v>
                </c:pt>
                <c:pt idx="7">
                  <c:v>4.7765964932973146E-3</c:v>
                </c:pt>
                <c:pt idx="8">
                  <c:v>4.8164173191503441E-3</c:v>
                </c:pt>
                <c:pt idx="9">
                  <c:v>4.8794754983958995E-3</c:v>
                </c:pt>
                <c:pt idx="10">
                  <c:v>4.9383818223575852E-3</c:v>
                </c:pt>
                <c:pt idx="11">
                  <c:v>5.1446630132367475E-3</c:v>
                </c:pt>
                <c:pt idx="12">
                  <c:v>5.2894906890553163E-3</c:v>
                </c:pt>
                <c:pt idx="13">
                  <c:v>5.433394050819578E-3</c:v>
                </c:pt>
                <c:pt idx="14">
                  <c:v>5.5531179599257238E-3</c:v>
                </c:pt>
                <c:pt idx="15">
                  <c:v>5.6834582938863603E-3</c:v>
                </c:pt>
                <c:pt idx="16">
                  <c:v>5.8112493961860624E-3</c:v>
                </c:pt>
                <c:pt idx="17">
                  <c:v>5.9154011710082204E-3</c:v>
                </c:pt>
                <c:pt idx="18">
                  <c:v>6.031980065765382E-3</c:v>
                </c:pt>
                <c:pt idx="19">
                  <c:v>6.1445746360823082E-3</c:v>
                </c:pt>
                <c:pt idx="20">
                  <c:v>6.2393291505778601E-3</c:v>
                </c:pt>
                <c:pt idx="21">
                  <c:v>6.3360222212636803E-3</c:v>
                </c:pt>
                <c:pt idx="22">
                  <c:v>6.639818956233931E-3</c:v>
                </c:pt>
                <c:pt idx="23">
                  <c:v>6.8510723261093424E-3</c:v>
                </c:pt>
                <c:pt idx="24">
                  <c:v>7.0436982688492755E-3</c:v>
                </c:pt>
                <c:pt idx="25">
                  <c:v>7.2438428722524009E-3</c:v>
                </c:pt>
                <c:pt idx="26">
                  <c:v>7.4579744439444307E-3</c:v>
                </c:pt>
                <c:pt idx="27">
                  <c:v>7.6590058479533846E-3</c:v>
                </c:pt>
                <c:pt idx="28">
                  <c:v>7.8466083864149657E-3</c:v>
                </c:pt>
                <c:pt idx="29">
                  <c:v>8.0740132699437667E-3</c:v>
                </c:pt>
                <c:pt idx="30">
                  <c:v>8.2540136788414216E-3</c:v>
                </c:pt>
                <c:pt idx="31">
                  <c:v>8.4597312837310056E-3</c:v>
                </c:pt>
                <c:pt idx="32">
                  <c:v>8.6706802526084654E-3</c:v>
                </c:pt>
                <c:pt idx="33">
                  <c:v>9.1432212149377481E-3</c:v>
                </c:pt>
                <c:pt idx="34">
                  <c:v>9.3954275791548678E-3</c:v>
                </c:pt>
                <c:pt idx="35">
                  <c:v>9.6519392757855437E-3</c:v>
                </c:pt>
                <c:pt idx="36">
                  <c:v>9.9176410657655142E-3</c:v>
                </c:pt>
                <c:pt idx="37">
                  <c:v>1.0169476546966039E-2</c:v>
                </c:pt>
                <c:pt idx="38">
                  <c:v>1.0430748495225153E-2</c:v>
                </c:pt>
                <c:pt idx="39">
                  <c:v>1.0665919792036266E-2</c:v>
                </c:pt>
                <c:pt idx="40">
                  <c:v>1.0933906562113356E-2</c:v>
                </c:pt>
                <c:pt idx="41">
                  <c:v>1.1176202147415193E-2</c:v>
                </c:pt>
                <c:pt idx="42">
                  <c:v>1.1437519693685599E-2</c:v>
                </c:pt>
                <c:pt idx="43">
                  <c:v>1.1693071994383112E-2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305792"/>
        <c:axId val="554312064"/>
      </c:lineChart>
      <c:scatterChart>
        <c:scatterStyle val="lineMarker"/>
        <c:varyColors val="0"/>
        <c:ser>
          <c:idx val="1"/>
          <c:order val="1"/>
          <c:tx>
            <c:v>Swap Implied FRA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(FRACharts!$D$35,FRACharts!$D$47,FRACharts!$D$59)</c:f>
              <c:numCache>
                <c:formatCode>ddd\,\ dd\-mmm\-yyyy</c:formatCode>
                <c:ptCount val="3"/>
                <c:pt idx="0">
                  <c:v>42597</c:v>
                </c:pt>
                <c:pt idx="1">
                  <c:v>42962</c:v>
                </c:pt>
                <c:pt idx="2">
                  <c:v>43327</c:v>
                </c:pt>
              </c:numCache>
            </c:numRef>
          </c:xVal>
          <c:yVal>
            <c:numRef>
              <c:f>(FRACharts!$I$35,FRACharts!$I$47,FRACharts!$I$59)</c:f>
              <c:numCache>
                <c:formatCode>0.0000%</c:formatCode>
                <c:ptCount val="3"/>
                <c:pt idx="0">
                  <c:v>6.4368040383574205E-3</c:v>
                </c:pt>
                <c:pt idx="1">
                  <c:v>8.860315170137887E-3</c:v>
                </c:pt>
                <c:pt idx="2">
                  <c:v>1.1942933566824252E-2</c:v>
                </c:pt>
              </c:numCache>
            </c:numRef>
          </c:yVal>
          <c:smooth val="0"/>
        </c:ser>
        <c:ser>
          <c:idx val="2"/>
          <c:order val="2"/>
          <c:tx>
            <c:v>Market 12x24 FRA</c:v>
          </c:tx>
          <c:spPr>
            <a:ln w="28575">
              <a:noFill/>
            </a:ln>
          </c:spPr>
          <c:marker>
            <c:symbol val="diamond"/>
            <c:size val="7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Pt>
            <c:idx val="0"/>
            <c:marker>
              <c:spPr>
                <a:blipFill>
                  <a:blip xmlns:r="http://schemas.openxmlformats.org/officeDocument/2006/relationships" r:embed="rId1"/>
                  <a:tile tx="0" ty="0" sx="100000" sy="100000" flip="none" algn="tl"/>
                </a:blipFill>
                <a:ln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FRACharts!$D$23</c:f>
              <c:numCache>
                <c:formatCode>ddd\,\ dd\-mmm\-yyyy</c:formatCode>
                <c:ptCount val="1"/>
                <c:pt idx="0">
                  <c:v>42233</c:v>
                </c:pt>
              </c:numCache>
            </c:numRef>
          </c:xVal>
          <c:yVal>
            <c:numRef>
              <c:f>FRACharts!$I$23</c:f>
              <c:numCache>
                <c:formatCode>0.0000%</c:formatCode>
                <c:ptCount val="1"/>
                <c:pt idx="0">
                  <c:v>5.0099932807813052E-3</c:v>
                </c:pt>
              </c:numCache>
            </c:numRef>
          </c:yVal>
          <c:smooth val="0"/>
        </c:ser>
        <c:ser>
          <c:idx val="3"/>
          <c:order val="3"/>
          <c:tx>
            <c:v>12M Libor Fixing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</c:spPr>
          </c:marker>
          <c:xVal>
            <c:numRef>
              <c:f>FRACharts!$D$11</c:f>
              <c:numCache>
                <c:formatCode>ddd\,\ dd\-mmm\-yyyy</c:formatCode>
                <c:ptCount val="1"/>
                <c:pt idx="0">
                  <c:v>41866</c:v>
                </c:pt>
              </c:numCache>
            </c:numRef>
          </c:xVal>
          <c:yVal>
            <c:numRef>
              <c:f>FRACharts!$I$11</c:f>
              <c:numCache>
                <c:formatCode>0.0000%</c:formatCode>
                <c:ptCount val="1"/>
                <c:pt idx="0">
                  <c:v>4.7899999999999531E-3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315136"/>
        <c:axId val="554313600"/>
      </c:scatterChart>
      <c:dateAx>
        <c:axId val="554305792"/>
        <c:scaling>
          <c:orientation val="minMax"/>
          <c:min val="41852"/>
        </c:scaling>
        <c:delete val="0"/>
        <c:axPos val="b"/>
        <c:numFmt formatCode="[$-409]mmm\-yy;@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54312064"/>
        <c:crosses val="autoZero"/>
        <c:auto val="1"/>
        <c:lblOffset val="100"/>
        <c:baseTimeUnit val="months"/>
      </c:dateAx>
      <c:valAx>
        <c:axId val="554312064"/>
        <c:scaling>
          <c:orientation val="minMax"/>
        </c:scaling>
        <c:delete val="0"/>
        <c:axPos val="l"/>
        <c:majorGridlines/>
        <c:numFmt formatCode="0.00%" sourceLinked="0"/>
        <c:majorTickMark val="none"/>
        <c:minorTickMark val="none"/>
        <c:tickLblPos val="nextTo"/>
        <c:crossAx val="554305792"/>
        <c:crosses val="autoZero"/>
        <c:crossBetween val="between"/>
      </c:valAx>
      <c:valAx>
        <c:axId val="554313600"/>
        <c:scaling>
          <c:orientation val="minMax"/>
        </c:scaling>
        <c:delete val="1"/>
        <c:axPos val="r"/>
        <c:numFmt formatCode="0.0000%" sourceLinked="1"/>
        <c:majorTickMark val="out"/>
        <c:minorTickMark val="none"/>
        <c:tickLblPos val="nextTo"/>
        <c:crossAx val="554315136"/>
        <c:crosses val="max"/>
        <c:crossBetween val="midCat"/>
      </c:valAx>
      <c:valAx>
        <c:axId val="554315136"/>
        <c:scaling>
          <c:orientation val="minMax"/>
        </c:scaling>
        <c:delete val="1"/>
        <c:axPos val="t"/>
        <c:numFmt formatCode="ddd\,\ dd\-mmm\-yyyy" sourceLinked="1"/>
        <c:majorTickMark val="out"/>
        <c:minorTickMark val="none"/>
        <c:tickLblPos val="nextTo"/>
        <c:crossAx val="554313600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359026305245292"/>
          <c:y val="0.55533154509532467"/>
          <c:w val="0.21208260425780112"/>
          <c:h val="0.254464920117175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92900524458038E-2"/>
          <c:y val="4.7069497962520523E-2"/>
          <c:w val="0.87339211455192423"/>
          <c:h val="0.76875183810458825"/>
        </c:manualLayout>
      </c:layout>
      <c:lineChart>
        <c:grouping val="standard"/>
        <c:varyColors val="0"/>
        <c:ser>
          <c:idx val="2"/>
          <c:order val="0"/>
          <c:tx>
            <c:v>Interpolated Basis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FRACharts!$D$11:$D$59</c:f>
              <c:numCache>
                <c:formatCode>ddd\,\ dd\-mmm\-yyyy</c:formatCode>
                <c:ptCount val="49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41988</c:v>
                </c:pt>
                <c:pt idx="5">
                  <c:v>42019</c:v>
                </c:pt>
                <c:pt idx="6">
                  <c:v>42051</c:v>
                </c:pt>
                <c:pt idx="7">
                  <c:v>42079</c:v>
                </c:pt>
                <c:pt idx="8">
                  <c:v>42109</c:v>
                </c:pt>
                <c:pt idx="9">
                  <c:v>42139</c:v>
                </c:pt>
                <c:pt idx="10">
                  <c:v>42170</c:v>
                </c:pt>
                <c:pt idx="11">
                  <c:v>42200</c:v>
                </c:pt>
                <c:pt idx="12">
                  <c:v>42233</c:v>
                </c:pt>
                <c:pt idx="13">
                  <c:v>42262</c:v>
                </c:pt>
                <c:pt idx="14">
                  <c:v>42292</c:v>
                </c:pt>
                <c:pt idx="15">
                  <c:v>42324</c:v>
                </c:pt>
                <c:pt idx="16">
                  <c:v>42353</c:v>
                </c:pt>
                <c:pt idx="17">
                  <c:v>42384</c:v>
                </c:pt>
                <c:pt idx="18">
                  <c:v>42415</c:v>
                </c:pt>
                <c:pt idx="19">
                  <c:v>42444</c:v>
                </c:pt>
                <c:pt idx="20">
                  <c:v>42475</c:v>
                </c:pt>
                <c:pt idx="21">
                  <c:v>42506</c:v>
                </c:pt>
                <c:pt idx="22">
                  <c:v>42536</c:v>
                </c:pt>
                <c:pt idx="23">
                  <c:v>42566</c:v>
                </c:pt>
                <c:pt idx="24">
                  <c:v>42597</c:v>
                </c:pt>
                <c:pt idx="25">
                  <c:v>42628</c:v>
                </c:pt>
                <c:pt idx="26">
                  <c:v>42660</c:v>
                </c:pt>
                <c:pt idx="27">
                  <c:v>42689</c:v>
                </c:pt>
                <c:pt idx="28">
                  <c:v>42719</c:v>
                </c:pt>
                <c:pt idx="29">
                  <c:v>42751</c:v>
                </c:pt>
                <c:pt idx="30">
                  <c:v>42781</c:v>
                </c:pt>
                <c:pt idx="31">
                  <c:v>42809</c:v>
                </c:pt>
                <c:pt idx="32">
                  <c:v>42843</c:v>
                </c:pt>
                <c:pt idx="33">
                  <c:v>42870</c:v>
                </c:pt>
                <c:pt idx="34">
                  <c:v>42901</c:v>
                </c:pt>
                <c:pt idx="35">
                  <c:v>42933</c:v>
                </c:pt>
                <c:pt idx="36">
                  <c:v>42962</c:v>
                </c:pt>
                <c:pt idx="37">
                  <c:v>42993</c:v>
                </c:pt>
                <c:pt idx="38">
                  <c:v>43024</c:v>
                </c:pt>
                <c:pt idx="39">
                  <c:v>43054</c:v>
                </c:pt>
                <c:pt idx="40">
                  <c:v>43084</c:v>
                </c:pt>
                <c:pt idx="41">
                  <c:v>43115</c:v>
                </c:pt>
                <c:pt idx="42">
                  <c:v>43146</c:v>
                </c:pt>
                <c:pt idx="43">
                  <c:v>43174</c:v>
                </c:pt>
                <c:pt idx="44">
                  <c:v>43206</c:v>
                </c:pt>
                <c:pt idx="45">
                  <c:v>43235</c:v>
                </c:pt>
                <c:pt idx="46">
                  <c:v>43266</c:v>
                </c:pt>
                <c:pt idx="47">
                  <c:v>43297</c:v>
                </c:pt>
                <c:pt idx="48">
                  <c:v>43327</c:v>
                </c:pt>
              </c:numCache>
            </c:numRef>
          </c:cat>
          <c:val>
            <c:numRef>
              <c:f>FRACharts!$H$11:$H$59</c:f>
              <c:numCache>
                <c:formatCode>0.0000%</c:formatCode>
                <c:ptCount val="49"/>
                <c:pt idx="0">
                  <c:v>4.3800000000000002E-3</c:v>
                </c:pt>
                <c:pt idx="1">
                  <c:v>4.3928135919548634E-3</c:v>
                </c:pt>
                <c:pt idx="2">
                  <c:v>4.4052183141791868E-3</c:v>
                </c:pt>
                <c:pt idx="3">
                  <c:v>4.4188737799164138E-3</c:v>
                </c:pt>
                <c:pt idx="4">
                  <c:v>4.4304728025082044E-3</c:v>
                </c:pt>
                <c:pt idx="5">
                  <c:v>4.4433325041090353E-3</c:v>
                </c:pt>
                <c:pt idx="6">
                  <c:v>4.4566316671488864E-3</c:v>
                </c:pt>
                <c:pt idx="7">
                  <c:v>4.468293022540047E-3</c:v>
                </c:pt>
                <c:pt idx="8">
                  <c:v>4.4808169573308703E-3</c:v>
                </c:pt>
                <c:pt idx="9">
                  <c:v>4.4933757465217021E-3</c:v>
                </c:pt>
                <c:pt idx="10">
                  <c:v>4.5063943492843562E-3</c:v>
                </c:pt>
                <c:pt idx="11">
                  <c:v>4.5190372791005006E-3</c:v>
                </c:pt>
                <c:pt idx="12">
                  <c:v>4.5329999999999997E-3</c:v>
                </c:pt>
                <c:pt idx="13">
                  <c:v>4.5453436420781227E-3</c:v>
                </c:pt>
                <c:pt idx="14">
                  <c:v>4.5583028253680302E-3</c:v>
                </c:pt>
                <c:pt idx="15">
                  <c:v>4.5724989272459765E-3</c:v>
                </c:pt>
                <c:pt idx="16">
                  <c:v>4.5858394636596146E-3</c:v>
                </c:pt>
                <c:pt idx="17">
                  <c:v>4.6007515648048185E-3</c:v>
                </c:pt>
                <c:pt idx="18">
                  <c:v>4.6164920228676945E-3</c:v>
                </c:pt>
                <c:pt idx="19">
                  <c:v>4.6321073084028032E-3</c:v>
                </c:pt>
                <c:pt idx="20">
                  <c:v>4.6499013618870018E-3</c:v>
                </c:pt>
                <c:pt idx="21">
                  <c:v>4.6689891070555651E-3</c:v>
                </c:pt>
                <c:pt idx="22">
                  <c:v>4.6888421951308008E-3</c:v>
                </c:pt>
                <c:pt idx="23">
                  <c:v>4.7101989850235216E-3</c:v>
                </c:pt>
                <c:pt idx="24">
                  <c:v>4.7340000000000004E-3</c:v>
                </c:pt>
                <c:pt idx="25">
                  <c:v>4.7596363108183748E-3</c:v>
                </c:pt>
                <c:pt idx="26">
                  <c:v>4.7877557803769136E-3</c:v>
                </c:pt>
                <c:pt idx="27">
                  <c:v>4.8143873105352397E-3</c:v>
                </c:pt>
                <c:pt idx="28">
                  <c:v>4.8427842189510953E-3</c:v>
                </c:pt>
                <c:pt idx="29">
                  <c:v>4.8736853594261564E-3</c:v>
                </c:pt>
                <c:pt idx="30">
                  <c:v>4.902907394413852E-3</c:v>
                </c:pt>
                <c:pt idx="31">
                  <c:v>4.9301275903566285E-3</c:v>
                </c:pt>
                <c:pt idx="32">
                  <c:v>4.9627475225378593E-3</c:v>
                </c:pt>
                <c:pt idx="33">
                  <c:v>4.9880384417941301E-3</c:v>
                </c:pt>
                <c:pt idx="34">
                  <c:v>5.0160967999915238E-3</c:v>
                </c:pt>
                <c:pt idx="35">
                  <c:v>5.0436221231785552E-3</c:v>
                </c:pt>
                <c:pt idx="36">
                  <c:v>5.0670000000000003E-3</c:v>
                </c:pt>
                <c:pt idx="37">
                  <c:v>5.0901064146917745E-3</c:v>
                </c:pt>
                <c:pt idx="38">
                  <c:v>5.1113583033740844E-3</c:v>
                </c:pt>
                <c:pt idx="39">
                  <c:v>5.1303210167669838E-3</c:v>
                </c:pt>
                <c:pt idx="40">
                  <c:v>5.1478641228380282E-3</c:v>
                </c:pt>
                <c:pt idx="41">
                  <c:v>5.1646663312370552E-3</c:v>
                </c:pt>
                <c:pt idx="42">
                  <c:v>5.180291415342651E-3</c:v>
                </c:pt>
                <c:pt idx="43">
                  <c:v>5.1935358051660224E-3</c:v>
                </c:pt>
                <c:pt idx="44">
                  <c:v>5.2078310018951243E-3</c:v>
                </c:pt>
                <c:pt idx="45">
                  <c:v>5.220162546492965E-3</c:v>
                </c:pt>
                <c:pt idx="46">
                  <c:v>5.2328537754667255E-3</c:v>
                </c:pt>
                <c:pt idx="47">
                  <c:v>5.2452063035824713E-3</c:v>
                </c:pt>
                <c:pt idx="48">
                  <c:v>5.2570000000000004E-3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348928"/>
        <c:axId val="554350848"/>
      </c:lineChart>
      <c:scatterChart>
        <c:scatterStyle val="lineMarker"/>
        <c:varyColors val="0"/>
        <c:ser>
          <c:idx val="0"/>
          <c:order val="1"/>
          <c:tx>
            <c:v>Basis Value</c:v>
          </c:tx>
          <c:spPr>
            <a:ln w="28575">
              <a:noFill/>
            </a:ln>
          </c:spPr>
          <c:marker>
            <c:spPr>
              <a:solidFill>
                <a:schemeClr val="accent2"/>
              </a:solidFill>
            </c:spPr>
          </c:marker>
          <c:xVal>
            <c:numRef>
              <c:f>(SynthFra!$I$2,SynthFra!$I$3,SynthFra!$I$4,SynthFra!$I$5,SynthFra!$I$6)</c:f>
              <c:numCache>
                <c:formatCode>ddd\,\ dd\-mmm\-yyyy</c:formatCode>
                <c:ptCount val="5"/>
                <c:pt idx="0">
                  <c:v>41866</c:v>
                </c:pt>
                <c:pt idx="1">
                  <c:v>42233</c:v>
                </c:pt>
                <c:pt idx="2">
                  <c:v>42597</c:v>
                </c:pt>
                <c:pt idx="3">
                  <c:v>42962</c:v>
                </c:pt>
                <c:pt idx="4">
                  <c:v>43327</c:v>
                </c:pt>
              </c:numCache>
            </c:numRef>
          </c:xVal>
          <c:yVal>
            <c:numRef>
              <c:f>(SynthFra!$M$2,SynthFra!$M$3,SynthFra!$M$4,SynthFra!$M$5,SynthFra!$M$6)</c:f>
              <c:numCache>
                <c:formatCode>0.0000%</c:formatCode>
                <c:ptCount val="5"/>
                <c:pt idx="0">
                  <c:v>4.3800000000000002E-3</c:v>
                </c:pt>
                <c:pt idx="1">
                  <c:v>4.5329999999999997E-3</c:v>
                </c:pt>
                <c:pt idx="2">
                  <c:v>4.7340000000000004E-3</c:v>
                </c:pt>
                <c:pt idx="3">
                  <c:v>5.0670000000000003E-3</c:v>
                </c:pt>
                <c:pt idx="4">
                  <c:v>5.2570000000000004E-3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348928"/>
        <c:axId val="554350848"/>
      </c:scatterChart>
      <c:dateAx>
        <c:axId val="5543489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54350848"/>
        <c:crosses val="autoZero"/>
        <c:auto val="1"/>
        <c:lblOffset val="100"/>
        <c:baseTimeUnit val="months"/>
      </c:dateAx>
      <c:valAx>
        <c:axId val="5543508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4348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60538786818316"/>
          <c:y val="0.64554543963254596"/>
          <c:w val="0.23931794983960339"/>
          <c:h val="0.125575787401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Charts'!$D$16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</c:numCache>
            </c:numRef>
          </c:cat>
          <c:val>
            <c:numRef>
              <c:f>'3M Depo Charts'!$D$17:$D$114</c:f>
              <c:numCache>
                <c:formatCode>0.0000%</c:formatCode>
                <c:ptCount val="98"/>
                <c:pt idx="0">
                  <c:v>1.498482507057107E-3</c:v>
                </c:pt>
                <c:pt idx="1">
                  <c:v>1.498482507057107E-3</c:v>
                </c:pt>
                <c:pt idx="2">
                  <c:v>1.498482507057107E-3</c:v>
                </c:pt>
                <c:pt idx="3">
                  <c:v>1.498482507057107E-3</c:v>
                </c:pt>
                <c:pt idx="4">
                  <c:v>1.498482507057107E-3</c:v>
                </c:pt>
                <c:pt idx="5">
                  <c:v>1.498482507057107E-3</c:v>
                </c:pt>
                <c:pt idx="6">
                  <c:v>1.498482507057107E-3</c:v>
                </c:pt>
                <c:pt idx="7">
                  <c:v>1.498482507057107E-3</c:v>
                </c:pt>
                <c:pt idx="8">
                  <c:v>1.498482507057107E-3</c:v>
                </c:pt>
                <c:pt idx="9">
                  <c:v>1.498482507057107E-3</c:v>
                </c:pt>
                <c:pt idx="10">
                  <c:v>1.498482507057107E-3</c:v>
                </c:pt>
                <c:pt idx="11">
                  <c:v>1.498482507057107E-3</c:v>
                </c:pt>
                <c:pt idx="12">
                  <c:v>1.498482507057107E-3</c:v>
                </c:pt>
                <c:pt idx="13">
                  <c:v>1.498482507057107E-3</c:v>
                </c:pt>
                <c:pt idx="14">
                  <c:v>1.498482507057107E-3</c:v>
                </c:pt>
                <c:pt idx="15">
                  <c:v>1.498482507057107E-3</c:v>
                </c:pt>
                <c:pt idx="16">
                  <c:v>1.498482507057107E-3</c:v>
                </c:pt>
                <c:pt idx="17">
                  <c:v>1.498482507057107E-3</c:v>
                </c:pt>
                <c:pt idx="18">
                  <c:v>1.498482507057107E-3</c:v>
                </c:pt>
                <c:pt idx="19">
                  <c:v>1.498482507057107E-3</c:v>
                </c:pt>
                <c:pt idx="20">
                  <c:v>1.498482507057107E-3</c:v>
                </c:pt>
                <c:pt idx="21">
                  <c:v>1.498482507057107E-3</c:v>
                </c:pt>
                <c:pt idx="22">
                  <c:v>1.498482507057107E-3</c:v>
                </c:pt>
                <c:pt idx="23">
                  <c:v>1.498482507057107E-3</c:v>
                </c:pt>
                <c:pt idx="24">
                  <c:v>1.498482507057107E-3</c:v>
                </c:pt>
                <c:pt idx="25">
                  <c:v>1.498482507057107E-3</c:v>
                </c:pt>
                <c:pt idx="26">
                  <c:v>1.498482507057107E-3</c:v>
                </c:pt>
                <c:pt idx="27">
                  <c:v>1.498482507057107E-3</c:v>
                </c:pt>
                <c:pt idx="28">
                  <c:v>1.498482507057107E-3</c:v>
                </c:pt>
                <c:pt idx="29">
                  <c:v>1.498482507057107E-3</c:v>
                </c:pt>
                <c:pt idx="30">
                  <c:v>1.498482507057107E-3</c:v>
                </c:pt>
                <c:pt idx="31">
                  <c:v>1.498482507057107E-3</c:v>
                </c:pt>
                <c:pt idx="32">
                  <c:v>1.498482507057107E-3</c:v>
                </c:pt>
                <c:pt idx="33">
                  <c:v>1.498482507057107E-3</c:v>
                </c:pt>
                <c:pt idx="34">
                  <c:v>1.498482507057107E-3</c:v>
                </c:pt>
                <c:pt idx="35">
                  <c:v>1.498482507057107E-3</c:v>
                </c:pt>
                <c:pt idx="36">
                  <c:v>1.498482507057107E-3</c:v>
                </c:pt>
                <c:pt idx="37">
                  <c:v>1.498482507057107E-3</c:v>
                </c:pt>
                <c:pt idx="38">
                  <c:v>1.498482507057107E-3</c:v>
                </c:pt>
                <c:pt idx="39">
                  <c:v>1.498482507057107E-3</c:v>
                </c:pt>
                <c:pt idx="40">
                  <c:v>1.498482507057107E-3</c:v>
                </c:pt>
                <c:pt idx="41">
                  <c:v>1.498482507057107E-3</c:v>
                </c:pt>
                <c:pt idx="42">
                  <c:v>1.498482507057107E-3</c:v>
                </c:pt>
                <c:pt idx="43">
                  <c:v>1.498482507057107E-3</c:v>
                </c:pt>
                <c:pt idx="44">
                  <c:v>1.498482507057107E-3</c:v>
                </c:pt>
                <c:pt idx="45">
                  <c:v>1.498482507057107E-3</c:v>
                </c:pt>
                <c:pt idx="46">
                  <c:v>1.498482507057107E-3</c:v>
                </c:pt>
                <c:pt idx="47">
                  <c:v>1.498482507057107E-3</c:v>
                </c:pt>
                <c:pt idx="48">
                  <c:v>1.498482507057107E-3</c:v>
                </c:pt>
                <c:pt idx="49">
                  <c:v>1.498482507057107E-3</c:v>
                </c:pt>
                <c:pt idx="50">
                  <c:v>1.498482507057107E-3</c:v>
                </c:pt>
                <c:pt idx="51">
                  <c:v>1.498482507057107E-3</c:v>
                </c:pt>
                <c:pt idx="52">
                  <c:v>1.498482507057107E-3</c:v>
                </c:pt>
                <c:pt idx="53">
                  <c:v>1.498482507057107E-3</c:v>
                </c:pt>
                <c:pt idx="54">
                  <c:v>1.498482507057107E-3</c:v>
                </c:pt>
                <c:pt idx="55">
                  <c:v>1.498482507057107E-3</c:v>
                </c:pt>
                <c:pt idx="56">
                  <c:v>1.498482507057107E-3</c:v>
                </c:pt>
                <c:pt idx="57">
                  <c:v>1.498482507057107E-3</c:v>
                </c:pt>
                <c:pt idx="58">
                  <c:v>1.498482507057107E-3</c:v>
                </c:pt>
                <c:pt idx="59">
                  <c:v>1.498482507057107E-3</c:v>
                </c:pt>
                <c:pt idx="60">
                  <c:v>1.498482507057107E-3</c:v>
                </c:pt>
                <c:pt idx="61">
                  <c:v>1.498482507057107E-3</c:v>
                </c:pt>
                <c:pt idx="62">
                  <c:v>1.498482507057107E-3</c:v>
                </c:pt>
                <c:pt idx="63">
                  <c:v>1.498482507057107E-3</c:v>
                </c:pt>
                <c:pt idx="64">
                  <c:v>1.498482507057107E-3</c:v>
                </c:pt>
                <c:pt idx="65">
                  <c:v>1.498482507057107E-3</c:v>
                </c:pt>
                <c:pt idx="66">
                  <c:v>1.498482507057107E-3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Charts'!$E$16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</c:numCache>
            </c:numRef>
          </c:cat>
          <c:val>
            <c:numRef>
              <c:f>'3M Depo Charts'!$E$17:$E$114</c:f>
              <c:numCache>
                <c:formatCode>0.0000%</c:formatCode>
                <c:ptCount val="98"/>
                <c:pt idx="0">
                  <c:v>1.778705273855534E-3</c:v>
                </c:pt>
                <c:pt idx="1">
                  <c:v>1.7608187142726555E-3</c:v>
                </c:pt>
                <c:pt idx="2">
                  <c:v>1.7548565277450295E-3</c:v>
                </c:pt>
                <c:pt idx="3">
                  <c:v>1.7488943412174033E-3</c:v>
                </c:pt>
                <c:pt idx="4">
                  <c:v>1.742932154689777E-3</c:v>
                </c:pt>
                <c:pt idx="5">
                  <c:v>1.736969968162151E-3</c:v>
                </c:pt>
                <c:pt idx="6">
                  <c:v>1.7190834085792726E-3</c:v>
                </c:pt>
                <c:pt idx="7">
                  <c:v>1.7131212220516463E-3</c:v>
                </c:pt>
                <c:pt idx="8">
                  <c:v>1.7071590355240203E-3</c:v>
                </c:pt>
                <c:pt idx="9">
                  <c:v>1.7011968489963941E-3</c:v>
                </c:pt>
                <c:pt idx="10">
                  <c:v>1.6952346624687679E-3</c:v>
                </c:pt>
                <c:pt idx="11">
                  <c:v>1.6773481028858896E-3</c:v>
                </c:pt>
                <c:pt idx="12">
                  <c:v>1.6713859163582634E-3</c:v>
                </c:pt>
                <c:pt idx="13">
                  <c:v>1.6654237298306372E-3</c:v>
                </c:pt>
                <c:pt idx="14">
                  <c:v>1.6594615433030112E-3</c:v>
                </c:pt>
                <c:pt idx="15">
                  <c:v>1.653499356775385E-3</c:v>
                </c:pt>
                <c:pt idx="16">
                  <c:v>1.6356127971925065E-3</c:v>
                </c:pt>
                <c:pt idx="17">
                  <c:v>1.6296506106648805E-3</c:v>
                </c:pt>
                <c:pt idx="18">
                  <c:v>1.6236884241372543E-3</c:v>
                </c:pt>
                <c:pt idx="19">
                  <c:v>1.617726237609628E-3</c:v>
                </c:pt>
                <c:pt idx="20">
                  <c:v>1.611764051082002E-3</c:v>
                </c:pt>
                <c:pt idx="21">
                  <c:v>1.5938774914991236E-3</c:v>
                </c:pt>
                <c:pt idx="22">
                  <c:v>1.5879153049714973E-3</c:v>
                </c:pt>
                <c:pt idx="23">
                  <c:v>1.5819531184438713E-3</c:v>
                </c:pt>
                <c:pt idx="24">
                  <c:v>1.5759909319162451E-3</c:v>
                </c:pt>
                <c:pt idx="25">
                  <c:v>1.5700287453886191E-3</c:v>
                </c:pt>
                <c:pt idx="26">
                  <c:v>1.5521421858057406E-3</c:v>
                </c:pt>
                <c:pt idx="27">
                  <c:v>1.5461799992781144E-3</c:v>
                </c:pt>
                <c:pt idx="28">
                  <c:v>1.5402178127504884E-3</c:v>
                </c:pt>
                <c:pt idx="29">
                  <c:v>1.5342556262228622E-3</c:v>
                </c:pt>
                <c:pt idx="30">
                  <c:v>1.528293439695236E-3</c:v>
                </c:pt>
                <c:pt idx="31">
                  <c:v>1.5104068801123577E-3</c:v>
                </c:pt>
                <c:pt idx="32">
                  <c:v>1.5044446935847315E-3</c:v>
                </c:pt>
                <c:pt idx="33">
                  <c:v>1.4984825070571053E-3</c:v>
                </c:pt>
                <c:pt idx="34">
                  <c:v>1.4925203205294793E-3</c:v>
                </c:pt>
                <c:pt idx="35">
                  <c:v>1.486558134001853E-3</c:v>
                </c:pt>
                <c:pt idx="36">
                  <c:v>1.4686715744189746E-3</c:v>
                </c:pt>
                <c:pt idx="37">
                  <c:v>1.4627093878913486E-3</c:v>
                </c:pt>
                <c:pt idx="38">
                  <c:v>1.4567472013637223E-3</c:v>
                </c:pt>
                <c:pt idx="39">
                  <c:v>1.4507850148360963E-3</c:v>
                </c:pt>
                <c:pt idx="40">
                  <c:v>1.4448228283084701E-3</c:v>
                </c:pt>
                <c:pt idx="41">
                  <c:v>1.4269362687255917E-3</c:v>
                </c:pt>
                <c:pt idx="42">
                  <c:v>1.4209740821979656E-3</c:v>
                </c:pt>
                <c:pt idx="43">
                  <c:v>1.4150118956703394E-3</c:v>
                </c:pt>
                <c:pt idx="44">
                  <c:v>1.4090497091427132E-3</c:v>
                </c:pt>
                <c:pt idx="45">
                  <c:v>1.403087522615087E-3</c:v>
                </c:pt>
                <c:pt idx="46">
                  <c:v>1.3852009630322087E-3</c:v>
                </c:pt>
                <c:pt idx="47">
                  <c:v>1.3792387765045825E-3</c:v>
                </c:pt>
                <c:pt idx="48">
                  <c:v>1.3732765899769563E-3</c:v>
                </c:pt>
                <c:pt idx="49">
                  <c:v>1.3673144034493303E-3</c:v>
                </c:pt>
                <c:pt idx="50">
                  <c:v>1.361352216921704E-3</c:v>
                </c:pt>
                <c:pt idx="51">
                  <c:v>1.3434656573388256E-3</c:v>
                </c:pt>
                <c:pt idx="52">
                  <c:v>1.3375034708111996E-3</c:v>
                </c:pt>
                <c:pt idx="53">
                  <c:v>1.3315412842835733E-3</c:v>
                </c:pt>
                <c:pt idx="54">
                  <c:v>1.3255790977559473E-3</c:v>
                </c:pt>
                <c:pt idx="55">
                  <c:v>1.3196169112283211E-3</c:v>
                </c:pt>
                <c:pt idx="56">
                  <c:v>1.3017303516454427E-3</c:v>
                </c:pt>
                <c:pt idx="57">
                  <c:v>1.2957681651178166E-3</c:v>
                </c:pt>
                <c:pt idx="58">
                  <c:v>1.2898059785901904E-3</c:v>
                </c:pt>
                <c:pt idx="59">
                  <c:v>1.2838437920625642E-3</c:v>
                </c:pt>
                <c:pt idx="60">
                  <c:v>1.277881605534938E-3</c:v>
                </c:pt>
                <c:pt idx="61">
                  <c:v>1.2599950459520597E-3</c:v>
                </c:pt>
                <c:pt idx="62">
                  <c:v>1.2540328594244335E-3</c:v>
                </c:pt>
                <c:pt idx="63">
                  <c:v>1.2480706728968073E-3</c:v>
                </c:pt>
                <c:pt idx="64">
                  <c:v>1.2421084863691813E-3</c:v>
                </c:pt>
                <c:pt idx="65">
                  <c:v>1.2361462998415553E-3</c:v>
                </c:pt>
                <c:pt idx="66">
                  <c:v>1.2182597402586766E-3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Charts'!$F$16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</c:numCache>
            </c:numRef>
          </c:cat>
          <c:val>
            <c:numRef>
              <c:f>'3M Depo Charts'!$F$17:$F$114</c:f>
              <c:numCache>
                <c:formatCode>0.0000%</c:formatCode>
                <c:ptCount val="98"/>
                <c:pt idx="0">
                  <c:v>1.8814291458082264E-3</c:v>
                </c:pt>
                <c:pt idx="1">
                  <c:v>1.8428023611303179E-3</c:v>
                </c:pt>
                <c:pt idx="2">
                  <c:v>1.8302437133260487E-3</c:v>
                </c:pt>
                <c:pt idx="3">
                  <c:v>1.8178435390659635E-3</c:v>
                </c:pt>
                <c:pt idx="4">
                  <c:v>1.8056018383500617E-3</c:v>
                </c:pt>
                <c:pt idx="5">
                  <c:v>1.7935186111783439E-3</c:v>
                </c:pt>
                <c:pt idx="6">
                  <c:v>1.7582197709282909E-3</c:v>
                </c:pt>
                <c:pt idx="7">
                  <c:v>1.7467704379333072E-3</c:v>
                </c:pt>
                <c:pt idx="8">
                  <c:v>1.7354795784825072E-3</c:v>
                </c:pt>
                <c:pt idx="9">
                  <c:v>1.7243471925758908E-3</c:v>
                </c:pt>
                <c:pt idx="10">
                  <c:v>1.7133732802134577E-3</c:v>
                </c:pt>
                <c:pt idx="11">
                  <c:v>1.6814023843912608E-3</c:v>
                </c:pt>
                <c:pt idx="12">
                  <c:v>1.6710623662055625E-3</c:v>
                </c:pt>
                <c:pt idx="13">
                  <c:v>1.6608808215640475E-3</c:v>
                </c:pt>
                <c:pt idx="14">
                  <c:v>1.6508577504667163E-3</c:v>
                </c:pt>
                <c:pt idx="15">
                  <c:v>1.6409931529135688E-3</c:v>
                </c:pt>
                <c:pt idx="16">
                  <c:v>1.6123502015192275E-3</c:v>
                </c:pt>
                <c:pt idx="17">
                  <c:v>1.6031194981428146E-3</c:v>
                </c:pt>
                <c:pt idx="18">
                  <c:v>1.5940472683105848E-3</c:v>
                </c:pt>
                <c:pt idx="19">
                  <c:v>1.5851335120225388E-3</c:v>
                </c:pt>
                <c:pt idx="20">
                  <c:v>1.5763782292786766E-3</c:v>
                </c:pt>
                <c:pt idx="21">
                  <c:v>1.5510632223121913E-3</c:v>
                </c:pt>
                <c:pt idx="22">
                  <c:v>1.5429418337450634E-3</c:v>
                </c:pt>
                <c:pt idx="23">
                  <c:v>1.534978918722119E-3</c:v>
                </c:pt>
                <c:pt idx="24">
                  <c:v>1.5271744772433584E-3</c:v>
                </c:pt>
                <c:pt idx="25">
                  <c:v>1.5195285093087812E-3</c:v>
                </c:pt>
                <c:pt idx="26">
                  <c:v>1.4975414467701515E-3</c:v>
                </c:pt>
                <c:pt idx="27">
                  <c:v>1.4905293730123087E-3</c:v>
                </c:pt>
                <c:pt idx="28">
                  <c:v>1.48367577279865E-3</c:v>
                </c:pt>
                <c:pt idx="29">
                  <c:v>1.4769806461291746E-3</c:v>
                </c:pt>
                <c:pt idx="30">
                  <c:v>1.4704439930038828E-3</c:v>
                </c:pt>
                <c:pt idx="31">
                  <c:v>1.4517848748931089E-3</c:v>
                </c:pt>
                <c:pt idx="32">
                  <c:v>1.4458821159445516E-3</c:v>
                </c:pt>
                <c:pt idx="33">
                  <c:v>1.4401378305401778E-3</c:v>
                </c:pt>
                <c:pt idx="34">
                  <c:v>1.4345520186799876E-3</c:v>
                </c:pt>
                <c:pt idx="35">
                  <c:v>1.429124680363981E-3</c:v>
                </c:pt>
                <c:pt idx="36">
                  <c:v>1.413793506681063E-3</c:v>
                </c:pt>
                <c:pt idx="37">
                  <c:v>1.4090000625417909E-3</c:v>
                </c:pt>
                <c:pt idx="38">
                  <c:v>1.4043650919467023E-3</c:v>
                </c:pt>
                <c:pt idx="39">
                  <c:v>1.3998885948957975E-3</c:v>
                </c:pt>
                <c:pt idx="40">
                  <c:v>1.3955705713890763E-3</c:v>
                </c:pt>
                <c:pt idx="41">
                  <c:v>1.3835673421340139E-3</c:v>
                </c:pt>
                <c:pt idx="42">
                  <c:v>1.3798832128040272E-3</c:v>
                </c:pt>
                <c:pt idx="43">
                  <c:v>1.3763575570182236E-3</c:v>
                </c:pt>
                <c:pt idx="44">
                  <c:v>1.3729903747766042E-3</c:v>
                </c:pt>
                <c:pt idx="45">
                  <c:v>1.3697816660791684E-3</c:v>
                </c:pt>
                <c:pt idx="46">
                  <c:v>1.3611063812519618E-3</c:v>
                </c:pt>
                <c:pt idx="47">
                  <c:v>1.3585315667312603E-3</c:v>
                </c:pt>
                <c:pt idx="48">
                  <c:v>1.3561152257547421E-3</c:v>
                </c:pt>
                <c:pt idx="49">
                  <c:v>1.3538573583224077E-3</c:v>
                </c:pt>
                <c:pt idx="50">
                  <c:v>1.3517579644342572E-3</c:v>
                </c:pt>
                <c:pt idx="51">
                  <c:v>1.3464106240349064E-3</c:v>
                </c:pt>
                <c:pt idx="52">
                  <c:v>1.34494512432349E-3</c:v>
                </c:pt>
                <c:pt idx="53">
                  <c:v>1.3436380981562573E-3</c:v>
                </c:pt>
                <c:pt idx="54">
                  <c:v>1.3424895455332081E-3</c:v>
                </c:pt>
                <c:pt idx="55">
                  <c:v>1.3414994664543427E-3</c:v>
                </c:pt>
                <c:pt idx="56">
                  <c:v>1.339480070482848E-3</c:v>
                </c:pt>
                <c:pt idx="57">
                  <c:v>1.3391238855807166E-3</c:v>
                </c:pt>
                <c:pt idx="58">
                  <c:v>1.3389261742227693E-3</c:v>
                </c:pt>
                <c:pt idx="59">
                  <c:v>1.3388869364090055E-3</c:v>
                </c:pt>
                <c:pt idx="60">
                  <c:v>1.3390061721394253E-3</c:v>
                </c:pt>
                <c:pt idx="61">
                  <c:v>1.3403147205957862E-3</c:v>
                </c:pt>
                <c:pt idx="62">
                  <c:v>1.3410678505029405E-3</c:v>
                </c:pt>
                <c:pt idx="63">
                  <c:v>1.3419794539542781E-3</c:v>
                </c:pt>
                <c:pt idx="64">
                  <c:v>1.3430495309497996E-3</c:v>
                </c:pt>
                <c:pt idx="65">
                  <c:v>1.3442780814895046E-3</c:v>
                </c:pt>
                <c:pt idx="66">
                  <c:v>1.3489145743737214E-3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Charts'!$G$16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</c:numCache>
            </c:numRef>
          </c:cat>
          <c:val>
            <c:numRef>
              <c:f>'3M Depo Charts'!$G$17:$G$83</c:f>
              <c:numCache>
                <c:formatCode>0.0000%</c:formatCode>
                <c:ptCount val="67"/>
                <c:pt idx="0">
                  <c:v>1.8903363173954008E-3</c:v>
                </c:pt>
                <c:pt idx="1">
                  <c:v>1.847303799896694E-3</c:v>
                </c:pt>
                <c:pt idx="2">
                  <c:v>1.8334229232060126E-3</c:v>
                </c:pt>
                <c:pt idx="3">
                  <c:v>1.8197714295832208E-3</c:v>
                </c:pt>
                <c:pt idx="4">
                  <c:v>1.8063479601263866E-3</c:v>
                </c:pt>
                <c:pt idx="5">
                  <c:v>1.7931511559335772E-3</c:v>
                </c:pt>
                <c:pt idx="6">
                  <c:v>1.7549071459199749E-3</c:v>
                </c:pt>
                <c:pt idx="7">
                  <c:v>1.7426034137639414E-3</c:v>
                </c:pt>
                <c:pt idx="8">
                  <c:v>1.730519552362271E-3</c:v>
                </c:pt>
                <c:pt idx="9">
                  <c:v>1.7186542028130311E-3</c:v>
                </c:pt>
                <c:pt idx="10">
                  <c:v>1.7070060062142896E-3</c:v>
                </c:pt>
                <c:pt idx="11">
                  <c:v>1.6733507451017298E-3</c:v>
                </c:pt>
                <c:pt idx="12">
                  <c:v>1.6625575712856571E-3</c:v>
                </c:pt>
                <c:pt idx="13">
                  <c:v>1.6519747559104207E-3</c:v>
                </c:pt>
                <c:pt idx="14">
                  <c:v>1.6416009400740878E-3</c:v>
                </c:pt>
                <c:pt idx="15">
                  <c:v>1.6314347648747269E-3</c:v>
                </c:pt>
                <c:pt idx="16">
                  <c:v>1.6021684940791478E-3</c:v>
                </c:pt>
                <c:pt idx="17">
                  <c:v>1.5928192924083485E-3</c:v>
                </c:pt>
                <c:pt idx="18">
                  <c:v>1.5836709368648584E-3</c:v>
                </c:pt>
                <c:pt idx="19">
                  <c:v>1.5747220685467455E-3</c:v>
                </c:pt>
                <c:pt idx="20">
                  <c:v>1.5659713285520772E-3</c:v>
                </c:pt>
                <c:pt idx="21">
                  <c:v>1.5408942894894169E-3</c:v>
                </c:pt>
                <c:pt idx="22">
                  <c:v>1.5329224737692037E-3</c:v>
                </c:pt>
                <c:pt idx="23">
                  <c:v>1.5251419918627732E-3</c:v>
                </c:pt>
                <c:pt idx="24">
                  <c:v>1.5175514848681927E-3</c:v>
                </c:pt>
                <c:pt idx="25">
                  <c:v>1.5101495938835304E-3</c:v>
                </c:pt>
                <c:pt idx="26">
                  <c:v>1.4890620279697266E-3</c:v>
                </c:pt>
                <c:pt idx="27">
                  <c:v>1.4824010120054118E-3</c:v>
                </c:pt>
                <c:pt idx="28">
                  <c:v>1.4759218175413532E-3</c:v>
                </c:pt>
                <c:pt idx="29">
                  <c:v>1.4696230856756178E-3</c:v>
                </c:pt>
                <c:pt idx="30">
                  <c:v>1.4635034575062739E-3</c:v>
                </c:pt>
                <c:pt idx="31">
                  <c:v>1.4462056061572647E-3</c:v>
                </c:pt>
                <c:pt idx="32">
                  <c:v>1.4407888037541615E-3</c:v>
                </c:pt>
                <c:pt idx="33">
                  <c:v>1.4355443105377875E-3</c:v>
                </c:pt>
                <c:pt idx="34">
                  <c:v>1.4304707676062102E-3</c:v>
                </c:pt>
                <c:pt idx="35">
                  <c:v>1.425566816057497E-3</c:v>
                </c:pt>
                <c:pt idx="36">
                  <c:v>1.4118589206892208E-3</c:v>
                </c:pt>
                <c:pt idx="37">
                  <c:v>1.4076197456526413E-3</c:v>
                </c:pt>
                <c:pt idx="38">
                  <c:v>1.4035433674892649E-3</c:v>
                </c:pt>
                <c:pt idx="39">
                  <c:v>1.3996284272971579E-3</c:v>
                </c:pt>
                <c:pt idx="40">
                  <c:v>1.3958735661743886E-3</c:v>
                </c:pt>
                <c:pt idx="41">
                  <c:v>1.385555868202783E-3</c:v>
                </c:pt>
                <c:pt idx="42">
                  <c:v>1.3824277343380403E-3</c:v>
                </c:pt>
                <c:pt idx="43">
                  <c:v>1.3794528850329733E-3</c:v>
                </c:pt>
                <c:pt idx="44">
                  <c:v>1.3766299613856498E-3</c:v>
                </c:pt>
                <c:pt idx="45">
                  <c:v>1.3739576044941371E-3</c:v>
                </c:pt>
                <c:pt idx="46">
                  <c:v>1.3668303453351399E-3</c:v>
                </c:pt>
                <c:pt idx="47">
                  <c:v>1.3647466664475469E-3</c:v>
                </c:pt>
                <c:pt idx="48">
                  <c:v>1.3628067598061024E-3</c:v>
                </c:pt>
                <c:pt idx="49">
                  <c:v>1.3610092665088747E-3</c:v>
                </c:pt>
                <c:pt idx="50">
                  <c:v>1.3593528276539309E-3</c:v>
                </c:pt>
                <c:pt idx="51">
                  <c:v>1.3552162487234808E-3</c:v>
                </c:pt>
                <c:pt idx="52">
                  <c:v>1.3541104386183493E-3</c:v>
                </c:pt>
                <c:pt idx="53">
                  <c:v>1.3531388884458404E-3</c:v>
                </c:pt>
                <c:pt idx="54">
                  <c:v>1.3523002393040209E-3</c:v>
                </c:pt>
                <c:pt idx="55">
                  <c:v>1.3515931322909591E-3</c:v>
                </c:pt>
                <c:pt idx="56">
                  <c:v>1.3502474750049936E-3</c:v>
                </c:pt>
                <c:pt idx="57">
                  <c:v>1.350052947487637E-3</c:v>
                </c:pt>
                <c:pt idx="58">
                  <c:v>1.3499831675893757E-3</c:v>
                </c:pt>
                <c:pt idx="59">
                  <c:v>1.3500367764082775E-3</c:v>
                </c:pt>
                <c:pt idx="60">
                  <c:v>1.3502124150424103E-3</c:v>
                </c:pt>
                <c:pt idx="61">
                  <c:v>1.3514579208168671E-3</c:v>
                </c:pt>
                <c:pt idx="62">
                  <c:v>1.3521080896925983E-3</c:v>
                </c:pt>
                <c:pt idx="63">
                  <c:v>1.3528734938738974E-3</c:v>
                </c:pt>
                <c:pt idx="64">
                  <c:v>1.3537527744588334E-3</c:v>
                </c:pt>
                <c:pt idx="65">
                  <c:v>1.3547445725454728E-3</c:v>
                </c:pt>
                <c:pt idx="66">
                  <c:v>1.3583814827962907E-3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717824"/>
        <c:axId val="520719360"/>
      </c:lineChart>
      <c:dateAx>
        <c:axId val="5207178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0719360"/>
        <c:crosses val="autoZero"/>
        <c:auto val="1"/>
        <c:lblOffset val="100"/>
        <c:baseTimeUnit val="days"/>
      </c:dateAx>
      <c:valAx>
        <c:axId val="520719360"/>
        <c:scaling>
          <c:orientation val="minMax"/>
          <c:max val="2.9000000000000007E-3"/>
          <c:min val="7.0000000000000021E-4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0717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695957276173811"/>
          <c:y val="3.776090488688914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4685039370078"/>
          <c:y val="5.1400554097404488E-2"/>
          <c:w val="0.84861067366579179"/>
          <c:h val="0.71120151647710705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Charts'!$L$54</c:f>
              <c:strCache>
                <c:ptCount val="1"/>
              </c:strCache>
            </c:strRef>
          </c:tx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</c:numCache>
            </c:numRef>
          </c:cat>
          <c:val>
            <c:numRef>
              <c:f>'3M Depo Charts'!$L$55:$L$61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'3M Depo Charts'!$N$54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</c:numCache>
            </c:numRef>
          </c:cat>
          <c:val>
            <c:numRef>
              <c:f>'3M Depo Charts'!$N$55:$N$61</c:f>
              <c:numCache>
                <c:formatCode>0.0000%</c:formatCode>
                <c:ptCount val="7"/>
                <c:pt idx="0">
                  <c:v>1.8779553457517494E-3</c:v>
                </c:pt>
                <c:pt idx="1">
                  <c:v>1.8379553490882466E-3</c:v>
                </c:pt>
                <c:pt idx="2">
                  <c:v>1.847955349424615E-3</c:v>
                </c:pt>
                <c:pt idx="3">
                  <c:v>2.0779553505263842E-3</c:v>
                </c:pt>
                <c:pt idx="4">
                  <c:v>2.0379553465975416E-3</c:v>
                </c:pt>
                <c:pt idx="5">
                  <c:v>2.0253461132272812E-3</c:v>
                </c:pt>
                <c:pt idx="6">
                  <c:v>1.99E-3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Charts'!$O$54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triangle"/>
            <c:size val="5"/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</c:numCache>
            </c:numRef>
          </c:cat>
          <c:val>
            <c:numRef>
              <c:f>'3M Depo Charts'!$O$55:$O$61</c:f>
              <c:numCache>
                <c:formatCode>0.0000%</c:formatCode>
                <c:ptCount val="7"/>
                <c:pt idx="0">
                  <c:v>2.1455186754024773E-3</c:v>
                </c:pt>
                <c:pt idx="1">
                  <c:v>2.0937576532598216E-3</c:v>
                </c:pt>
                <c:pt idx="2">
                  <c:v>2.0831758590076719E-3</c:v>
                </c:pt>
                <c:pt idx="3">
                  <c:v>2.2925940655209236E-3</c:v>
                </c:pt>
                <c:pt idx="4">
                  <c:v>2.2231914978941988E-3</c:v>
                </c:pt>
                <c:pt idx="5">
                  <c:v>2.1223745734302909E-3</c:v>
                </c:pt>
                <c:pt idx="6">
                  <c:v>1.9899999999999983E-3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Charts'!$P$54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  <a:prstDash val="sysDash"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</c:numCache>
            </c:numRef>
          </c:cat>
          <c:val>
            <c:numRef>
              <c:f>'3M Depo Charts'!$P$55:$P$61</c:f>
              <c:numCache>
                <c:formatCode>0.0000%</c:formatCode>
                <c:ptCount val="7"/>
                <c:pt idx="0">
                  <c:v>2.2364900878105165E-3</c:v>
                </c:pt>
                <c:pt idx="1">
                  <c:v>2.1716647671898202E-3</c:v>
                </c:pt>
                <c:pt idx="2">
                  <c:v>2.1402263349137797E-3</c:v>
                </c:pt>
                <c:pt idx="3">
                  <c:v>2.3313408470738237E-3</c:v>
                </c:pt>
                <c:pt idx="4">
                  <c:v>2.2402187204120707E-3</c:v>
                </c:pt>
                <c:pt idx="5">
                  <c:v>2.1055036535861478E-3</c:v>
                </c:pt>
                <c:pt idx="6">
                  <c:v>1.9900000000000022E-3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'3M Depo Charts'!$Q$54</c:f>
              <c:strCache>
                <c:ptCount val="1"/>
                <c:pt idx="0">
                  <c:v>cubic</c:v>
                </c:pt>
              </c:strCache>
            </c:strRef>
          </c:tx>
          <c:spPr>
            <a:ln>
              <a:noFill/>
            </a:ln>
          </c:spP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</c:numCache>
            </c:numRef>
          </c:cat>
          <c:val>
            <c:numRef>
              <c:f>'3M Depo Charts'!$Q$55:$Q$61</c:f>
              <c:numCache>
                <c:formatCode>0.0000%</c:formatCode>
                <c:ptCount val="7"/>
                <c:pt idx="0">
                  <c:v>2.2430475865322531E-3</c:v>
                </c:pt>
                <c:pt idx="1">
                  <c:v>2.1755878169127381E-3</c:v>
                </c:pt>
                <c:pt idx="2">
                  <c:v>2.1404022379179883E-3</c:v>
                </c:pt>
                <c:pt idx="3">
                  <c:v>2.3287696328594229E-3</c:v>
                </c:pt>
                <c:pt idx="4">
                  <c:v>2.2352299493170556E-3</c:v>
                </c:pt>
                <c:pt idx="5">
                  <c:v>2.1007494527612949E-3</c:v>
                </c:pt>
                <c:pt idx="6">
                  <c:v>1.9900000000000325E-3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755968"/>
        <c:axId val="554757504"/>
      </c:lineChart>
      <c:dateAx>
        <c:axId val="5547559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54757504"/>
        <c:crosses val="autoZero"/>
        <c:auto val="1"/>
        <c:lblOffset val="100"/>
        <c:baseTimeUnit val="days"/>
        <c:majorUnit val="7"/>
        <c:majorTimeUnit val="days"/>
      </c:dateAx>
      <c:valAx>
        <c:axId val="554757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4755968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4216097987751515"/>
          <c:y val="0.46040276215473064"/>
          <c:w val="0.12891130796150482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 Depo Charts'!$D$16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 Depo Charts'!$B$17:$B$146</c:f>
              <c:numCache>
                <c:formatCode>ddd\,\ dd\-mmm\-yyyy</c:formatCode>
                <c:ptCount val="130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  <c:pt idx="67">
                  <c:v>41961</c:v>
                </c:pt>
                <c:pt idx="68">
                  <c:v>41962</c:v>
                </c:pt>
                <c:pt idx="69">
                  <c:v>41963</c:v>
                </c:pt>
                <c:pt idx="70">
                  <c:v>41964</c:v>
                </c:pt>
                <c:pt idx="71">
                  <c:v>41967</c:v>
                </c:pt>
                <c:pt idx="72">
                  <c:v>41968</c:v>
                </c:pt>
                <c:pt idx="73">
                  <c:v>41969</c:v>
                </c:pt>
                <c:pt idx="74">
                  <c:v>41970</c:v>
                </c:pt>
                <c:pt idx="75">
                  <c:v>41971</c:v>
                </c:pt>
                <c:pt idx="76">
                  <c:v>41974</c:v>
                </c:pt>
                <c:pt idx="77">
                  <c:v>41975</c:v>
                </c:pt>
                <c:pt idx="78">
                  <c:v>41976</c:v>
                </c:pt>
                <c:pt idx="79">
                  <c:v>41977</c:v>
                </c:pt>
                <c:pt idx="80">
                  <c:v>41978</c:v>
                </c:pt>
                <c:pt idx="81">
                  <c:v>41981</c:v>
                </c:pt>
                <c:pt idx="82">
                  <c:v>41982</c:v>
                </c:pt>
                <c:pt idx="83">
                  <c:v>41983</c:v>
                </c:pt>
                <c:pt idx="84">
                  <c:v>41984</c:v>
                </c:pt>
                <c:pt idx="85">
                  <c:v>41985</c:v>
                </c:pt>
                <c:pt idx="86">
                  <c:v>41988</c:v>
                </c:pt>
                <c:pt idx="87">
                  <c:v>41989</c:v>
                </c:pt>
                <c:pt idx="88">
                  <c:v>41990</c:v>
                </c:pt>
                <c:pt idx="89">
                  <c:v>41991</c:v>
                </c:pt>
                <c:pt idx="90">
                  <c:v>41992</c:v>
                </c:pt>
                <c:pt idx="91">
                  <c:v>41995</c:v>
                </c:pt>
                <c:pt idx="92">
                  <c:v>41996</c:v>
                </c:pt>
                <c:pt idx="93">
                  <c:v>41997</c:v>
                </c:pt>
                <c:pt idx="94">
                  <c:v>42002</c:v>
                </c:pt>
                <c:pt idx="95">
                  <c:v>42003</c:v>
                </c:pt>
                <c:pt idx="96">
                  <c:v>42004</c:v>
                </c:pt>
                <c:pt idx="97">
                  <c:v>42006</c:v>
                </c:pt>
                <c:pt idx="98">
                  <c:v>42009</c:v>
                </c:pt>
                <c:pt idx="99">
                  <c:v>42010</c:v>
                </c:pt>
                <c:pt idx="100">
                  <c:v>42011</c:v>
                </c:pt>
                <c:pt idx="101">
                  <c:v>42012</c:v>
                </c:pt>
                <c:pt idx="102">
                  <c:v>42013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42023</c:v>
                </c:pt>
                <c:pt idx="109">
                  <c:v>42024</c:v>
                </c:pt>
                <c:pt idx="110">
                  <c:v>42025</c:v>
                </c:pt>
                <c:pt idx="111">
                  <c:v>42026</c:v>
                </c:pt>
                <c:pt idx="112">
                  <c:v>42027</c:v>
                </c:pt>
                <c:pt idx="113">
                  <c:v>42030</c:v>
                </c:pt>
                <c:pt idx="114">
                  <c:v>42031</c:v>
                </c:pt>
                <c:pt idx="115">
                  <c:v>42032</c:v>
                </c:pt>
                <c:pt idx="116">
                  <c:v>42033</c:v>
                </c:pt>
                <c:pt idx="117">
                  <c:v>42034</c:v>
                </c:pt>
                <c:pt idx="118">
                  <c:v>42037</c:v>
                </c:pt>
                <c:pt idx="119">
                  <c:v>42038</c:v>
                </c:pt>
                <c:pt idx="120">
                  <c:v>42039</c:v>
                </c:pt>
                <c:pt idx="121">
                  <c:v>42040</c:v>
                </c:pt>
                <c:pt idx="122">
                  <c:v>42041</c:v>
                </c:pt>
                <c:pt idx="123">
                  <c:v>42044</c:v>
                </c:pt>
                <c:pt idx="124">
                  <c:v>42045</c:v>
                </c:pt>
                <c:pt idx="125">
                  <c:v>42046</c:v>
                </c:pt>
                <c:pt idx="126">
                  <c:v>42047</c:v>
                </c:pt>
                <c:pt idx="127">
                  <c:v>42048</c:v>
                </c:pt>
                <c:pt idx="128">
                  <c:v>42051</c:v>
                </c:pt>
                <c:pt idx="129">
                  <c:v>42052</c:v>
                </c:pt>
              </c:numCache>
            </c:numRef>
          </c:cat>
          <c:val>
            <c:numRef>
              <c:f>'6M Depo Charts'!$D$17:$D$146</c:f>
              <c:numCache>
                <c:formatCode>0.0000%</c:formatCode>
                <c:ptCount val="130"/>
                <c:pt idx="0">
                  <c:v>2.3766372339813643E-3</c:v>
                </c:pt>
                <c:pt idx="1">
                  <c:v>2.3766372339813643E-3</c:v>
                </c:pt>
                <c:pt idx="2">
                  <c:v>2.3766372339813643E-3</c:v>
                </c:pt>
                <c:pt idx="3">
                  <c:v>2.3766372339813643E-3</c:v>
                </c:pt>
                <c:pt idx="4">
                  <c:v>2.3766372339813643E-3</c:v>
                </c:pt>
                <c:pt idx="5">
                  <c:v>2.3766372339813643E-3</c:v>
                </c:pt>
                <c:pt idx="6">
                  <c:v>2.3766372339813643E-3</c:v>
                </c:pt>
                <c:pt idx="7">
                  <c:v>2.3766372339813643E-3</c:v>
                </c:pt>
                <c:pt idx="8">
                  <c:v>2.3766372339813643E-3</c:v>
                </c:pt>
                <c:pt idx="9">
                  <c:v>2.3766372339813643E-3</c:v>
                </c:pt>
                <c:pt idx="10">
                  <c:v>2.3766372339813643E-3</c:v>
                </c:pt>
                <c:pt idx="11">
                  <c:v>2.3766372339813643E-3</c:v>
                </c:pt>
                <c:pt idx="12">
                  <c:v>2.3766372339813643E-3</c:v>
                </c:pt>
                <c:pt idx="13">
                  <c:v>2.3766372339813643E-3</c:v>
                </c:pt>
                <c:pt idx="14">
                  <c:v>2.3766372339813643E-3</c:v>
                </c:pt>
                <c:pt idx="15">
                  <c:v>2.3766372339813643E-3</c:v>
                </c:pt>
                <c:pt idx="16">
                  <c:v>2.3766372339813643E-3</c:v>
                </c:pt>
                <c:pt idx="17">
                  <c:v>2.3766372339813643E-3</c:v>
                </c:pt>
                <c:pt idx="18">
                  <c:v>2.3766372339813643E-3</c:v>
                </c:pt>
                <c:pt idx="19">
                  <c:v>2.3766372339813643E-3</c:v>
                </c:pt>
                <c:pt idx="20">
                  <c:v>2.3766372339813643E-3</c:v>
                </c:pt>
                <c:pt idx="21">
                  <c:v>2.3766372339813643E-3</c:v>
                </c:pt>
                <c:pt idx="22">
                  <c:v>2.3766372339813643E-3</c:v>
                </c:pt>
                <c:pt idx="23">
                  <c:v>2.3766372339813643E-3</c:v>
                </c:pt>
                <c:pt idx="24">
                  <c:v>2.3766372339813643E-3</c:v>
                </c:pt>
                <c:pt idx="25">
                  <c:v>2.3766372339813643E-3</c:v>
                </c:pt>
                <c:pt idx="26">
                  <c:v>2.3766372339813643E-3</c:v>
                </c:pt>
                <c:pt idx="27">
                  <c:v>2.3766372339813643E-3</c:v>
                </c:pt>
                <c:pt idx="28">
                  <c:v>2.3766372339813643E-3</c:v>
                </c:pt>
                <c:pt idx="29">
                  <c:v>2.3766372339813643E-3</c:v>
                </c:pt>
                <c:pt idx="30">
                  <c:v>2.3766372339813643E-3</c:v>
                </c:pt>
                <c:pt idx="31">
                  <c:v>2.3766372339813643E-3</c:v>
                </c:pt>
                <c:pt idx="32">
                  <c:v>2.3766372339813643E-3</c:v>
                </c:pt>
                <c:pt idx="33">
                  <c:v>2.3766372339813643E-3</c:v>
                </c:pt>
                <c:pt idx="34">
                  <c:v>2.3766372339813643E-3</c:v>
                </c:pt>
                <c:pt idx="35">
                  <c:v>2.3766372339813643E-3</c:v>
                </c:pt>
                <c:pt idx="36">
                  <c:v>2.3766372339813643E-3</c:v>
                </c:pt>
                <c:pt idx="37">
                  <c:v>2.3766372339813643E-3</c:v>
                </c:pt>
                <c:pt idx="38">
                  <c:v>2.3766372339813643E-3</c:v>
                </c:pt>
                <c:pt idx="39">
                  <c:v>2.3766372339813643E-3</c:v>
                </c:pt>
                <c:pt idx="40">
                  <c:v>2.3766372339813643E-3</c:v>
                </c:pt>
                <c:pt idx="41">
                  <c:v>2.3766372339813643E-3</c:v>
                </c:pt>
                <c:pt idx="42">
                  <c:v>2.3766372339813643E-3</c:v>
                </c:pt>
                <c:pt idx="43">
                  <c:v>2.3766372339813643E-3</c:v>
                </c:pt>
                <c:pt idx="44">
                  <c:v>2.3766372339813643E-3</c:v>
                </c:pt>
                <c:pt idx="45">
                  <c:v>2.3766372339813643E-3</c:v>
                </c:pt>
                <c:pt idx="46">
                  <c:v>2.3766372339813643E-3</c:v>
                </c:pt>
                <c:pt idx="47">
                  <c:v>2.3766372339813643E-3</c:v>
                </c:pt>
                <c:pt idx="48">
                  <c:v>2.3766372339813643E-3</c:v>
                </c:pt>
                <c:pt idx="49">
                  <c:v>2.3766372339813643E-3</c:v>
                </c:pt>
                <c:pt idx="50">
                  <c:v>2.3766372339813643E-3</c:v>
                </c:pt>
                <c:pt idx="51">
                  <c:v>2.3766372339813643E-3</c:v>
                </c:pt>
                <c:pt idx="52">
                  <c:v>2.3766372339813643E-3</c:v>
                </c:pt>
                <c:pt idx="53">
                  <c:v>2.3766372339813643E-3</c:v>
                </c:pt>
                <c:pt idx="54">
                  <c:v>2.3766372339813643E-3</c:v>
                </c:pt>
                <c:pt idx="55">
                  <c:v>2.3766372339813643E-3</c:v>
                </c:pt>
                <c:pt idx="56">
                  <c:v>2.3766372339813643E-3</c:v>
                </c:pt>
                <c:pt idx="57">
                  <c:v>2.3766372339813643E-3</c:v>
                </c:pt>
                <c:pt idx="58">
                  <c:v>2.3766372339813643E-3</c:v>
                </c:pt>
                <c:pt idx="59">
                  <c:v>2.3766372339813643E-3</c:v>
                </c:pt>
                <c:pt idx="60">
                  <c:v>2.3766372339813643E-3</c:v>
                </c:pt>
                <c:pt idx="61">
                  <c:v>2.3766372339813643E-3</c:v>
                </c:pt>
                <c:pt idx="62">
                  <c:v>2.3766372339813643E-3</c:v>
                </c:pt>
                <c:pt idx="63">
                  <c:v>2.3766372339813643E-3</c:v>
                </c:pt>
                <c:pt idx="64">
                  <c:v>2.3766372339813643E-3</c:v>
                </c:pt>
                <c:pt idx="65">
                  <c:v>2.3766372339813643E-3</c:v>
                </c:pt>
                <c:pt idx="66">
                  <c:v>2.3766372339813643E-3</c:v>
                </c:pt>
                <c:pt idx="67">
                  <c:v>2.3766372339813643E-3</c:v>
                </c:pt>
                <c:pt idx="68">
                  <c:v>2.3766372339813643E-3</c:v>
                </c:pt>
                <c:pt idx="69">
                  <c:v>2.3766372339813643E-3</c:v>
                </c:pt>
                <c:pt idx="70">
                  <c:v>2.3766372339813643E-3</c:v>
                </c:pt>
                <c:pt idx="71">
                  <c:v>2.3766372339813643E-3</c:v>
                </c:pt>
                <c:pt idx="72">
                  <c:v>2.3766372339813643E-3</c:v>
                </c:pt>
                <c:pt idx="73">
                  <c:v>2.3766372339813643E-3</c:v>
                </c:pt>
                <c:pt idx="74">
                  <c:v>2.3766372339813643E-3</c:v>
                </c:pt>
                <c:pt idx="75">
                  <c:v>2.3766372339813643E-3</c:v>
                </c:pt>
                <c:pt idx="76">
                  <c:v>2.3766372339813643E-3</c:v>
                </c:pt>
                <c:pt idx="77">
                  <c:v>2.3766372339813643E-3</c:v>
                </c:pt>
                <c:pt idx="78">
                  <c:v>2.3766372339813643E-3</c:v>
                </c:pt>
                <c:pt idx="79">
                  <c:v>2.3766372339813643E-3</c:v>
                </c:pt>
                <c:pt idx="80">
                  <c:v>2.3766372339813643E-3</c:v>
                </c:pt>
                <c:pt idx="81">
                  <c:v>2.3766372339813643E-3</c:v>
                </c:pt>
                <c:pt idx="82">
                  <c:v>2.3766372339813643E-3</c:v>
                </c:pt>
                <c:pt idx="83">
                  <c:v>2.3766372339813643E-3</c:v>
                </c:pt>
                <c:pt idx="84">
                  <c:v>2.3766372339813643E-3</c:v>
                </c:pt>
                <c:pt idx="85">
                  <c:v>2.3766372339813643E-3</c:v>
                </c:pt>
                <c:pt idx="86">
                  <c:v>2.3766372339813643E-3</c:v>
                </c:pt>
                <c:pt idx="87">
                  <c:v>2.3766372339813643E-3</c:v>
                </c:pt>
                <c:pt idx="88">
                  <c:v>2.3766372339813643E-3</c:v>
                </c:pt>
                <c:pt idx="89">
                  <c:v>2.3766372339813643E-3</c:v>
                </c:pt>
                <c:pt idx="90">
                  <c:v>2.3766372339813643E-3</c:v>
                </c:pt>
                <c:pt idx="91">
                  <c:v>2.3766372339813643E-3</c:v>
                </c:pt>
                <c:pt idx="92">
                  <c:v>2.3766372339813643E-3</c:v>
                </c:pt>
                <c:pt idx="93">
                  <c:v>2.3766372339813643E-3</c:v>
                </c:pt>
                <c:pt idx="94">
                  <c:v>2.3766372339813643E-3</c:v>
                </c:pt>
                <c:pt idx="95">
                  <c:v>2.3766372339813643E-3</c:v>
                </c:pt>
                <c:pt idx="96">
                  <c:v>2.3766372339813643E-3</c:v>
                </c:pt>
                <c:pt idx="97">
                  <c:v>2.3766372339813643E-3</c:v>
                </c:pt>
                <c:pt idx="98">
                  <c:v>2.3766372339813643E-3</c:v>
                </c:pt>
                <c:pt idx="99">
                  <c:v>2.3766372339813643E-3</c:v>
                </c:pt>
                <c:pt idx="100">
                  <c:v>2.3766372339813643E-3</c:v>
                </c:pt>
                <c:pt idx="101">
                  <c:v>2.3766372339813643E-3</c:v>
                </c:pt>
                <c:pt idx="102">
                  <c:v>2.3766372339813643E-3</c:v>
                </c:pt>
                <c:pt idx="103">
                  <c:v>2.3766372339813643E-3</c:v>
                </c:pt>
                <c:pt idx="104">
                  <c:v>2.3766372339813643E-3</c:v>
                </c:pt>
                <c:pt idx="105">
                  <c:v>2.3766372339813643E-3</c:v>
                </c:pt>
                <c:pt idx="106">
                  <c:v>2.3766372339813643E-3</c:v>
                </c:pt>
                <c:pt idx="107">
                  <c:v>2.3766372339813643E-3</c:v>
                </c:pt>
                <c:pt idx="108">
                  <c:v>2.3766372339813643E-3</c:v>
                </c:pt>
                <c:pt idx="109">
                  <c:v>2.3766372339813643E-3</c:v>
                </c:pt>
                <c:pt idx="110">
                  <c:v>2.3766372339813643E-3</c:v>
                </c:pt>
                <c:pt idx="111">
                  <c:v>2.3766372339813643E-3</c:v>
                </c:pt>
                <c:pt idx="112">
                  <c:v>2.3766372339813643E-3</c:v>
                </c:pt>
                <c:pt idx="113">
                  <c:v>2.3766372339813643E-3</c:v>
                </c:pt>
                <c:pt idx="114">
                  <c:v>2.3766372339813643E-3</c:v>
                </c:pt>
                <c:pt idx="115">
                  <c:v>2.3766372339813643E-3</c:v>
                </c:pt>
                <c:pt idx="116">
                  <c:v>2.3766372339813643E-3</c:v>
                </c:pt>
                <c:pt idx="117">
                  <c:v>2.3766372339813643E-3</c:v>
                </c:pt>
                <c:pt idx="118">
                  <c:v>2.3766372339813643E-3</c:v>
                </c:pt>
                <c:pt idx="119">
                  <c:v>2.3766372339813643E-3</c:v>
                </c:pt>
                <c:pt idx="120">
                  <c:v>2.3766372339813643E-3</c:v>
                </c:pt>
                <c:pt idx="121">
                  <c:v>2.3766372339813643E-3</c:v>
                </c:pt>
                <c:pt idx="122">
                  <c:v>2.3766372339813643E-3</c:v>
                </c:pt>
                <c:pt idx="123">
                  <c:v>2.3766372339813643E-3</c:v>
                </c:pt>
                <c:pt idx="124">
                  <c:v>2.3766372339813643E-3</c:v>
                </c:pt>
                <c:pt idx="125">
                  <c:v>2.3766372339813643E-3</c:v>
                </c:pt>
                <c:pt idx="126">
                  <c:v>2.3766372339813643E-3</c:v>
                </c:pt>
                <c:pt idx="127">
                  <c:v>2.3766372339813643E-3</c:v>
                </c:pt>
                <c:pt idx="128">
                  <c:v>2.3766372339813643E-3</c:v>
                </c:pt>
                <c:pt idx="129">
                  <c:v>2.3766372339813643E-3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 Depo Charts'!$E$16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 Depo Charts'!$B$17:$B$146</c:f>
              <c:numCache>
                <c:formatCode>ddd\,\ dd\-mmm\-yyyy</c:formatCode>
                <c:ptCount val="130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  <c:pt idx="67">
                  <c:v>41961</c:v>
                </c:pt>
                <c:pt idx="68">
                  <c:v>41962</c:v>
                </c:pt>
                <c:pt idx="69">
                  <c:v>41963</c:v>
                </c:pt>
                <c:pt idx="70">
                  <c:v>41964</c:v>
                </c:pt>
                <c:pt idx="71">
                  <c:v>41967</c:v>
                </c:pt>
                <c:pt idx="72">
                  <c:v>41968</c:v>
                </c:pt>
                <c:pt idx="73">
                  <c:v>41969</c:v>
                </c:pt>
                <c:pt idx="74">
                  <c:v>41970</c:v>
                </c:pt>
                <c:pt idx="75">
                  <c:v>41971</c:v>
                </c:pt>
                <c:pt idx="76">
                  <c:v>41974</c:v>
                </c:pt>
                <c:pt idx="77">
                  <c:v>41975</c:v>
                </c:pt>
                <c:pt idx="78">
                  <c:v>41976</c:v>
                </c:pt>
                <c:pt idx="79">
                  <c:v>41977</c:v>
                </c:pt>
                <c:pt idx="80">
                  <c:v>41978</c:v>
                </c:pt>
                <c:pt idx="81">
                  <c:v>41981</c:v>
                </c:pt>
                <c:pt idx="82">
                  <c:v>41982</c:v>
                </c:pt>
                <c:pt idx="83">
                  <c:v>41983</c:v>
                </c:pt>
                <c:pt idx="84">
                  <c:v>41984</c:v>
                </c:pt>
                <c:pt idx="85">
                  <c:v>41985</c:v>
                </c:pt>
                <c:pt idx="86">
                  <c:v>41988</c:v>
                </c:pt>
                <c:pt idx="87">
                  <c:v>41989</c:v>
                </c:pt>
                <c:pt idx="88">
                  <c:v>41990</c:v>
                </c:pt>
                <c:pt idx="89">
                  <c:v>41991</c:v>
                </c:pt>
                <c:pt idx="90">
                  <c:v>41992</c:v>
                </c:pt>
                <c:pt idx="91">
                  <c:v>41995</c:v>
                </c:pt>
                <c:pt idx="92">
                  <c:v>41996</c:v>
                </c:pt>
                <c:pt idx="93">
                  <c:v>41997</c:v>
                </c:pt>
                <c:pt idx="94">
                  <c:v>42002</c:v>
                </c:pt>
                <c:pt idx="95">
                  <c:v>42003</c:v>
                </c:pt>
                <c:pt idx="96">
                  <c:v>42004</c:v>
                </c:pt>
                <c:pt idx="97">
                  <c:v>42006</c:v>
                </c:pt>
                <c:pt idx="98">
                  <c:v>42009</c:v>
                </c:pt>
                <c:pt idx="99">
                  <c:v>42010</c:v>
                </c:pt>
                <c:pt idx="100">
                  <c:v>42011</c:v>
                </c:pt>
                <c:pt idx="101">
                  <c:v>42012</c:v>
                </c:pt>
                <c:pt idx="102">
                  <c:v>42013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42023</c:v>
                </c:pt>
                <c:pt idx="109">
                  <c:v>42024</c:v>
                </c:pt>
                <c:pt idx="110">
                  <c:v>42025</c:v>
                </c:pt>
                <c:pt idx="111">
                  <c:v>42026</c:v>
                </c:pt>
                <c:pt idx="112">
                  <c:v>42027</c:v>
                </c:pt>
                <c:pt idx="113">
                  <c:v>42030</c:v>
                </c:pt>
                <c:pt idx="114">
                  <c:v>42031</c:v>
                </c:pt>
                <c:pt idx="115">
                  <c:v>42032</c:v>
                </c:pt>
                <c:pt idx="116">
                  <c:v>42033</c:v>
                </c:pt>
                <c:pt idx="117">
                  <c:v>42034</c:v>
                </c:pt>
                <c:pt idx="118">
                  <c:v>42037</c:v>
                </c:pt>
                <c:pt idx="119">
                  <c:v>42038</c:v>
                </c:pt>
                <c:pt idx="120">
                  <c:v>42039</c:v>
                </c:pt>
                <c:pt idx="121">
                  <c:v>42040</c:v>
                </c:pt>
                <c:pt idx="122">
                  <c:v>42041</c:v>
                </c:pt>
                <c:pt idx="123">
                  <c:v>42044</c:v>
                </c:pt>
                <c:pt idx="124">
                  <c:v>42045</c:v>
                </c:pt>
                <c:pt idx="125">
                  <c:v>42046</c:v>
                </c:pt>
                <c:pt idx="126">
                  <c:v>42047</c:v>
                </c:pt>
                <c:pt idx="127">
                  <c:v>42048</c:v>
                </c:pt>
                <c:pt idx="128">
                  <c:v>42051</c:v>
                </c:pt>
                <c:pt idx="129">
                  <c:v>42052</c:v>
                </c:pt>
              </c:numCache>
            </c:numRef>
          </c:cat>
          <c:val>
            <c:numRef>
              <c:f>'6M Depo Charts'!$E$17:$E$146</c:f>
              <c:numCache>
                <c:formatCode>0.0000%</c:formatCode>
                <c:ptCount val="130"/>
                <c:pt idx="0">
                  <c:v>2.1868091458306736E-3</c:v>
                </c:pt>
                <c:pt idx="1">
                  <c:v>2.1929657324733986E-3</c:v>
                </c:pt>
                <c:pt idx="2">
                  <c:v>2.1950179280209735E-3</c:v>
                </c:pt>
                <c:pt idx="3">
                  <c:v>2.1970701235685488E-3</c:v>
                </c:pt>
                <c:pt idx="4">
                  <c:v>2.1991223191161237E-3</c:v>
                </c:pt>
                <c:pt idx="5">
                  <c:v>2.2011745146636986E-3</c:v>
                </c:pt>
                <c:pt idx="6">
                  <c:v>2.2073311013064236E-3</c:v>
                </c:pt>
                <c:pt idx="7">
                  <c:v>2.2093832968539985E-3</c:v>
                </c:pt>
                <c:pt idx="8">
                  <c:v>2.2114354924015738E-3</c:v>
                </c:pt>
                <c:pt idx="9">
                  <c:v>2.2134876879491487E-3</c:v>
                </c:pt>
                <c:pt idx="10">
                  <c:v>2.2155398834967236E-3</c:v>
                </c:pt>
                <c:pt idx="11">
                  <c:v>2.2216964701394486E-3</c:v>
                </c:pt>
                <c:pt idx="12">
                  <c:v>2.223748665687024E-3</c:v>
                </c:pt>
                <c:pt idx="13">
                  <c:v>2.2258008612345988E-3</c:v>
                </c:pt>
                <c:pt idx="14">
                  <c:v>2.2278530567821737E-3</c:v>
                </c:pt>
                <c:pt idx="15">
                  <c:v>2.229905252329749E-3</c:v>
                </c:pt>
                <c:pt idx="16">
                  <c:v>2.2360618389724736E-3</c:v>
                </c:pt>
                <c:pt idx="17">
                  <c:v>2.238114034520049E-3</c:v>
                </c:pt>
                <c:pt idx="18">
                  <c:v>2.2401662300676238E-3</c:v>
                </c:pt>
                <c:pt idx="19">
                  <c:v>2.2422184256151987E-3</c:v>
                </c:pt>
                <c:pt idx="20">
                  <c:v>2.244270621162774E-3</c:v>
                </c:pt>
                <c:pt idx="21">
                  <c:v>2.2504272078054991E-3</c:v>
                </c:pt>
                <c:pt idx="22">
                  <c:v>2.252479403353074E-3</c:v>
                </c:pt>
                <c:pt idx="23">
                  <c:v>2.2545315989006488E-3</c:v>
                </c:pt>
                <c:pt idx="24">
                  <c:v>2.2565837944482242E-3</c:v>
                </c:pt>
                <c:pt idx="25">
                  <c:v>2.258635989995799E-3</c:v>
                </c:pt>
                <c:pt idx="26">
                  <c:v>2.2647925766385241E-3</c:v>
                </c:pt>
                <c:pt idx="27">
                  <c:v>2.266844772186099E-3</c:v>
                </c:pt>
                <c:pt idx="28">
                  <c:v>2.2688969677336739E-3</c:v>
                </c:pt>
                <c:pt idx="29">
                  <c:v>2.2709491632812492E-3</c:v>
                </c:pt>
                <c:pt idx="30">
                  <c:v>2.273001358828824E-3</c:v>
                </c:pt>
                <c:pt idx="31">
                  <c:v>2.2791579454715491E-3</c:v>
                </c:pt>
                <c:pt idx="32">
                  <c:v>2.281210141019124E-3</c:v>
                </c:pt>
                <c:pt idx="33">
                  <c:v>2.2832623365666993E-3</c:v>
                </c:pt>
                <c:pt idx="34">
                  <c:v>2.2853145321142742E-3</c:v>
                </c:pt>
                <c:pt idx="35">
                  <c:v>2.2873667276618491E-3</c:v>
                </c:pt>
                <c:pt idx="36">
                  <c:v>2.2935233143045741E-3</c:v>
                </c:pt>
                <c:pt idx="37">
                  <c:v>2.295575509852149E-3</c:v>
                </c:pt>
                <c:pt idx="38">
                  <c:v>2.2976277053997243E-3</c:v>
                </c:pt>
                <c:pt idx="39">
                  <c:v>2.2996799009472992E-3</c:v>
                </c:pt>
                <c:pt idx="40">
                  <c:v>2.3017320964948741E-3</c:v>
                </c:pt>
                <c:pt idx="41">
                  <c:v>2.3078886831375991E-3</c:v>
                </c:pt>
                <c:pt idx="42">
                  <c:v>2.3099408786851744E-3</c:v>
                </c:pt>
                <c:pt idx="43">
                  <c:v>2.3119930742327493E-3</c:v>
                </c:pt>
                <c:pt idx="44">
                  <c:v>2.3140452697803242E-3</c:v>
                </c:pt>
                <c:pt idx="45">
                  <c:v>2.3160974653278991E-3</c:v>
                </c:pt>
                <c:pt idx="46">
                  <c:v>2.3222540519706241E-3</c:v>
                </c:pt>
                <c:pt idx="47">
                  <c:v>2.3243062475181995E-3</c:v>
                </c:pt>
                <c:pt idx="48">
                  <c:v>2.3263584430657743E-3</c:v>
                </c:pt>
                <c:pt idx="49">
                  <c:v>2.3284106386133492E-3</c:v>
                </c:pt>
                <c:pt idx="50">
                  <c:v>2.3304628341609245E-3</c:v>
                </c:pt>
                <c:pt idx="51">
                  <c:v>2.3366194208036496E-3</c:v>
                </c:pt>
                <c:pt idx="52">
                  <c:v>2.3386716163512245E-3</c:v>
                </c:pt>
                <c:pt idx="53">
                  <c:v>2.3407238118987993E-3</c:v>
                </c:pt>
                <c:pt idx="54">
                  <c:v>2.3427760074463747E-3</c:v>
                </c:pt>
                <c:pt idx="55">
                  <c:v>2.3448282029939495E-3</c:v>
                </c:pt>
                <c:pt idx="56">
                  <c:v>2.3509847896366746E-3</c:v>
                </c:pt>
                <c:pt idx="57">
                  <c:v>2.3530369851842495E-3</c:v>
                </c:pt>
                <c:pt idx="58">
                  <c:v>2.3550891807318244E-3</c:v>
                </c:pt>
                <c:pt idx="59">
                  <c:v>2.3571413762793997E-3</c:v>
                </c:pt>
                <c:pt idx="60">
                  <c:v>2.3591935718269745E-3</c:v>
                </c:pt>
                <c:pt idx="61">
                  <c:v>2.3653501584696996E-3</c:v>
                </c:pt>
                <c:pt idx="62">
                  <c:v>2.3674023540172745E-3</c:v>
                </c:pt>
                <c:pt idx="63">
                  <c:v>2.3694545495648498E-3</c:v>
                </c:pt>
                <c:pt idx="64">
                  <c:v>2.3715067451124247E-3</c:v>
                </c:pt>
                <c:pt idx="65">
                  <c:v>2.3735589406599996E-3</c:v>
                </c:pt>
                <c:pt idx="66">
                  <c:v>2.3797155273027246E-3</c:v>
                </c:pt>
                <c:pt idx="67">
                  <c:v>2.3817677228502995E-3</c:v>
                </c:pt>
                <c:pt idx="68">
                  <c:v>2.3838199183978748E-3</c:v>
                </c:pt>
                <c:pt idx="69">
                  <c:v>2.3858721139454497E-3</c:v>
                </c:pt>
                <c:pt idx="70">
                  <c:v>2.3879243094930246E-3</c:v>
                </c:pt>
                <c:pt idx="71">
                  <c:v>2.3940808961357496E-3</c:v>
                </c:pt>
                <c:pt idx="72">
                  <c:v>2.3961330916833249E-3</c:v>
                </c:pt>
                <c:pt idx="73">
                  <c:v>2.3981852872308998E-3</c:v>
                </c:pt>
                <c:pt idx="74">
                  <c:v>2.4002374827784747E-3</c:v>
                </c:pt>
                <c:pt idx="75">
                  <c:v>2.40228967832605E-3</c:v>
                </c:pt>
                <c:pt idx="76">
                  <c:v>2.4084462649687746E-3</c:v>
                </c:pt>
                <c:pt idx="77">
                  <c:v>2.4104984605163499E-3</c:v>
                </c:pt>
                <c:pt idx="78">
                  <c:v>2.4125506560639248E-3</c:v>
                </c:pt>
                <c:pt idx="79">
                  <c:v>2.4146028516114997E-3</c:v>
                </c:pt>
                <c:pt idx="80">
                  <c:v>2.416655047159075E-3</c:v>
                </c:pt>
                <c:pt idx="81">
                  <c:v>2.4228116338018001E-3</c:v>
                </c:pt>
                <c:pt idx="82">
                  <c:v>2.424863829349375E-3</c:v>
                </c:pt>
                <c:pt idx="83">
                  <c:v>2.4269160248969498E-3</c:v>
                </c:pt>
                <c:pt idx="84">
                  <c:v>2.4289682204445251E-3</c:v>
                </c:pt>
                <c:pt idx="85">
                  <c:v>2.4310204159921E-3</c:v>
                </c:pt>
                <c:pt idx="86">
                  <c:v>2.4371770026348251E-3</c:v>
                </c:pt>
                <c:pt idx="87">
                  <c:v>2.4392291981824E-3</c:v>
                </c:pt>
                <c:pt idx="88">
                  <c:v>2.4412813937299748E-3</c:v>
                </c:pt>
                <c:pt idx="89">
                  <c:v>2.4433335892775502E-3</c:v>
                </c:pt>
                <c:pt idx="90">
                  <c:v>2.445385784825125E-3</c:v>
                </c:pt>
                <c:pt idx="91">
                  <c:v>2.4515423714678501E-3</c:v>
                </c:pt>
                <c:pt idx="92">
                  <c:v>2.453594567015425E-3</c:v>
                </c:pt>
                <c:pt idx="93">
                  <c:v>2.4556467625630003E-3</c:v>
                </c:pt>
                <c:pt idx="94">
                  <c:v>2.4659077403008751E-3</c:v>
                </c:pt>
                <c:pt idx="95">
                  <c:v>2.46795993584845E-3</c:v>
                </c:pt>
                <c:pt idx="96">
                  <c:v>2.4700121313960253E-3</c:v>
                </c:pt>
                <c:pt idx="97">
                  <c:v>2.4741165224911751E-3</c:v>
                </c:pt>
                <c:pt idx="98">
                  <c:v>2.4802731091339001E-3</c:v>
                </c:pt>
                <c:pt idx="99">
                  <c:v>2.482325304681475E-3</c:v>
                </c:pt>
                <c:pt idx="100">
                  <c:v>2.4843775002290503E-3</c:v>
                </c:pt>
                <c:pt idx="101">
                  <c:v>2.4864296957766252E-3</c:v>
                </c:pt>
                <c:pt idx="102">
                  <c:v>2.4884818913242001E-3</c:v>
                </c:pt>
                <c:pt idx="103">
                  <c:v>2.4946384779669251E-3</c:v>
                </c:pt>
                <c:pt idx="104">
                  <c:v>2.4966906735145004E-3</c:v>
                </c:pt>
                <c:pt idx="105">
                  <c:v>2.4987428690620753E-3</c:v>
                </c:pt>
                <c:pt idx="106">
                  <c:v>2.5007950646096502E-3</c:v>
                </c:pt>
                <c:pt idx="107">
                  <c:v>2.5028472601572255E-3</c:v>
                </c:pt>
                <c:pt idx="108">
                  <c:v>2.5090038467999506E-3</c:v>
                </c:pt>
                <c:pt idx="109">
                  <c:v>2.5110560423475255E-3</c:v>
                </c:pt>
                <c:pt idx="110">
                  <c:v>2.5131082378951003E-3</c:v>
                </c:pt>
                <c:pt idx="111">
                  <c:v>2.5151604334426756E-3</c:v>
                </c:pt>
                <c:pt idx="112">
                  <c:v>2.5172126289902505E-3</c:v>
                </c:pt>
                <c:pt idx="113">
                  <c:v>2.5233692156329756E-3</c:v>
                </c:pt>
                <c:pt idx="114">
                  <c:v>2.5254214111805505E-3</c:v>
                </c:pt>
                <c:pt idx="115">
                  <c:v>2.5274736067281253E-3</c:v>
                </c:pt>
                <c:pt idx="116">
                  <c:v>2.5295258022757007E-3</c:v>
                </c:pt>
                <c:pt idx="117">
                  <c:v>2.5315779978232755E-3</c:v>
                </c:pt>
                <c:pt idx="118">
                  <c:v>2.5377345844660006E-3</c:v>
                </c:pt>
                <c:pt idx="119">
                  <c:v>2.5397867800135755E-3</c:v>
                </c:pt>
                <c:pt idx="120">
                  <c:v>2.5418389755611503E-3</c:v>
                </c:pt>
                <c:pt idx="121">
                  <c:v>2.5438911711087257E-3</c:v>
                </c:pt>
                <c:pt idx="122">
                  <c:v>2.5459433666563005E-3</c:v>
                </c:pt>
                <c:pt idx="123">
                  <c:v>2.5520999532990256E-3</c:v>
                </c:pt>
                <c:pt idx="124">
                  <c:v>2.5541521488466005E-3</c:v>
                </c:pt>
                <c:pt idx="125">
                  <c:v>2.5562043443941758E-3</c:v>
                </c:pt>
                <c:pt idx="126">
                  <c:v>2.5582565399417507E-3</c:v>
                </c:pt>
                <c:pt idx="127">
                  <c:v>2.5603087354893255E-3</c:v>
                </c:pt>
                <c:pt idx="128">
                  <c:v>2.5664653221320506E-3</c:v>
                </c:pt>
                <c:pt idx="129">
                  <c:v>2.5685175176796259E-3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 Depo Charts'!$F$16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 Depo Charts'!$B$17:$B$146</c:f>
              <c:numCache>
                <c:formatCode>ddd\,\ dd\-mmm\-yyyy</c:formatCode>
                <c:ptCount val="130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  <c:pt idx="67">
                  <c:v>41961</c:v>
                </c:pt>
                <c:pt idx="68">
                  <c:v>41962</c:v>
                </c:pt>
                <c:pt idx="69">
                  <c:v>41963</c:v>
                </c:pt>
                <c:pt idx="70">
                  <c:v>41964</c:v>
                </c:pt>
                <c:pt idx="71">
                  <c:v>41967</c:v>
                </c:pt>
                <c:pt idx="72">
                  <c:v>41968</c:v>
                </c:pt>
                <c:pt idx="73">
                  <c:v>41969</c:v>
                </c:pt>
                <c:pt idx="74">
                  <c:v>41970</c:v>
                </c:pt>
                <c:pt idx="75">
                  <c:v>41971</c:v>
                </c:pt>
                <c:pt idx="76">
                  <c:v>41974</c:v>
                </c:pt>
                <c:pt idx="77">
                  <c:v>41975</c:v>
                </c:pt>
                <c:pt idx="78">
                  <c:v>41976</c:v>
                </c:pt>
                <c:pt idx="79">
                  <c:v>41977</c:v>
                </c:pt>
                <c:pt idx="80">
                  <c:v>41978</c:v>
                </c:pt>
                <c:pt idx="81">
                  <c:v>41981</c:v>
                </c:pt>
                <c:pt idx="82">
                  <c:v>41982</c:v>
                </c:pt>
                <c:pt idx="83">
                  <c:v>41983</c:v>
                </c:pt>
                <c:pt idx="84">
                  <c:v>41984</c:v>
                </c:pt>
                <c:pt idx="85">
                  <c:v>41985</c:v>
                </c:pt>
                <c:pt idx="86">
                  <c:v>41988</c:v>
                </c:pt>
                <c:pt idx="87">
                  <c:v>41989</c:v>
                </c:pt>
                <c:pt idx="88">
                  <c:v>41990</c:v>
                </c:pt>
                <c:pt idx="89">
                  <c:v>41991</c:v>
                </c:pt>
                <c:pt idx="90">
                  <c:v>41992</c:v>
                </c:pt>
                <c:pt idx="91">
                  <c:v>41995</c:v>
                </c:pt>
                <c:pt idx="92">
                  <c:v>41996</c:v>
                </c:pt>
                <c:pt idx="93">
                  <c:v>41997</c:v>
                </c:pt>
                <c:pt idx="94">
                  <c:v>42002</c:v>
                </c:pt>
                <c:pt idx="95">
                  <c:v>42003</c:v>
                </c:pt>
                <c:pt idx="96">
                  <c:v>42004</c:v>
                </c:pt>
                <c:pt idx="97">
                  <c:v>42006</c:v>
                </c:pt>
                <c:pt idx="98">
                  <c:v>42009</c:v>
                </c:pt>
                <c:pt idx="99">
                  <c:v>42010</c:v>
                </c:pt>
                <c:pt idx="100">
                  <c:v>42011</c:v>
                </c:pt>
                <c:pt idx="101">
                  <c:v>42012</c:v>
                </c:pt>
                <c:pt idx="102">
                  <c:v>42013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42023</c:v>
                </c:pt>
                <c:pt idx="109">
                  <c:v>42024</c:v>
                </c:pt>
                <c:pt idx="110">
                  <c:v>42025</c:v>
                </c:pt>
                <c:pt idx="111">
                  <c:v>42026</c:v>
                </c:pt>
                <c:pt idx="112">
                  <c:v>42027</c:v>
                </c:pt>
                <c:pt idx="113">
                  <c:v>42030</c:v>
                </c:pt>
                <c:pt idx="114">
                  <c:v>42031</c:v>
                </c:pt>
                <c:pt idx="115">
                  <c:v>42032</c:v>
                </c:pt>
                <c:pt idx="116">
                  <c:v>42033</c:v>
                </c:pt>
                <c:pt idx="117">
                  <c:v>42034</c:v>
                </c:pt>
                <c:pt idx="118">
                  <c:v>42037</c:v>
                </c:pt>
                <c:pt idx="119">
                  <c:v>42038</c:v>
                </c:pt>
                <c:pt idx="120">
                  <c:v>42039</c:v>
                </c:pt>
                <c:pt idx="121">
                  <c:v>42040</c:v>
                </c:pt>
                <c:pt idx="122">
                  <c:v>42041</c:v>
                </c:pt>
                <c:pt idx="123">
                  <c:v>42044</c:v>
                </c:pt>
                <c:pt idx="124">
                  <c:v>42045</c:v>
                </c:pt>
                <c:pt idx="125">
                  <c:v>42046</c:v>
                </c:pt>
                <c:pt idx="126">
                  <c:v>42047</c:v>
                </c:pt>
                <c:pt idx="127">
                  <c:v>42048</c:v>
                </c:pt>
                <c:pt idx="128">
                  <c:v>42051</c:v>
                </c:pt>
                <c:pt idx="129">
                  <c:v>42052</c:v>
                </c:pt>
              </c:numCache>
            </c:numRef>
          </c:cat>
          <c:val>
            <c:numRef>
              <c:f>'6M Depo Charts'!$F$17:$F$146</c:f>
              <c:numCache>
                <c:formatCode>0.0000%</c:formatCode>
                <c:ptCount val="130"/>
                <c:pt idx="0">
                  <c:v>2.0094879652556279E-3</c:v>
                </c:pt>
                <c:pt idx="1">
                  <c:v>2.0292544618567229E-3</c:v>
                </c:pt>
                <c:pt idx="2">
                  <c:v>2.0357562142482174E-3</c:v>
                </c:pt>
                <c:pt idx="3">
                  <c:v>2.0422144267352774E-3</c:v>
                </c:pt>
                <c:pt idx="4">
                  <c:v>2.0486290993179022E-3</c:v>
                </c:pt>
                <c:pt idx="5">
                  <c:v>2.055000231996092E-3</c:v>
                </c:pt>
                <c:pt idx="6">
                  <c:v>2.0738523906040506E-3</c:v>
                </c:pt>
                <c:pt idx="7">
                  <c:v>2.0800493636644996E-3</c:v>
                </c:pt>
                <c:pt idx="8">
                  <c:v>2.0862027968205138E-3</c:v>
                </c:pt>
                <c:pt idx="9">
                  <c:v>2.092312690072093E-3</c:v>
                </c:pt>
                <c:pt idx="10">
                  <c:v>2.098379043419237E-3</c:v>
                </c:pt>
                <c:pt idx="11">
                  <c:v>2.1163168640340592E-3</c:v>
                </c:pt>
                <c:pt idx="12">
                  <c:v>2.1222090577634628E-3</c:v>
                </c:pt>
                <c:pt idx="13">
                  <c:v>2.1280577115884314E-3</c:v>
                </c:pt>
                <c:pt idx="14">
                  <c:v>2.1338628255089653E-3</c:v>
                </c:pt>
                <c:pt idx="15">
                  <c:v>2.1396243995250638E-3</c:v>
                </c:pt>
                <c:pt idx="16">
                  <c:v>2.1566478821467491E-3</c:v>
                </c:pt>
                <c:pt idx="17">
                  <c:v>2.1622352965451072E-3</c:v>
                </c:pt>
                <c:pt idx="18">
                  <c:v>2.1677791710390305E-3</c:v>
                </c:pt>
                <c:pt idx="19">
                  <c:v>2.1732795056285188E-3</c:v>
                </c:pt>
                <c:pt idx="20">
                  <c:v>2.1787363003135719E-3</c:v>
                </c:pt>
                <c:pt idx="21">
                  <c:v>2.1948454449421204E-3</c:v>
                </c:pt>
                <c:pt idx="22">
                  <c:v>2.2001280800094335E-3</c:v>
                </c:pt>
                <c:pt idx="23">
                  <c:v>2.2053671751723113E-3</c:v>
                </c:pt>
                <c:pt idx="24">
                  <c:v>2.2105627304307538E-3</c:v>
                </c:pt>
                <c:pt idx="25">
                  <c:v>2.2157147457847618E-3</c:v>
                </c:pt>
                <c:pt idx="26">
                  <c:v>2.2309095524201735E-3</c:v>
                </c:pt>
                <c:pt idx="27">
                  <c:v>2.2358874081564411E-3</c:v>
                </c:pt>
                <c:pt idx="28">
                  <c:v>2.2408217239882735E-3</c:v>
                </c:pt>
                <c:pt idx="29">
                  <c:v>2.2457124999156705E-3</c:v>
                </c:pt>
                <c:pt idx="30">
                  <c:v>2.2505597359386326E-3</c:v>
                </c:pt>
                <c:pt idx="31">
                  <c:v>2.2648402045809079E-3</c:v>
                </c:pt>
                <c:pt idx="32">
                  <c:v>2.2695132809861301E-3</c:v>
                </c:pt>
                <c:pt idx="33">
                  <c:v>2.2741428174869165E-3</c:v>
                </c:pt>
                <c:pt idx="34">
                  <c:v>2.2787288140832685E-3</c:v>
                </c:pt>
                <c:pt idx="35">
                  <c:v>2.2832712707751852E-3</c:v>
                </c:pt>
                <c:pt idx="36">
                  <c:v>2.2966374014243241E-3</c:v>
                </c:pt>
                <c:pt idx="37">
                  <c:v>2.3010056984985004E-3</c:v>
                </c:pt>
                <c:pt idx="38">
                  <c:v>2.3053304556682414E-3</c:v>
                </c:pt>
                <c:pt idx="39">
                  <c:v>2.3096116729335479E-3</c:v>
                </c:pt>
                <c:pt idx="40">
                  <c:v>2.3138493502944187E-3</c:v>
                </c:pt>
                <c:pt idx="41">
                  <c:v>2.3263011429504213E-3</c:v>
                </c:pt>
                <c:pt idx="42">
                  <c:v>2.3303646606935521E-3</c:v>
                </c:pt>
                <c:pt idx="43">
                  <c:v>2.334384638532248E-3</c:v>
                </c:pt>
                <c:pt idx="44">
                  <c:v>2.3383610764665086E-3</c:v>
                </c:pt>
                <c:pt idx="45">
                  <c:v>2.342293974496334E-3</c:v>
                </c:pt>
                <c:pt idx="46">
                  <c:v>2.3538314291592002E-3</c:v>
                </c:pt>
                <c:pt idx="47">
                  <c:v>2.3575901675712851E-3</c:v>
                </c:pt>
                <c:pt idx="48">
                  <c:v>2.3613053660789356E-3</c:v>
                </c:pt>
                <c:pt idx="49">
                  <c:v>2.3649770246821507E-3</c:v>
                </c:pt>
                <c:pt idx="50">
                  <c:v>2.3686051433809306E-3</c:v>
                </c:pt>
                <c:pt idx="51">
                  <c:v>2.37922826005066E-3</c:v>
                </c:pt>
                <c:pt idx="52">
                  <c:v>2.3826822191316999E-3</c:v>
                </c:pt>
                <c:pt idx="53">
                  <c:v>2.3860926383083045E-3</c:v>
                </c:pt>
                <c:pt idx="54">
                  <c:v>2.3894595175804742E-3</c:v>
                </c:pt>
                <c:pt idx="55">
                  <c:v>2.392782856948209E-3</c:v>
                </c:pt>
                <c:pt idx="56">
                  <c:v>2.4024916356248016E-3</c:v>
                </c:pt>
                <c:pt idx="57">
                  <c:v>2.405640815374796E-3</c:v>
                </c:pt>
                <c:pt idx="58">
                  <c:v>2.4087464552203551E-3</c:v>
                </c:pt>
                <c:pt idx="59">
                  <c:v>2.4118085551614794E-3</c:v>
                </c:pt>
                <c:pt idx="60">
                  <c:v>2.4148271151981683E-3</c:v>
                </c:pt>
                <c:pt idx="61">
                  <c:v>2.4236215558816245E-3</c:v>
                </c:pt>
                <c:pt idx="62">
                  <c:v>2.4264659563005735E-3</c:v>
                </c:pt>
                <c:pt idx="63">
                  <c:v>2.4292668168150872E-3</c:v>
                </c:pt>
                <c:pt idx="64">
                  <c:v>2.4320241374251655E-3</c:v>
                </c:pt>
                <c:pt idx="65">
                  <c:v>2.4347379181308094E-3</c:v>
                </c:pt>
                <c:pt idx="66">
                  <c:v>2.4426180208211292E-3</c:v>
                </c:pt>
                <c:pt idx="67">
                  <c:v>2.4451576419090323E-3</c:v>
                </c:pt>
                <c:pt idx="68">
                  <c:v>2.4476537230925005E-3</c:v>
                </c:pt>
                <c:pt idx="69">
                  <c:v>2.4501062643715334E-3</c:v>
                </c:pt>
                <c:pt idx="70">
                  <c:v>2.4525152657461314E-3</c:v>
                </c:pt>
                <c:pt idx="71">
                  <c:v>2.4594810304433149E-3</c:v>
                </c:pt>
                <c:pt idx="72">
                  <c:v>2.4617158722001725E-3</c:v>
                </c:pt>
                <c:pt idx="73">
                  <c:v>2.4639071740525952E-3</c:v>
                </c:pt>
                <c:pt idx="74">
                  <c:v>2.4660549360005827E-3</c:v>
                </c:pt>
                <c:pt idx="75">
                  <c:v>2.4681591580441352E-3</c:v>
                </c:pt>
                <c:pt idx="76">
                  <c:v>2.4742105847481819E-3</c:v>
                </c:pt>
                <c:pt idx="77">
                  <c:v>2.4761406471739945E-3</c:v>
                </c:pt>
                <c:pt idx="78">
                  <c:v>2.4780271696953713E-3</c:v>
                </c:pt>
                <c:pt idx="79">
                  <c:v>2.4798701523123133E-3</c:v>
                </c:pt>
                <c:pt idx="80">
                  <c:v>2.4816695950248204E-3</c:v>
                </c:pt>
                <c:pt idx="81">
                  <c:v>2.4868066837357306E-3</c:v>
                </c:pt>
                <c:pt idx="82">
                  <c:v>2.4884319668304973E-3</c:v>
                </c:pt>
                <c:pt idx="83">
                  <c:v>2.4900137100208291E-3</c:v>
                </c:pt>
                <c:pt idx="84">
                  <c:v>2.4915519133067257E-3</c:v>
                </c:pt>
                <c:pt idx="85">
                  <c:v>2.4930465766881873E-3</c:v>
                </c:pt>
                <c:pt idx="86">
                  <c:v>2.4972693274059607E-3</c:v>
                </c:pt>
                <c:pt idx="87">
                  <c:v>2.498589831169682E-3</c:v>
                </c:pt>
                <c:pt idx="88">
                  <c:v>2.4998667950289679E-3</c:v>
                </c:pt>
                <c:pt idx="89">
                  <c:v>2.5011002189838194E-3</c:v>
                </c:pt>
                <c:pt idx="90">
                  <c:v>2.5022901030342351E-3</c:v>
                </c:pt>
                <c:pt idx="91">
                  <c:v>2.5055985157588722E-3</c:v>
                </c:pt>
                <c:pt idx="92">
                  <c:v>2.506614240191548E-3</c:v>
                </c:pt>
                <c:pt idx="93">
                  <c:v>2.5075864247197884E-3</c:v>
                </c:pt>
                <c:pt idx="94">
                  <c:v>2.511794248794465E-3</c:v>
                </c:pt>
                <c:pt idx="95">
                  <c:v>2.5125051938960953E-3</c:v>
                </c:pt>
                <c:pt idx="96">
                  <c:v>2.5131725990932903E-3</c:v>
                </c:pt>
                <c:pt idx="97">
                  <c:v>2.5143767897743757E-3</c:v>
                </c:pt>
                <c:pt idx="98">
                  <c:v>2.5158565265127396E-3</c:v>
                </c:pt>
                <c:pt idx="99">
                  <c:v>2.516262692283324E-3</c:v>
                </c:pt>
                <c:pt idx="100">
                  <c:v>2.516625318149474E-3</c:v>
                </c:pt>
                <c:pt idx="101">
                  <c:v>2.5169444041111882E-3</c:v>
                </c:pt>
                <c:pt idx="102">
                  <c:v>2.5172199501684676E-3</c:v>
                </c:pt>
                <c:pt idx="103">
                  <c:v>2.5177853489136955E-3</c:v>
                </c:pt>
                <c:pt idx="104">
                  <c:v>2.5178867353532345E-3</c:v>
                </c:pt>
                <c:pt idx="105">
                  <c:v>2.5179445818883386E-3</c:v>
                </c:pt>
                <c:pt idx="106">
                  <c:v>2.5179588885190073E-3</c:v>
                </c:pt>
                <c:pt idx="107">
                  <c:v>2.5179296552452412E-3</c:v>
                </c:pt>
                <c:pt idx="108">
                  <c:v>2.5175807159973323E-3</c:v>
                </c:pt>
                <c:pt idx="109">
                  <c:v>2.5173773231058263E-3</c:v>
                </c:pt>
                <c:pt idx="110">
                  <c:v>2.5171303903098845E-3</c:v>
                </c:pt>
                <c:pt idx="111">
                  <c:v>2.5168399176095078E-3</c:v>
                </c:pt>
                <c:pt idx="112">
                  <c:v>2.5165059050046967E-3</c:v>
                </c:pt>
                <c:pt idx="113">
                  <c:v>2.515242627763651E-3</c:v>
                </c:pt>
                <c:pt idx="114">
                  <c:v>2.514734455541099E-3</c:v>
                </c:pt>
                <c:pt idx="115">
                  <c:v>2.5141827434141122E-3</c:v>
                </c:pt>
                <c:pt idx="116">
                  <c:v>2.51358749138269E-3</c:v>
                </c:pt>
                <c:pt idx="117">
                  <c:v>2.512948699446833E-3</c:v>
                </c:pt>
                <c:pt idx="118">
                  <c:v>2.5107710842126509E-3</c:v>
                </c:pt>
                <c:pt idx="119">
                  <c:v>2.5099581326590535E-3</c:v>
                </c:pt>
                <c:pt idx="120">
                  <c:v>2.5091016412010212E-3</c:v>
                </c:pt>
                <c:pt idx="121">
                  <c:v>2.5082016098385532E-3</c:v>
                </c:pt>
                <c:pt idx="122">
                  <c:v>2.5072580385716511E-3</c:v>
                </c:pt>
                <c:pt idx="123">
                  <c:v>2.5041660853443322E-3</c:v>
                </c:pt>
                <c:pt idx="124">
                  <c:v>2.5030483544596898E-3</c:v>
                </c:pt>
                <c:pt idx="125">
                  <c:v>2.5018870836706116E-3</c:v>
                </c:pt>
                <c:pt idx="126">
                  <c:v>2.5006822729770986E-3</c:v>
                </c:pt>
                <c:pt idx="127">
                  <c:v>2.4994339223791502E-3</c:v>
                </c:pt>
                <c:pt idx="128">
                  <c:v>2.4954276311586953E-3</c:v>
                </c:pt>
                <c:pt idx="129">
                  <c:v>2.494005120943007E-3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'6M Depo Charts'!$G$16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cat>
            <c:numRef>
              <c:f>'6M Depo Charts'!$B$17:$B$146</c:f>
              <c:numCache>
                <c:formatCode>ddd\,\ dd\-mmm\-yyyy</c:formatCode>
                <c:ptCount val="130"/>
                <c:pt idx="0">
                  <c:v>41866</c:v>
                </c:pt>
                <c:pt idx="1">
                  <c:v>41869</c:v>
                </c:pt>
                <c:pt idx="2">
                  <c:v>41870</c:v>
                </c:pt>
                <c:pt idx="3">
                  <c:v>41871</c:v>
                </c:pt>
                <c:pt idx="4">
                  <c:v>41872</c:v>
                </c:pt>
                <c:pt idx="5">
                  <c:v>41873</c:v>
                </c:pt>
                <c:pt idx="6">
                  <c:v>41876</c:v>
                </c:pt>
                <c:pt idx="7">
                  <c:v>41877</c:v>
                </c:pt>
                <c:pt idx="8">
                  <c:v>41878</c:v>
                </c:pt>
                <c:pt idx="9">
                  <c:v>41879</c:v>
                </c:pt>
                <c:pt idx="10">
                  <c:v>41880</c:v>
                </c:pt>
                <c:pt idx="11">
                  <c:v>41883</c:v>
                </c:pt>
                <c:pt idx="12">
                  <c:v>41884</c:v>
                </c:pt>
                <c:pt idx="13">
                  <c:v>41885</c:v>
                </c:pt>
                <c:pt idx="14">
                  <c:v>41886</c:v>
                </c:pt>
                <c:pt idx="15">
                  <c:v>41887</c:v>
                </c:pt>
                <c:pt idx="16">
                  <c:v>41890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41913</c:v>
                </c:pt>
                <c:pt idx="34">
                  <c:v>41914</c:v>
                </c:pt>
                <c:pt idx="35">
                  <c:v>41915</c:v>
                </c:pt>
                <c:pt idx="36">
                  <c:v>41918</c:v>
                </c:pt>
                <c:pt idx="37">
                  <c:v>41919</c:v>
                </c:pt>
                <c:pt idx="38">
                  <c:v>41920</c:v>
                </c:pt>
                <c:pt idx="39">
                  <c:v>41921</c:v>
                </c:pt>
                <c:pt idx="40">
                  <c:v>41922</c:v>
                </c:pt>
                <c:pt idx="41">
                  <c:v>41925</c:v>
                </c:pt>
                <c:pt idx="42">
                  <c:v>41926</c:v>
                </c:pt>
                <c:pt idx="43">
                  <c:v>41927</c:v>
                </c:pt>
                <c:pt idx="44">
                  <c:v>41928</c:v>
                </c:pt>
                <c:pt idx="45">
                  <c:v>41929</c:v>
                </c:pt>
                <c:pt idx="46">
                  <c:v>41932</c:v>
                </c:pt>
                <c:pt idx="47">
                  <c:v>41933</c:v>
                </c:pt>
                <c:pt idx="48">
                  <c:v>41934</c:v>
                </c:pt>
                <c:pt idx="49">
                  <c:v>41935</c:v>
                </c:pt>
                <c:pt idx="50">
                  <c:v>41936</c:v>
                </c:pt>
                <c:pt idx="51">
                  <c:v>41939</c:v>
                </c:pt>
                <c:pt idx="52">
                  <c:v>41940</c:v>
                </c:pt>
                <c:pt idx="53">
                  <c:v>41941</c:v>
                </c:pt>
                <c:pt idx="54">
                  <c:v>41942</c:v>
                </c:pt>
                <c:pt idx="55">
                  <c:v>41943</c:v>
                </c:pt>
                <c:pt idx="56">
                  <c:v>41946</c:v>
                </c:pt>
                <c:pt idx="57">
                  <c:v>41947</c:v>
                </c:pt>
                <c:pt idx="58">
                  <c:v>41948</c:v>
                </c:pt>
                <c:pt idx="59">
                  <c:v>41949</c:v>
                </c:pt>
                <c:pt idx="60">
                  <c:v>41950</c:v>
                </c:pt>
                <c:pt idx="61">
                  <c:v>41953</c:v>
                </c:pt>
                <c:pt idx="62">
                  <c:v>41954</c:v>
                </c:pt>
                <c:pt idx="63">
                  <c:v>41955</c:v>
                </c:pt>
                <c:pt idx="64">
                  <c:v>41956</c:v>
                </c:pt>
                <c:pt idx="65">
                  <c:v>41957</c:v>
                </c:pt>
                <c:pt idx="66">
                  <c:v>41960</c:v>
                </c:pt>
                <c:pt idx="67">
                  <c:v>41961</c:v>
                </c:pt>
                <c:pt idx="68">
                  <c:v>41962</c:v>
                </c:pt>
                <c:pt idx="69">
                  <c:v>41963</c:v>
                </c:pt>
                <c:pt idx="70">
                  <c:v>41964</c:v>
                </c:pt>
                <c:pt idx="71">
                  <c:v>41967</c:v>
                </c:pt>
                <c:pt idx="72">
                  <c:v>41968</c:v>
                </c:pt>
                <c:pt idx="73">
                  <c:v>41969</c:v>
                </c:pt>
                <c:pt idx="74">
                  <c:v>41970</c:v>
                </c:pt>
                <c:pt idx="75">
                  <c:v>41971</c:v>
                </c:pt>
                <c:pt idx="76">
                  <c:v>41974</c:v>
                </c:pt>
                <c:pt idx="77">
                  <c:v>41975</c:v>
                </c:pt>
                <c:pt idx="78">
                  <c:v>41976</c:v>
                </c:pt>
                <c:pt idx="79">
                  <c:v>41977</c:v>
                </c:pt>
                <c:pt idx="80">
                  <c:v>41978</c:v>
                </c:pt>
                <c:pt idx="81">
                  <c:v>41981</c:v>
                </c:pt>
                <c:pt idx="82">
                  <c:v>41982</c:v>
                </c:pt>
                <c:pt idx="83">
                  <c:v>41983</c:v>
                </c:pt>
                <c:pt idx="84">
                  <c:v>41984</c:v>
                </c:pt>
                <c:pt idx="85">
                  <c:v>41985</c:v>
                </c:pt>
                <c:pt idx="86">
                  <c:v>41988</c:v>
                </c:pt>
                <c:pt idx="87">
                  <c:v>41989</c:v>
                </c:pt>
                <c:pt idx="88">
                  <c:v>41990</c:v>
                </c:pt>
                <c:pt idx="89">
                  <c:v>41991</c:v>
                </c:pt>
                <c:pt idx="90">
                  <c:v>41992</c:v>
                </c:pt>
                <c:pt idx="91">
                  <c:v>41995</c:v>
                </c:pt>
                <c:pt idx="92">
                  <c:v>41996</c:v>
                </c:pt>
                <c:pt idx="93">
                  <c:v>41997</c:v>
                </c:pt>
                <c:pt idx="94">
                  <c:v>42002</c:v>
                </c:pt>
                <c:pt idx="95">
                  <c:v>42003</c:v>
                </c:pt>
                <c:pt idx="96">
                  <c:v>42004</c:v>
                </c:pt>
                <c:pt idx="97">
                  <c:v>42006</c:v>
                </c:pt>
                <c:pt idx="98">
                  <c:v>42009</c:v>
                </c:pt>
                <c:pt idx="99">
                  <c:v>42010</c:v>
                </c:pt>
                <c:pt idx="100">
                  <c:v>42011</c:v>
                </c:pt>
                <c:pt idx="101">
                  <c:v>42012</c:v>
                </c:pt>
                <c:pt idx="102">
                  <c:v>42013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42023</c:v>
                </c:pt>
                <c:pt idx="109">
                  <c:v>42024</c:v>
                </c:pt>
                <c:pt idx="110">
                  <c:v>42025</c:v>
                </c:pt>
                <c:pt idx="111">
                  <c:v>42026</c:v>
                </c:pt>
                <c:pt idx="112">
                  <c:v>42027</c:v>
                </c:pt>
                <c:pt idx="113">
                  <c:v>42030</c:v>
                </c:pt>
                <c:pt idx="114">
                  <c:v>42031</c:v>
                </c:pt>
                <c:pt idx="115">
                  <c:v>42032</c:v>
                </c:pt>
                <c:pt idx="116">
                  <c:v>42033</c:v>
                </c:pt>
                <c:pt idx="117">
                  <c:v>42034</c:v>
                </c:pt>
                <c:pt idx="118">
                  <c:v>42037</c:v>
                </c:pt>
                <c:pt idx="119">
                  <c:v>42038</c:v>
                </c:pt>
                <c:pt idx="120">
                  <c:v>42039</c:v>
                </c:pt>
                <c:pt idx="121">
                  <c:v>42040</c:v>
                </c:pt>
                <c:pt idx="122">
                  <c:v>42041</c:v>
                </c:pt>
                <c:pt idx="123">
                  <c:v>42044</c:v>
                </c:pt>
                <c:pt idx="124">
                  <c:v>42045</c:v>
                </c:pt>
                <c:pt idx="125">
                  <c:v>42046</c:v>
                </c:pt>
                <c:pt idx="126">
                  <c:v>42047</c:v>
                </c:pt>
                <c:pt idx="127">
                  <c:v>42048</c:v>
                </c:pt>
                <c:pt idx="128">
                  <c:v>42051</c:v>
                </c:pt>
                <c:pt idx="129">
                  <c:v>42052</c:v>
                </c:pt>
              </c:numCache>
            </c:numRef>
          </c:cat>
          <c:val>
            <c:numRef>
              <c:f>'6M Depo Charts'!$G$17:$G$146</c:f>
              <c:numCache>
                <c:formatCode>0.0000%</c:formatCode>
                <c:ptCount val="130"/>
                <c:pt idx="0">
                  <c:v>1.8516503133813155E-3</c:v>
                </c:pt>
                <c:pt idx="1">
                  <c:v>1.8963067558904032E-3</c:v>
                </c:pt>
                <c:pt idx="2">
                  <c:v>1.9107514931319149E-3</c:v>
                </c:pt>
                <c:pt idx="3">
                  <c:v>1.9249783486125415E-3</c:v>
                </c:pt>
                <c:pt idx="4">
                  <c:v>1.9389888163542071E-3</c:v>
                </c:pt>
                <c:pt idx="5">
                  <c:v>1.952784390378836E-3</c:v>
                </c:pt>
                <c:pt idx="6">
                  <c:v>1.992896690369745E-3</c:v>
                </c:pt>
                <c:pt idx="7">
                  <c:v>2.0058476297454687E-3</c:v>
                </c:pt>
                <c:pt idx="8">
                  <c:v>2.0185911455137769E-3</c:v>
                </c:pt>
                <c:pt idx="9">
                  <c:v>2.0311287316965936E-3</c:v>
                </c:pt>
                <c:pt idx="10">
                  <c:v>2.0434618823158431E-3</c:v>
                </c:pt>
                <c:pt idx="11">
                  <c:v>2.0792496610114288E-3</c:v>
                </c:pt>
                <c:pt idx="12">
                  <c:v>2.0907800095956502E-3</c:v>
                </c:pt>
                <c:pt idx="13">
                  <c:v>2.1021133927259256E-3</c:v>
                </c:pt>
                <c:pt idx="14">
                  <c:v>2.113251304424179E-3</c:v>
                </c:pt>
                <c:pt idx="15">
                  <c:v>2.1241952387123339E-3</c:v>
                </c:pt>
                <c:pt idx="16">
                  <c:v>2.1558781173354529E-3</c:v>
                </c:pt>
                <c:pt idx="17">
                  <c:v>2.1660610822024583E-3</c:v>
                </c:pt>
                <c:pt idx="18">
                  <c:v>2.1760575397689864E-3</c:v>
                </c:pt>
                <c:pt idx="19">
                  <c:v>2.1858689840569615E-3</c:v>
                </c:pt>
                <c:pt idx="20">
                  <c:v>2.1954969090883076E-3</c:v>
                </c:pt>
                <c:pt idx="21">
                  <c:v>2.2232945088618162E-3</c:v>
                </c:pt>
                <c:pt idx="22">
                  <c:v>2.2322032970858901E-3</c:v>
                </c:pt>
                <c:pt idx="23">
                  <c:v>2.2409360361629557E-3</c:v>
                </c:pt>
                <c:pt idx="24">
                  <c:v>2.2494942201149383E-3</c:v>
                </c:pt>
                <c:pt idx="25">
                  <c:v>2.2578793429637611E-3</c:v>
                </c:pt>
                <c:pt idx="26">
                  <c:v>2.2820112851105159E-3</c:v>
                </c:pt>
                <c:pt idx="27">
                  <c:v>2.2897191037659441E-3</c:v>
                </c:pt>
                <c:pt idx="28">
                  <c:v>2.2972613314278328E-3</c:v>
                </c:pt>
                <c:pt idx="29">
                  <c:v>2.3046394621181075E-3</c:v>
                </c:pt>
                <c:pt idx="30">
                  <c:v>2.3118549898586927E-3</c:v>
                </c:pt>
                <c:pt idx="31">
                  <c:v>2.3325408956015505E-3</c:v>
                </c:pt>
                <c:pt idx="32">
                  <c:v>2.3391209517626176E-3</c:v>
                </c:pt>
                <c:pt idx="33">
                  <c:v>2.3455458750836155E-3</c:v>
                </c:pt>
                <c:pt idx="34">
                  <c:v>2.351817159586469E-3</c:v>
                </c:pt>
                <c:pt idx="35">
                  <c:v>2.3579362992931017E-3</c:v>
                </c:pt>
                <c:pt idx="36">
                  <c:v>2.3753957898549173E-3</c:v>
                </c:pt>
                <c:pt idx="37">
                  <c:v>2.3809212905959091E-3</c:v>
                </c:pt>
                <c:pt idx="38">
                  <c:v>2.3863021166503013E-3</c:v>
                </c:pt>
                <c:pt idx="39">
                  <c:v>2.3915397620400181E-3</c:v>
                </c:pt>
                <c:pt idx="40">
                  <c:v>2.3966357207869837E-3</c:v>
                </c:pt>
                <c:pt idx="41">
                  <c:v>2.4110884173906143E-3</c:v>
                </c:pt>
                <c:pt idx="42">
                  <c:v>2.4156325697858166E-3</c:v>
                </c:pt>
                <c:pt idx="43">
                  <c:v>2.4200425056478889E-3</c:v>
                </c:pt>
                <c:pt idx="44">
                  <c:v>2.4243197189987541E-3</c:v>
                </c:pt>
                <c:pt idx="45">
                  <c:v>2.4284657038603384E-3</c:v>
                </c:pt>
                <c:pt idx="46">
                  <c:v>2.4401312277286401E-3</c:v>
                </c:pt>
                <c:pt idx="47">
                  <c:v>2.443767238852338E-3</c:v>
                </c:pt>
                <c:pt idx="48">
                  <c:v>2.4472794915963748E-3</c:v>
                </c:pt>
                <c:pt idx="49">
                  <c:v>2.4506694799826755E-3</c:v>
                </c:pt>
                <c:pt idx="50">
                  <c:v>2.4539386980331631E-3</c:v>
                </c:pt>
                <c:pt idx="51">
                  <c:v>2.4630366703889926E-3</c:v>
                </c:pt>
                <c:pt idx="52">
                  <c:v>2.4658377473154715E-3</c:v>
                </c:pt>
                <c:pt idx="53">
                  <c:v>2.4685255240157592E-3</c:v>
                </c:pt>
                <c:pt idx="54">
                  <c:v>2.4711014945117799E-3</c:v>
                </c:pt>
                <c:pt idx="55">
                  <c:v>2.4735671528254561E-3</c:v>
                </c:pt>
                <c:pt idx="56">
                  <c:v>2.4803171948916693E-3</c:v>
                </c:pt>
                <c:pt idx="57">
                  <c:v>2.4823565446952154E-3</c:v>
                </c:pt>
                <c:pt idx="58">
                  <c:v>2.4842930524260386E-3</c:v>
                </c:pt>
                <c:pt idx="59">
                  <c:v>2.4861282121060643E-3</c:v>
                </c:pt>
                <c:pt idx="60">
                  <c:v>2.487863517757215E-3</c:v>
                </c:pt>
                <c:pt idx="61">
                  <c:v>2.4924852507566685E-3</c:v>
                </c:pt>
                <c:pt idx="62">
                  <c:v>2.4938360805115659E-3</c:v>
                </c:pt>
                <c:pt idx="63">
                  <c:v>2.4950945263472113E-3</c:v>
                </c:pt>
                <c:pt idx="64">
                  <c:v>2.4962620822855273E-3</c:v>
                </c:pt>
                <c:pt idx="65">
                  <c:v>2.4973402423484393E-3</c:v>
                </c:pt>
                <c:pt idx="66">
                  <c:v>2.5000532875039888E-3</c:v>
                </c:pt>
                <c:pt idx="67">
                  <c:v>2.5007888042845238E-3</c:v>
                </c:pt>
                <c:pt idx="68">
                  <c:v>2.5014423952992759E-3</c:v>
                </c:pt>
                <c:pt idx="69">
                  <c:v>2.5020155545701678E-3</c:v>
                </c:pt>
                <c:pt idx="70">
                  <c:v>2.5025097761191251E-3</c:v>
                </c:pt>
                <c:pt idx="71">
                  <c:v>2.503533754653627E-3</c:v>
                </c:pt>
                <c:pt idx="72">
                  <c:v>2.5037271655340854E-3</c:v>
                </c:pt>
                <c:pt idx="73">
                  <c:v>2.5038491088022288E-3</c:v>
                </c:pt>
                <c:pt idx="74">
                  <c:v>2.5039010784799827E-3</c:v>
                </c:pt>
                <c:pt idx="75">
                  <c:v>2.5038845685892703E-3</c:v>
                </c:pt>
                <c:pt idx="76">
                  <c:v>2.5034391017255812E-3</c:v>
                </c:pt>
                <c:pt idx="77">
                  <c:v>2.5031636137802481E-3</c:v>
                </c:pt>
                <c:pt idx="78">
                  <c:v>2.5028271163760694E-3</c:v>
                </c:pt>
                <c:pt idx="79">
                  <c:v>2.5024311035349704E-3</c:v>
                </c:pt>
                <c:pt idx="80">
                  <c:v>2.5019770692788746E-3</c:v>
                </c:pt>
                <c:pt idx="81">
                  <c:v>2.5002817782398506E-3</c:v>
                </c:pt>
                <c:pt idx="82">
                  <c:v>2.4996105985430109E-3</c:v>
                </c:pt>
                <c:pt idx="83">
                  <c:v>2.4988888675407956E-3</c:v>
                </c:pt>
                <c:pt idx="84">
                  <c:v>2.4981180792551291E-3</c:v>
                </c:pt>
                <c:pt idx="85">
                  <c:v>2.4972997277079353E-3</c:v>
                </c:pt>
                <c:pt idx="86">
                  <c:v>2.4945742337164328E-3</c:v>
                </c:pt>
                <c:pt idx="87">
                  <c:v>2.4935805693423723E-3</c:v>
                </c:pt>
                <c:pt idx="88">
                  <c:v>2.4925468118164049E-3</c:v>
                </c:pt>
                <c:pt idx="89">
                  <c:v>2.4914744551604562E-3</c:v>
                </c:pt>
                <c:pt idx="90">
                  <c:v>2.4903649933964499E-3</c:v>
                </c:pt>
                <c:pt idx="91">
                  <c:v>2.486828917675325E-3</c:v>
                </c:pt>
                <c:pt idx="92">
                  <c:v>2.4855859756983283E-3</c:v>
                </c:pt>
                <c:pt idx="93">
                  <c:v>2.484313398722896E-3</c:v>
                </c:pt>
                <c:pt idx="94">
                  <c:v>2.4775582796365252E-3</c:v>
                </c:pt>
                <c:pt idx="95">
                  <c:v>2.4761392671308795E-3</c:v>
                </c:pt>
                <c:pt idx="96">
                  <c:v>2.4747010777802659E-3</c:v>
                </c:pt>
                <c:pt idx="97">
                  <c:v>2.4717731446318334E-3</c:v>
                </c:pt>
                <c:pt idx="98">
                  <c:v>2.4672747691200326E-3</c:v>
                </c:pt>
                <c:pt idx="99">
                  <c:v>2.4657528931600224E-3</c:v>
                </c:pt>
                <c:pt idx="100">
                  <c:v>2.4642222985085138E-3</c:v>
                </c:pt>
                <c:pt idx="101">
                  <c:v>2.4626844791874308E-3</c:v>
                </c:pt>
                <c:pt idx="102">
                  <c:v>2.4611409292186986E-3</c:v>
                </c:pt>
                <c:pt idx="103">
                  <c:v>2.456490835645845E-3</c:v>
                </c:pt>
                <c:pt idx="104">
                  <c:v>2.4549393033057548E-3</c:v>
                </c:pt>
                <c:pt idx="105">
                  <c:v>2.4533895104276371E-3</c:v>
                </c:pt>
                <c:pt idx="106">
                  <c:v>2.4518429510334136E-3</c:v>
                </c:pt>
                <c:pt idx="107">
                  <c:v>2.4503011191450092E-3</c:v>
                </c:pt>
                <c:pt idx="108">
                  <c:v>2.4457189287339582E-3</c:v>
                </c:pt>
                <c:pt idx="109">
                  <c:v>2.4442109470880751E-3</c:v>
                </c:pt>
                <c:pt idx="110">
                  <c:v>2.4427151630576319E-3</c:v>
                </c:pt>
                <c:pt idx="111">
                  <c:v>2.4412330706645542E-3</c:v>
                </c:pt>
                <c:pt idx="112">
                  <c:v>2.4397661639307647E-3</c:v>
                </c:pt>
                <c:pt idx="113">
                  <c:v>2.4354714979043721E-3</c:v>
                </c:pt>
                <c:pt idx="114">
                  <c:v>2.4340802740269799E-3</c:v>
                </c:pt>
                <c:pt idx="115">
                  <c:v>2.4327117059184996E-3</c:v>
                </c:pt>
                <c:pt idx="116">
                  <c:v>2.4313672876008514E-3</c:v>
                </c:pt>
                <c:pt idx="117">
                  <c:v>2.4300485130959613E-3</c:v>
                </c:pt>
                <c:pt idx="118">
                  <c:v>2.426260992677085E-3</c:v>
                </c:pt>
                <c:pt idx="119">
                  <c:v>2.4250597336424708E-3</c:v>
                </c:pt>
                <c:pt idx="120">
                  <c:v>2.4238915885302359E-3</c:v>
                </c:pt>
                <c:pt idx="121">
                  <c:v>2.4227580513623038E-3</c:v>
                </c:pt>
                <c:pt idx="122">
                  <c:v>2.4216606161605999E-3</c:v>
                </c:pt>
                <c:pt idx="123">
                  <c:v>2.4185998625720949E-3</c:v>
                </c:pt>
                <c:pt idx="124">
                  <c:v>2.4176617754545432E-3</c:v>
                </c:pt>
                <c:pt idx="125">
                  <c:v>2.41676726041284E-3</c:v>
                </c:pt>
                <c:pt idx="126">
                  <c:v>2.4159178114689091E-3</c:v>
                </c:pt>
                <c:pt idx="127">
                  <c:v>2.4151149226446758E-3</c:v>
                </c:pt>
                <c:pt idx="128">
                  <c:v>2.4130005571093988E-3</c:v>
                </c:pt>
                <c:pt idx="129">
                  <c:v>2.412398848983195E-3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93824"/>
        <c:axId val="554495360"/>
      </c:lineChart>
      <c:dateAx>
        <c:axId val="5544938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4495360"/>
        <c:crosses val="autoZero"/>
        <c:auto val="1"/>
        <c:lblOffset val="100"/>
        <c:baseTimeUnit val="days"/>
      </c:dateAx>
      <c:valAx>
        <c:axId val="554495360"/>
        <c:scaling>
          <c:orientation val="minMax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4493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4685039370078"/>
          <c:y val="5.1400554097404488E-2"/>
          <c:w val="0.85324037620297466"/>
          <c:h val="0.73897919010123736"/>
        </c:manualLayout>
      </c:layout>
      <c:lineChart>
        <c:grouping val="standard"/>
        <c:varyColors val="0"/>
        <c:ser>
          <c:idx val="0"/>
          <c:order val="0"/>
          <c:tx>
            <c:strRef>
              <c:f>'6M Depo Charts'!$L$57</c:f>
              <c:strCache>
                <c:ptCount val="1"/>
              </c:strCache>
            </c:strRef>
          </c:tx>
          <c:cat>
            <c:numRef>
              <c:f>'6M Depo Charts'!$K$58:$K$67</c:f>
              <c:numCache>
                <c:formatCode>ddd\,\ dd\-mmm\-yyyy</c:formatCode>
                <c:ptCount val="10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  <c:pt idx="7">
                  <c:v>41988</c:v>
                </c:pt>
                <c:pt idx="8">
                  <c:v>42019</c:v>
                </c:pt>
                <c:pt idx="9">
                  <c:v>42051</c:v>
                </c:pt>
              </c:numCache>
            </c:numRef>
          </c:cat>
          <c:val>
            <c:numRef>
              <c:f>'6M Depo Charts'!$L$58:$L$67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'6M Depo Charts'!$N$57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 Depo Charts'!$K$58:$K$67</c:f>
              <c:numCache>
                <c:formatCode>ddd\,\ dd\-mmm\-yyyy</c:formatCode>
                <c:ptCount val="10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  <c:pt idx="7">
                  <c:v>41988</c:v>
                </c:pt>
                <c:pt idx="8">
                  <c:v>42019</c:v>
                </c:pt>
                <c:pt idx="9">
                  <c:v>42051</c:v>
                </c:pt>
              </c:numCache>
            </c:numRef>
          </c:cat>
          <c:val>
            <c:numRef>
              <c:f>'6M Depo Charts'!$N$58:$N$67</c:f>
              <c:numCache>
                <c:formatCode>0.0000%</c:formatCode>
                <c:ptCount val="10"/>
                <c:pt idx="0">
                  <c:v>2.7440805558688252E-3</c:v>
                </c:pt>
                <c:pt idx="1">
                  <c:v>2.7040805592053224E-3</c:v>
                </c:pt>
                <c:pt idx="2">
                  <c:v>2.7140805595416906E-3</c:v>
                </c:pt>
                <c:pt idx="3">
                  <c:v>2.94408056064346E-3</c:v>
                </c:pt>
                <c:pt idx="4">
                  <c:v>2.9040805567146174E-3</c:v>
                </c:pt>
                <c:pt idx="5">
                  <c:v>2.891471323344357E-3</c:v>
                </c:pt>
                <c:pt idx="6">
                  <c:v>2.8561252101170754E-3</c:v>
                </c:pt>
                <c:pt idx="7">
                  <c:v>2.8600981368176398E-3</c:v>
                </c:pt>
                <c:pt idx="8">
                  <c:v>2.8528162977533369E-3</c:v>
                </c:pt>
                <c:pt idx="9">
                  <c:v>2.8653259388801669E-3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 Depo Charts'!$O$57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triangle"/>
            <c:size val="5"/>
          </c:marker>
          <c:cat>
            <c:numRef>
              <c:f>'6M Depo Charts'!$K$58:$K$67</c:f>
              <c:numCache>
                <c:formatCode>ddd\,\ dd\-mmm\-yyyy</c:formatCode>
                <c:ptCount val="10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  <c:pt idx="7">
                  <c:v>41988</c:v>
                </c:pt>
                <c:pt idx="8">
                  <c:v>42019</c:v>
                </c:pt>
                <c:pt idx="9">
                  <c:v>42051</c:v>
                </c:pt>
              </c:numCache>
            </c:numRef>
          </c:cat>
          <c:val>
            <c:numRef>
              <c:f>'6M Depo Charts'!$O$58:$O$67</c:f>
              <c:numCache>
                <c:formatCode>0.0000%</c:formatCode>
                <c:ptCount val="10"/>
                <c:pt idx="0">
                  <c:v>2.5598889774070223E-3</c:v>
                </c:pt>
                <c:pt idx="1">
                  <c:v>2.5239371473031193E-3</c:v>
                </c:pt>
                <c:pt idx="2">
                  <c:v>2.5410214391187874E-3</c:v>
                </c:pt>
                <c:pt idx="3">
                  <c:v>2.7781057316998564E-3</c:v>
                </c:pt>
                <c:pt idx="4">
                  <c:v>2.7482261441700139E-3</c:v>
                </c:pt>
                <c:pt idx="5">
                  <c:v>2.7659781599967538E-3</c:v>
                </c:pt>
                <c:pt idx="6">
                  <c:v>2.764029420886173E-3</c:v>
                </c:pt>
                <c:pt idx="7">
                  <c:v>2.7963395135039374E-3</c:v>
                </c:pt>
                <c:pt idx="8">
                  <c:v>2.8204309652765346E-3</c:v>
                </c:pt>
                <c:pt idx="9">
                  <c:v>2.8653259388801647E-3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'6M Depo Charts'!$P$57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  <a:prstDash val="sysDash"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cat>
            <c:numRef>
              <c:f>'6M Depo Charts'!$K$58:$K$67</c:f>
              <c:numCache>
                <c:formatCode>ddd\,\ dd\-mmm\-yyyy</c:formatCode>
                <c:ptCount val="10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  <c:pt idx="7">
                  <c:v>41988</c:v>
                </c:pt>
                <c:pt idx="8">
                  <c:v>42019</c:v>
                </c:pt>
                <c:pt idx="9">
                  <c:v>42051</c:v>
                </c:pt>
              </c:numCache>
            </c:numRef>
          </c:cat>
          <c:val>
            <c:numRef>
              <c:f>'6M Depo Charts'!$P$58:$P$67</c:f>
              <c:numCache>
                <c:formatCode>0.0000%</c:formatCode>
                <c:ptCount val="10"/>
                <c:pt idx="0">
                  <c:v>2.3917407981184947E-3</c:v>
                </c:pt>
                <c:pt idx="1">
                  <c:v>2.3645804905246051E-3</c:v>
                </c:pt>
                <c:pt idx="2">
                  <c:v>2.3964988389013147E-3</c:v>
                </c:pt>
                <c:pt idx="3">
                  <c:v>2.6477157780760889E-3</c:v>
                </c:pt>
                <c:pt idx="4">
                  <c:v>2.6368089541041152E-3</c:v>
                </c:pt>
                <c:pt idx="5">
                  <c:v>2.7028905671268597E-3</c:v>
                </c:pt>
                <c:pt idx="6">
                  <c:v>2.7392244734819366E-3</c:v>
                </c:pt>
                <c:pt idx="7">
                  <c:v>2.7917922370207732E-3</c:v>
                </c:pt>
                <c:pt idx="8">
                  <c:v>2.8252212241472053E-3</c:v>
                </c:pt>
                <c:pt idx="9">
                  <c:v>2.8653259388801626E-3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'6M Depo Charts'!$Q$57</c:f>
              <c:strCache>
                <c:ptCount val="1"/>
                <c:pt idx="0">
                  <c:v>cubic</c:v>
                </c:pt>
              </c:strCache>
            </c:strRef>
          </c:tx>
          <c:spPr>
            <a:ln>
              <a:noFill/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cat>
            <c:numRef>
              <c:f>'6M Depo Charts'!$K$58:$K$67</c:f>
              <c:numCache>
                <c:formatCode>ddd\,\ dd\-mmm\-yyyy</c:formatCode>
                <c:ptCount val="10"/>
                <c:pt idx="0">
                  <c:v>41869</c:v>
                </c:pt>
                <c:pt idx="1">
                  <c:v>41873</c:v>
                </c:pt>
                <c:pt idx="2">
                  <c:v>41880</c:v>
                </c:pt>
                <c:pt idx="3">
                  <c:v>41887</c:v>
                </c:pt>
                <c:pt idx="4">
                  <c:v>41897</c:v>
                </c:pt>
                <c:pt idx="5">
                  <c:v>41927</c:v>
                </c:pt>
                <c:pt idx="6">
                  <c:v>41960</c:v>
                </c:pt>
                <c:pt idx="7">
                  <c:v>41988</c:v>
                </c:pt>
                <c:pt idx="8">
                  <c:v>42019</c:v>
                </c:pt>
                <c:pt idx="9">
                  <c:v>42051</c:v>
                </c:pt>
              </c:numCache>
            </c:numRef>
          </c:cat>
          <c:val>
            <c:numRef>
              <c:f>'6M Depo Charts'!$Q$58:$Q$67</c:f>
              <c:numCache>
                <c:formatCode>0.0000%</c:formatCode>
                <c:ptCount val="10"/>
                <c:pt idx="0">
                  <c:v>2.2484715278574714E-3</c:v>
                </c:pt>
                <c:pt idx="1">
                  <c:v>2.2370400845153266E-3</c:v>
                </c:pt>
                <c:pt idx="2">
                  <c:v>2.2943150285813048E-3</c:v>
                </c:pt>
                <c:pt idx="3">
                  <c:v>2.5682364303001855E-3</c:v>
                </c:pt>
                <c:pt idx="4">
                  <c:v>2.5854144181884082E-3</c:v>
                </c:pt>
                <c:pt idx="5">
                  <c:v>2.7085064903951328E-3</c:v>
                </c:pt>
                <c:pt idx="6">
                  <c:v>2.7696699274866502E-3</c:v>
                </c:pt>
                <c:pt idx="7">
                  <c:v>2.821726273661659E-3</c:v>
                </c:pt>
                <c:pt idx="8">
                  <c:v>2.8418127806771783E-3</c:v>
                </c:pt>
                <c:pt idx="9">
                  <c:v>2.865325938880176E-3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415424"/>
        <c:axId val="555679744"/>
      </c:lineChart>
      <c:dateAx>
        <c:axId val="5554154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55679744"/>
        <c:crosses val="autoZero"/>
        <c:auto val="1"/>
        <c:lblOffset val="100"/>
        <c:baseTimeUnit val="days"/>
        <c:majorUnit val="14"/>
        <c:majorTimeUnit val="days"/>
      </c:dateAx>
      <c:valAx>
        <c:axId val="555679744"/>
        <c:scaling>
          <c:orientation val="minMax"/>
          <c:min val="2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5415424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4216097987751515"/>
          <c:y val="0.50008530183727029"/>
          <c:w val="0.12891130796150482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46035024310486"/>
          <c:y val="2.0469665003428249E-2"/>
          <c:w val="0.83344623725313027"/>
          <c:h val="0.79172243956190236"/>
        </c:manualLayout>
      </c:layout>
      <c:scatterChart>
        <c:scatterStyle val="lineMarker"/>
        <c:varyColors val="0"/>
        <c:ser>
          <c:idx val="0"/>
          <c:order val="0"/>
          <c:tx>
            <c:v>Market Quotes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41866</c:v>
                </c:pt>
                <c:pt idx="1">
                  <c:v>41871</c:v>
                </c:pt>
                <c:pt idx="2">
                  <c:v>41899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1.99E-3</c:v>
                </c:pt>
                <c:pt idx="1">
                  <c:v>1.974999999999949E-3</c:v>
                </c:pt>
                <c:pt idx="2">
                  <c:v>1.87499999999996E-3</c:v>
                </c:pt>
                <c:pt idx="3">
                  <c:v>1.8250000000000766E-3</c:v>
                </c:pt>
                <c:pt idx="4">
                  <c:v>1.7249999999999766E-3</c:v>
                </c:pt>
                <c:pt idx="5">
                  <c:v>1.7249999999999766E-3</c:v>
                </c:pt>
                <c:pt idx="6">
                  <c:v>1.8250000000000766E-3</c:v>
                </c:pt>
                <c:pt idx="7">
                  <c:v>2.0250000000000545E-3</c:v>
                </c:pt>
                <c:pt idx="8">
                  <c:v>2.3250000000000215E-3</c:v>
                </c:pt>
                <c:pt idx="9">
                  <c:v>2.6249999999998774E-3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41866</c:v>
                </c:pt>
                <c:pt idx="1">
                  <c:v>41871</c:v>
                </c:pt>
                <c:pt idx="2">
                  <c:v>41899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3M'!$I$2:$I$11</c:f>
              <c:numCache>
                <c:formatCode>0.0000%</c:formatCode>
                <c:ptCount val="10"/>
                <c:pt idx="0">
                  <c:v>5.1204465057381218E-4</c:v>
                </c:pt>
                <c:pt idx="1">
                  <c:v>5.2056670153206679E-4</c:v>
                </c:pt>
                <c:pt idx="2">
                  <c:v>4.991180105367594E-4</c:v>
                </c:pt>
                <c:pt idx="3">
                  <c:v>5.5068527577439852E-4</c:v>
                </c:pt>
                <c:pt idx="4">
                  <c:v>2.569528215323264E-4</c:v>
                </c:pt>
                <c:pt idx="5">
                  <c:v>1.9694638042845668E-4</c:v>
                </c:pt>
                <c:pt idx="6">
                  <c:v>2.2481178223449753E-4</c:v>
                </c:pt>
                <c:pt idx="7">
                  <c:v>4.2951034390213992E-4</c:v>
                </c:pt>
                <c:pt idx="8">
                  <c:v>6.4524744355761192E-4</c:v>
                </c:pt>
                <c:pt idx="9">
                  <c:v>1.0981834179328758E-3</c:v>
                </c:pt>
              </c:numCache>
            </c:numRef>
          </c:yVal>
          <c:smooth val="0"/>
        </c:ser>
        <c:ser>
          <c:idx val="2"/>
          <c:order val="2"/>
          <c:tx>
            <c:v>Diff 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41866</c:v>
                </c:pt>
                <c:pt idx="1">
                  <c:v>41871</c:v>
                </c:pt>
                <c:pt idx="2">
                  <c:v>41899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1.4779553494261878E-3</c:v>
                </c:pt>
                <c:pt idx="1">
                  <c:v>1.4544332984678821E-3</c:v>
                </c:pt>
                <c:pt idx="2">
                  <c:v>1.3758819894632006E-3</c:v>
                </c:pt>
                <c:pt idx="3">
                  <c:v>1.274314724225678E-3</c:v>
                </c:pt>
                <c:pt idx="4">
                  <c:v>1.46804717846765E-3</c:v>
                </c:pt>
                <c:pt idx="5">
                  <c:v>1.5280536195715199E-3</c:v>
                </c:pt>
                <c:pt idx="6">
                  <c:v>1.600188217765579E-3</c:v>
                </c:pt>
                <c:pt idx="7">
                  <c:v>1.5954896560979146E-3</c:v>
                </c:pt>
                <c:pt idx="8">
                  <c:v>1.6797525564424096E-3</c:v>
                </c:pt>
                <c:pt idx="9">
                  <c:v>1.5268165820670017E-3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67968"/>
        <c:axId val="571669504"/>
      </c:scatterChart>
      <c:valAx>
        <c:axId val="5716679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71669504"/>
        <c:crosses val="autoZero"/>
        <c:crossBetween val="midCat"/>
      </c:valAx>
      <c:valAx>
        <c:axId val="571669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1667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04367584950454"/>
          <c:y val="1.7885754518598161E-2"/>
          <c:w val="0.17144202056710126"/>
          <c:h val="0.1819663999780253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3M'!$L$2:$L$581</c:f>
              <c:numCache>
                <c:formatCode>ddd\,\ dd\-mmm\-yyyy</c:formatCode>
                <c:ptCount val="580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41990</c:v>
                </c:pt>
                <c:pt idx="5">
                  <c:v>42023</c:v>
                </c:pt>
                <c:pt idx="6">
                  <c:v>42054</c:v>
                </c:pt>
                <c:pt idx="7">
                  <c:v>42082</c:v>
                </c:pt>
                <c:pt idx="8">
                  <c:v>42114</c:v>
                </c:pt>
                <c:pt idx="9">
                  <c:v>42144</c:v>
                </c:pt>
                <c:pt idx="10">
                  <c:v>42177</c:v>
                </c:pt>
                <c:pt idx="11">
                  <c:v>42207</c:v>
                </c:pt>
                <c:pt idx="12">
                  <c:v>42240</c:v>
                </c:pt>
                <c:pt idx="13">
                  <c:v>42271</c:v>
                </c:pt>
                <c:pt idx="14">
                  <c:v>42303</c:v>
                </c:pt>
                <c:pt idx="15">
                  <c:v>42334</c:v>
                </c:pt>
                <c:pt idx="16">
                  <c:v>42366</c:v>
                </c:pt>
                <c:pt idx="17">
                  <c:v>42397</c:v>
                </c:pt>
                <c:pt idx="18">
                  <c:v>42429</c:v>
                </c:pt>
                <c:pt idx="19">
                  <c:v>42458</c:v>
                </c:pt>
                <c:pt idx="20">
                  <c:v>42489</c:v>
                </c:pt>
                <c:pt idx="21">
                  <c:v>42520</c:v>
                </c:pt>
                <c:pt idx="22">
                  <c:v>42551</c:v>
                </c:pt>
                <c:pt idx="23">
                  <c:v>42583</c:v>
                </c:pt>
                <c:pt idx="24">
                  <c:v>42614</c:v>
                </c:pt>
                <c:pt idx="25">
                  <c:v>42646</c:v>
                </c:pt>
                <c:pt idx="26">
                  <c:v>42677</c:v>
                </c:pt>
                <c:pt idx="27">
                  <c:v>42709</c:v>
                </c:pt>
                <c:pt idx="28">
                  <c:v>42740</c:v>
                </c:pt>
                <c:pt idx="29">
                  <c:v>42772</c:v>
                </c:pt>
                <c:pt idx="30">
                  <c:v>42800</c:v>
                </c:pt>
                <c:pt idx="31">
                  <c:v>42831</c:v>
                </c:pt>
                <c:pt idx="32">
                  <c:v>42863</c:v>
                </c:pt>
                <c:pt idx="33">
                  <c:v>42894</c:v>
                </c:pt>
                <c:pt idx="34">
                  <c:v>42926</c:v>
                </c:pt>
                <c:pt idx="35">
                  <c:v>42957</c:v>
                </c:pt>
                <c:pt idx="36">
                  <c:v>42989</c:v>
                </c:pt>
                <c:pt idx="37">
                  <c:v>43019</c:v>
                </c:pt>
                <c:pt idx="38">
                  <c:v>43052</c:v>
                </c:pt>
                <c:pt idx="39">
                  <c:v>43082</c:v>
                </c:pt>
                <c:pt idx="40">
                  <c:v>43115</c:v>
                </c:pt>
                <c:pt idx="41">
                  <c:v>43146</c:v>
                </c:pt>
                <c:pt idx="42">
                  <c:v>43174</c:v>
                </c:pt>
                <c:pt idx="43">
                  <c:v>43206</c:v>
                </c:pt>
                <c:pt idx="44">
                  <c:v>43236</c:v>
                </c:pt>
                <c:pt idx="45">
                  <c:v>43269</c:v>
                </c:pt>
                <c:pt idx="46">
                  <c:v>43299</c:v>
                </c:pt>
                <c:pt idx="47">
                  <c:v>43332</c:v>
                </c:pt>
                <c:pt idx="48">
                  <c:v>43363</c:v>
                </c:pt>
                <c:pt idx="49">
                  <c:v>43395</c:v>
                </c:pt>
                <c:pt idx="50">
                  <c:v>43426</c:v>
                </c:pt>
                <c:pt idx="51">
                  <c:v>43458</c:v>
                </c:pt>
                <c:pt idx="52">
                  <c:v>43489</c:v>
                </c:pt>
                <c:pt idx="53">
                  <c:v>43521</c:v>
                </c:pt>
                <c:pt idx="54">
                  <c:v>43549</c:v>
                </c:pt>
                <c:pt idx="55">
                  <c:v>43580</c:v>
                </c:pt>
                <c:pt idx="56">
                  <c:v>43612</c:v>
                </c:pt>
                <c:pt idx="57">
                  <c:v>43643</c:v>
                </c:pt>
                <c:pt idx="58">
                  <c:v>43675</c:v>
                </c:pt>
                <c:pt idx="59">
                  <c:v>43706</c:v>
                </c:pt>
                <c:pt idx="60">
                  <c:v>43738</c:v>
                </c:pt>
                <c:pt idx="61">
                  <c:v>43768</c:v>
                </c:pt>
                <c:pt idx="62">
                  <c:v>43801</c:v>
                </c:pt>
                <c:pt idx="63">
                  <c:v>43832</c:v>
                </c:pt>
                <c:pt idx="64">
                  <c:v>43864</c:v>
                </c:pt>
                <c:pt idx="65">
                  <c:v>43893</c:v>
                </c:pt>
                <c:pt idx="66">
                  <c:v>43924</c:v>
                </c:pt>
                <c:pt idx="67">
                  <c:v>43955</c:v>
                </c:pt>
                <c:pt idx="68">
                  <c:v>43986</c:v>
                </c:pt>
                <c:pt idx="69">
                  <c:v>44018</c:v>
                </c:pt>
                <c:pt idx="70">
                  <c:v>44049</c:v>
                </c:pt>
                <c:pt idx="71">
                  <c:v>44081</c:v>
                </c:pt>
                <c:pt idx="72">
                  <c:v>44111</c:v>
                </c:pt>
                <c:pt idx="73">
                  <c:v>44144</c:v>
                </c:pt>
                <c:pt idx="74">
                  <c:v>44174</c:v>
                </c:pt>
                <c:pt idx="75">
                  <c:v>44207</c:v>
                </c:pt>
                <c:pt idx="76">
                  <c:v>44238</c:v>
                </c:pt>
                <c:pt idx="77">
                  <c:v>44266</c:v>
                </c:pt>
                <c:pt idx="78">
                  <c:v>44298</c:v>
                </c:pt>
                <c:pt idx="79">
                  <c:v>44328</c:v>
                </c:pt>
                <c:pt idx="80">
                  <c:v>44361</c:v>
                </c:pt>
                <c:pt idx="81">
                  <c:v>44391</c:v>
                </c:pt>
                <c:pt idx="82">
                  <c:v>44424</c:v>
                </c:pt>
                <c:pt idx="83">
                  <c:v>44455</c:v>
                </c:pt>
                <c:pt idx="84">
                  <c:v>44487</c:v>
                </c:pt>
                <c:pt idx="85">
                  <c:v>44518</c:v>
                </c:pt>
                <c:pt idx="86">
                  <c:v>44550</c:v>
                </c:pt>
                <c:pt idx="87">
                  <c:v>44581</c:v>
                </c:pt>
                <c:pt idx="88">
                  <c:v>44613</c:v>
                </c:pt>
                <c:pt idx="89">
                  <c:v>44641</c:v>
                </c:pt>
                <c:pt idx="90">
                  <c:v>44672</c:v>
                </c:pt>
                <c:pt idx="91">
                  <c:v>44704</c:v>
                </c:pt>
                <c:pt idx="92">
                  <c:v>44735</c:v>
                </c:pt>
                <c:pt idx="93">
                  <c:v>44767</c:v>
                </c:pt>
                <c:pt idx="94">
                  <c:v>44798</c:v>
                </c:pt>
                <c:pt idx="95">
                  <c:v>44830</c:v>
                </c:pt>
                <c:pt idx="96">
                  <c:v>44860</c:v>
                </c:pt>
                <c:pt idx="97">
                  <c:v>44893</c:v>
                </c:pt>
                <c:pt idx="98">
                  <c:v>44923</c:v>
                </c:pt>
                <c:pt idx="99">
                  <c:v>44956</c:v>
                </c:pt>
                <c:pt idx="100">
                  <c:v>44985</c:v>
                </c:pt>
                <c:pt idx="101">
                  <c:v>45013</c:v>
                </c:pt>
                <c:pt idx="102">
                  <c:v>45044</c:v>
                </c:pt>
                <c:pt idx="103">
                  <c:v>45075</c:v>
                </c:pt>
                <c:pt idx="104">
                  <c:v>45106</c:v>
                </c:pt>
                <c:pt idx="105">
                  <c:v>45138</c:v>
                </c:pt>
                <c:pt idx="106">
                  <c:v>45169</c:v>
                </c:pt>
                <c:pt idx="107">
                  <c:v>45201</c:v>
                </c:pt>
                <c:pt idx="108">
                  <c:v>45232</c:v>
                </c:pt>
                <c:pt idx="109">
                  <c:v>45264</c:v>
                </c:pt>
                <c:pt idx="110">
                  <c:v>45295</c:v>
                </c:pt>
                <c:pt idx="111">
                  <c:v>45327</c:v>
                </c:pt>
                <c:pt idx="112">
                  <c:v>45356</c:v>
                </c:pt>
                <c:pt idx="113">
                  <c:v>45387</c:v>
                </c:pt>
                <c:pt idx="114">
                  <c:v>45418</c:v>
                </c:pt>
                <c:pt idx="115">
                  <c:v>45449</c:v>
                </c:pt>
                <c:pt idx="116">
                  <c:v>45481</c:v>
                </c:pt>
                <c:pt idx="117">
                  <c:v>45512</c:v>
                </c:pt>
                <c:pt idx="118">
                  <c:v>45544</c:v>
                </c:pt>
                <c:pt idx="119">
                  <c:v>45574</c:v>
                </c:pt>
                <c:pt idx="120">
                  <c:v>45607</c:v>
                </c:pt>
                <c:pt idx="121">
                  <c:v>45637</c:v>
                </c:pt>
                <c:pt idx="122">
                  <c:v>45670</c:v>
                </c:pt>
                <c:pt idx="123">
                  <c:v>45701</c:v>
                </c:pt>
                <c:pt idx="124">
                  <c:v>45729</c:v>
                </c:pt>
                <c:pt idx="125">
                  <c:v>45761</c:v>
                </c:pt>
                <c:pt idx="126">
                  <c:v>45791</c:v>
                </c:pt>
                <c:pt idx="127">
                  <c:v>45824</c:v>
                </c:pt>
                <c:pt idx="128">
                  <c:v>45854</c:v>
                </c:pt>
                <c:pt idx="129">
                  <c:v>45887</c:v>
                </c:pt>
                <c:pt idx="130">
                  <c:v>45918</c:v>
                </c:pt>
                <c:pt idx="131">
                  <c:v>45950</c:v>
                </c:pt>
                <c:pt idx="132">
                  <c:v>45981</c:v>
                </c:pt>
                <c:pt idx="133">
                  <c:v>46013</c:v>
                </c:pt>
                <c:pt idx="134">
                  <c:v>46044</c:v>
                </c:pt>
                <c:pt idx="135">
                  <c:v>46076</c:v>
                </c:pt>
                <c:pt idx="136">
                  <c:v>46104</c:v>
                </c:pt>
                <c:pt idx="137">
                  <c:v>46135</c:v>
                </c:pt>
                <c:pt idx="138">
                  <c:v>46167</c:v>
                </c:pt>
                <c:pt idx="139">
                  <c:v>46198</c:v>
                </c:pt>
                <c:pt idx="140">
                  <c:v>46230</c:v>
                </c:pt>
                <c:pt idx="141">
                  <c:v>46261</c:v>
                </c:pt>
                <c:pt idx="142">
                  <c:v>46293</c:v>
                </c:pt>
                <c:pt idx="143">
                  <c:v>46323</c:v>
                </c:pt>
                <c:pt idx="144">
                  <c:v>46356</c:v>
                </c:pt>
                <c:pt idx="145">
                  <c:v>46386</c:v>
                </c:pt>
                <c:pt idx="146">
                  <c:v>46419</c:v>
                </c:pt>
                <c:pt idx="147">
                  <c:v>46447</c:v>
                </c:pt>
                <c:pt idx="148">
                  <c:v>46478</c:v>
                </c:pt>
                <c:pt idx="149">
                  <c:v>46510</c:v>
                </c:pt>
                <c:pt idx="150">
                  <c:v>46541</c:v>
                </c:pt>
                <c:pt idx="151">
                  <c:v>46573</c:v>
                </c:pt>
                <c:pt idx="152">
                  <c:v>46604</c:v>
                </c:pt>
                <c:pt idx="153">
                  <c:v>46636</c:v>
                </c:pt>
                <c:pt idx="154">
                  <c:v>46666</c:v>
                </c:pt>
                <c:pt idx="155">
                  <c:v>46699</c:v>
                </c:pt>
                <c:pt idx="156">
                  <c:v>46729</c:v>
                </c:pt>
                <c:pt idx="157">
                  <c:v>46762</c:v>
                </c:pt>
                <c:pt idx="158">
                  <c:v>46793</c:v>
                </c:pt>
                <c:pt idx="159">
                  <c:v>46822</c:v>
                </c:pt>
                <c:pt idx="160">
                  <c:v>46853</c:v>
                </c:pt>
                <c:pt idx="161">
                  <c:v>46883</c:v>
                </c:pt>
                <c:pt idx="162">
                  <c:v>46916</c:v>
                </c:pt>
                <c:pt idx="163">
                  <c:v>46946</c:v>
                </c:pt>
                <c:pt idx="164">
                  <c:v>46979</c:v>
                </c:pt>
                <c:pt idx="165">
                  <c:v>47010</c:v>
                </c:pt>
                <c:pt idx="166">
                  <c:v>47042</c:v>
                </c:pt>
                <c:pt idx="167">
                  <c:v>47073</c:v>
                </c:pt>
                <c:pt idx="168">
                  <c:v>47105</c:v>
                </c:pt>
                <c:pt idx="169">
                  <c:v>47136</c:v>
                </c:pt>
                <c:pt idx="170">
                  <c:v>47168</c:v>
                </c:pt>
                <c:pt idx="171">
                  <c:v>47196</c:v>
                </c:pt>
                <c:pt idx="172">
                  <c:v>47227</c:v>
                </c:pt>
                <c:pt idx="173">
                  <c:v>47259</c:v>
                </c:pt>
                <c:pt idx="174">
                  <c:v>47290</c:v>
                </c:pt>
                <c:pt idx="175">
                  <c:v>47322</c:v>
                </c:pt>
                <c:pt idx="176">
                  <c:v>47353</c:v>
                </c:pt>
                <c:pt idx="177">
                  <c:v>47385</c:v>
                </c:pt>
                <c:pt idx="178">
                  <c:v>47415</c:v>
                </c:pt>
                <c:pt idx="179">
                  <c:v>47448</c:v>
                </c:pt>
                <c:pt idx="180">
                  <c:v>47479</c:v>
                </c:pt>
                <c:pt idx="181">
                  <c:v>47511</c:v>
                </c:pt>
                <c:pt idx="182">
                  <c:v>47542</c:v>
                </c:pt>
                <c:pt idx="183">
                  <c:v>47570</c:v>
                </c:pt>
                <c:pt idx="184">
                  <c:v>47602</c:v>
                </c:pt>
                <c:pt idx="185">
                  <c:v>47632</c:v>
                </c:pt>
                <c:pt idx="186">
                  <c:v>47665</c:v>
                </c:pt>
                <c:pt idx="187">
                  <c:v>47696</c:v>
                </c:pt>
                <c:pt idx="188">
                  <c:v>47728</c:v>
                </c:pt>
                <c:pt idx="189">
                  <c:v>47758</c:v>
                </c:pt>
                <c:pt idx="190">
                  <c:v>47791</c:v>
                </c:pt>
                <c:pt idx="191">
                  <c:v>47821</c:v>
                </c:pt>
                <c:pt idx="192">
                  <c:v>47854</c:v>
                </c:pt>
                <c:pt idx="193">
                  <c:v>47885</c:v>
                </c:pt>
                <c:pt idx="194">
                  <c:v>47913</c:v>
                </c:pt>
                <c:pt idx="195">
                  <c:v>47945</c:v>
                </c:pt>
                <c:pt idx="196">
                  <c:v>47975</c:v>
                </c:pt>
                <c:pt idx="197">
                  <c:v>48008</c:v>
                </c:pt>
                <c:pt idx="198">
                  <c:v>48038</c:v>
                </c:pt>
                <c:pt idx="199">
                  <c:v>48071</c:v>
                </c:pt>
                <c:pt idx="200">
                  <c:v>48102</c:v>
                </c:pt>
                <c:pt idx="201">
                  <c:v>48134</c:v>
                </c:pt>
                <c:pt idx="202">
                  <c:v>48165</c:v>
                </c:pt>
                <c:pt idx="203">
                  <c:v>48197</c:v>
                </c:pt>
                <c:pt idx="204">
                  <c:v>48228</c:v>
                </c:pt>
                <c:pt idx="205">
                  <c:v>48260</c:v>
                </c:pt>
                <c:pt idx="206">
                  <c:v>48289</c:v>
                </c:pt>
                <c:pt idx="207">
                  <c:v>48320</c:v>
                </c:pt>
                <c:pt idx="208">
                  <c:v>48351</c:v>
                </c:pt>
                <c:pt idx="209">
                  <c:v>48382</c:v>
                </c:pt>
                <c:pt idx="210">
                  <c:v>48414</c:v>
                </c:pt>
                <c:pt idx="211">
                  <c:v>48445</c:v>
                </c:pt>
                <c:pt idx="212">
                  <c:v>48477</c:v>
                </c:pt>
                <c:pt idx="213">
                  <c:v>48507</c:v>
                </c:pt>
                <c:pt idx="214">
                  <c:v>48540</c:v>
                </c:pt>
                <c:pt idx="215">
                  <c:v>48570</c:v>
                </c:pt>
                <c:pt idx="216">
                  <c:v>48603</c:v>
                </c:pt>
                <c:pt idx="217">
                  <c:v>48634</c:v>
                </c:pt>
                <c:pt idx="218">
                  <c:v>48662</c:v>
                </c:pt>
                <c:pt idx="219">
                  <c:v>48694</c:v>
                </c:pt>
                <c:pt idx="220">
                  <c:v>48724</c:v>
                </c:pt>
                <c:pt idx="221">
                  <c:v>48757</c:v>
                </c:pt>
                <c:pt idx="222">
                  <c:v>48787</c:v>
                </c:pt>
                <c:pt idx="223">
                  <c:v>48820</c:v>
                </c:pt>
                <c:pt idx="224">
                  <c:v>48851</c:v>
                </c:pt>
                <c:pt idx="225">
                  <c:v>48883</c:v>
                </c:pt>
                <c:pt idx="226">
                  <c:v>48913</c:v>
                </c:pt>
                <c:pt idx="227">
                  <c:v>48943</c:v>
                </c:pt>
                <c:pt idx="228">
                  <c:v>48974</c:v>
                </c:pt>
                <c:pt idx="229">
                  <c:v>49003</c:v>
                </c:pt>
                <c:pt idx="230">
                  <c:v>49031</c:v>
                </c:pt>
                <c:pt idx="231">
                  <c:v>49062</c:v>
                </c:pt>
                <c:pt idx="232">
                  <c:v>49093</c:v>
                </c:pt>
                <c:pt idx="233">
                  <c:v>49124</c:v>
                </c:pt>
                <c:pt idx="234">
                  <c:v>49156</c:v>
                </c:pt>
                <c:pt idx="235">
                  <c:v>49187</c:v>
                </c:pt>
                <c:pt idx="236">
                  <c:v>49219</c:v>
                </c:pt>
                <c:pt idx="237">
                  <c:v>49250</c:v>
                </c:pt>
                <c:pt idx="238">
                  <c:v>49282</c:v>
                </c:pt>
                <c:pt idx="239">
                  <c:v>49313</c:v>
                </c:pt>
                <c:pt idx="240">
                  <c:v>49345</c:v>
                </c:pt>
                <c:pt idx="241">
                  <c:v>49373</c:v>
                </c:pt>
                <c:pt idx="242">
                  <c:v>49404</c:v>
                </c:pt>
                <c:pt idx="243">
                  <c:v>49436</c:v>
                </c:pt>
                <c:pt idx="244">
                  <c:v>49467</c:v>
                </c:pt>
                <c:pt idx="245">
                  <c:v>49499</c:v>
                </c:pt>
                <c:pt idx="246">
                  <c:v>49530</c:v>
                </c:pt>
                <c:pt idx="247">
                  <c:v>49562</c:v>
                </c:pt>
                <c:pt idx="248">
                  <c:v>49592</c:v>
                </c:pt>
                <c:pt idx="249">
                  <c:v>49625</c:v>
                </c:pt>
                <c:pt idx="250">
                  <c:v>49655</c:v>
                </c:pt>
                <c:pt idx="251">
                  <c:v>49688</c:v>
                </c:pt>
                <c:pt idx="252">
                  <c:v>49719</c:v>
                </c:pt>
                <c:pt idx="253">
                  <c:v>49748</c:v>
                </c:pt>
                <c:pt idx="254">
                  <c:v>49780</c:v>
                </c:pt>
                <c:pt idx="255">
                  <c:v>49810</c:v>
                </c:pt>
                <c:pt idx="256">
                  <c:v>49842</c:v>
                </c:pt>
                <c:pt idx="257">
                  <c:v>49872</c:v>
                </c:pt>
                <c:pt idx="258">
                  <c:v>49905</c:v>
                </c:pt>
                <c:pt idx="259">
                  <c:v>49936</c:v>
                </c:pt>
                <c:pt idx="260">
                  <c:v>49968</c:v>
                </c:pt>
                <c:pt idx="261">
                  <c:v>49999</c:v>
                </c:pt>
                <c:pt idx="262">
                  <c:v>50031</c:v>
                </c:pt>
                <c:pt idx="263">
                  <c:v>50062</c:v>
                </c:pt>
                <c:pt idx="264">
                  <c:v>50094</c:v>
                </c:pt>
                <c:pt idx="265">
                  <c:v>50122</c:v>
                </c:pt>
                <c:pt idx="266">
                  <c:v>50153</c:v>
                </c:pt>
                <c:pt idx="267">
                  <c:v>50185</c:v>
                </c:pt>
                <c:pt idx="268">
                  <c:v>50216</c:v>
                </c:pt>
                <c:pt idx="269">
                  <c:v>50248</c:v>
                </c:pt>
                <c:pt idx="270">
                  <c:v>50279</c:v>
                </c:pt>
                <c:pt idx="271">
                  <c:v>50311</c:v>
                </c:pt>
                <c:pt idx="272">
                  <c:v>50341</c:v>
                </c:pt>
                <c:pt idx="273">
                  <c:v>50374</c:v>
                </c:pt>
                <c:pt idx="274">
                  <c:v>50404</c:v>
                </c:pt>
                <c:pt idx="275">
                  <c:v>50437</c:v>
                </c:pt>
                <c:pt idx="276">
                  <c:v>50465</c:v>
                </c:pt>
                <c:pt idx="277">
                  <c:v>50496</c:v>
                </c:pt>
                <c:pt idx="278">
                  <c:v>50528</c:v>
                </c:pt>
                <c:pt idx="279">
                  <c:v>50559</c:v>
                </c:pt>
                <c:pt idx="280">
                  <c:v>50591</c:v>
                </c:pt>
                <c:pt idx="281">
                  <c:v>50622</c:v>
                </c:pt>
                <c:pt idx="282">
                  <c:v>50654</c:v>
                </c:pt>
                <c:pt idx="283">
                  <c:v>50684</c:v>
                </c:pt>
                <c:pt idx="284">
                  <c:v>50717</c:v>
                </c:pt>
                <c:pt idx="285">
                  <c:v>50747</c:v>
                </c:pt>
                <c:pt idx="286">
                  <c:v>50780</c:v>
                </c:pt>
                <c:pt idx="287">
                  <c:v>50811</c:v>
                </c:pt>
                <c:pt idx="288">
                  <c:v>50839</c:v>
                </c:pt>
                <c:pt idx="289">
                  <c:v>50872</c:v>
                </c:pt>
                <c:pt idx="290">
                  <c:v>50902</c:v>
                </c:pt>
                <c:pt idx="291">
                  <c:v>50934</c:v>
                </c:pt>
                <c:pt idx="292">
                  <c:v>50964</c:v>
                </c:pt>
                <c:pt idx="293">
                  <c:v>50997</c:v>
                </c:pt>
                <c:pt idx="294">
                  <c:v>51028</c:v>
                </c:pt>
                <c:pt idx="295">
                  <c:v>51060</c:v>
                </c:pt>
                <c:pt idx="296">
                  <c:v>51091</c:v>
                </c:pt>
                <c:pt idx="297">
                  <c:v>51123</c:v>
                </c:pt>
                <c:pt idx="298">
                  <c:v>51154</c:v>
                </c:pt>
                <c:pt idx="299">
                  <c:v>51186</c:v>
                </c:pt>
                <c:pt idx="300">
                  <c:v>51215</c:v>
                </c:pt>
                <c:pt idx="301">
                  <c:v>51246</c:v>
                </c:pt>
                <c:pt idx="302">
                  <c:v>51277</c:v>
                </c:pt>
                <c:pt idx="303">
                  <c:v>51308</c:v>
                </c:pt>
                <c:pt idx="304">
                  <c:v>51340</c:v>
                </c:pt>
                <c:pt idx="305">
                  <c:v>51371</c:v>
                </c:pt>
                <c:pt idx="306">
                  <c:v>51403</c:v>
                </c:pt>
                <c:pt idx="307">
                  <c:v>51433</c:v>
                </c:pt>
                <c:pt idx="308">
                  <c:v>51466</c:v>
                </c:pt>
                <c:pt idx="309">
                  <c:v>51497</c:v>
                </c:pt>
                <c:pt idx="310">
                  <c:v>51529</c:v>
                </c:pt>
                <c:pt idx="311">
                  <c:v>51560</c:v>
                </c:pt>
                <c:pt idx="312">
                  <c:v>51588</c:v>
                </c:pt>
                <c:pt idx="313">
                  <c:v>51620</c:v>
                </c:pt>
                <c:pt idx="314">
                  <c:v>51650</c:v>
                </c:pt>
                <c:pt idx="315">
                  <c:v>51683</c:v>
                </c:pt>
                <c:pt idx="316">
                  <c:v>51714</c:v>
                </c:pt>
                <c:pt idx="317">
                  <c:v>51746</c:v>
                </c:pt>
                <c:pt idx="318">
                  <c:v>51776</c:v>
                </c:pt>
                <c:pt idx="319">
                  <c:v>51809</c:v>
                </c:pt>
                <c:pt idx="320">
                  <c:v>51839</c:v>
                </c:pt>
                <c:pt idx="321">
                  <c:v>51872</c:v>
                </c:pt>
                <c:pt idx="322">
                  <c:v>51903</c:v>
                </c:pt>
                <c:pt idx="323">
                  <c:v>51931</c:v>
                </c:pt>
                <c:pt idx="324">
                  <c:v>51964</c:v>
                </c:pt>
                <c:pt idx="325">
                  <c:v>51994</c:v>
                </c:pt>
                <c:pt idx="326">
                  <c:v>52026</c:v>
                </c:pt>
                <c:pt idx="327">
                  <c:v>52056</c:v>
                </c:pt>
                <c:pt idx="328">
                  <c:v>52089</c:v>
                </c:pt>
                <c:pt idx="329">
                  <c:v>52120</c:v>
                </c:pt>
                <c:pt idx="330">
                  <c:v>52152</c:v>
                </c:pt>
                <c:pt idx="331">
                  <c:v>52183</c:v>
                </c:pt>
                <c:pt idx="332">
                  <c:v>52215</c:v>
                </c:pt>
                <c:pt idx="333">
                  <c:v>52246</c:v>
                </c:pt>
                <c:pt idx="334">
                  <c:v>52278</c:v>
                </c:pt>
                <c:pt idx="335">
                  <c:v>52306</c:v>
                </c:pt>
                <c:pt idx="336">
                  <c:v>52337</c:v>
                </c:pt>
                <c:pt idx="337">
                  <c:v>52369</c:v>
                </c:pt>
                <c:pt idx="338">
                  <c:v>52400</c:v>
                </c:pt>
                <c:pt idx="339">
                  <c:v>52432</c:v>
                </c:pt>
                <c:pt idx="340">
                  <c:v>52463</c:v>
                </c:pt>
                <c:pt idx="341">
                  <c:v>52495</c:v>
                </c:pt>
                <c:pt idx="342">
                  <c:v>52525</c:v>
                </c:pt>
                <c:pt idx="343">
                  <c:v>52558</c:v>
                </c:pt>
                <c:pt idx="344">
                  <c:v>52588</c:v>
                </c:pt>
                <c:pt idx="345">
                  <c:v>52621</c:v>
                </c:pt>
                <c:pt idx="346">
                  <c:v>52652</c:v>
                </c:pt>
                <c:pt idx="347">
                  <c:v>52681</c:v>
                </c:pt>
                <c:pt idx="348">
                  <c:v>52712</c:v>
                </c:pt>
                <c:pt idx="349">
                  <c:v>52742</c:v>
                </c:pt>
                <c:pt idx="350">
                  <c:v>52775</c:v>
                </c:pt>
                <c:pt idx="351">
                  <c:v>52805</c:v>
                </c:pt>
                <c:pt idx="352">
                  <c:v>52838</c:v>
                </c:pt>
                <c:pt idx="353">
                  <c:v>52869</c:v>
                </c:pt>
                <c:pt idx="354">
                  <c:v>52901</c:v>
                </c:pt>
                <c:pt idx="355">
                  <c:v>52931</c:v>
                </c:pt>
                <c:pt idx="356">
                  <c:v>52961</c:v>
                </c:pt>
                <c:pt idx="357">
                  <c:v>52992</c:v>
                </c:pt>
                <c:pt idx="358">
                  <c:v>53021</c:v>
                </c:pt>
                <c:pt idx="359">
                  <c:v>53049</c:v>
                </c:pt>
                <c:pt idx="360">
                  <c:v>53080</c:v>
                </c:pt>
                <c:pt idx="361">
                  <c:v>53111</c:v>
                </c:pt>
                <c:pt idx="362">
                  <c:v>53142</c:v>
                </c:pt>
                <c:pt idx="363">
                  <c:v>53174</c:v>
                </c:pt>
                <c:pt idx="364">
                  <c:v>53205</c:v>
                </c:pt>
                <c:pt idx="365">
                  <c:v>53237</c:v>
                </c:pt>
                <c:pt idx="366">
                  <c:v>53268</c:v>
                </c:pt>
                <c:pt idx="367">
                  <c:v>53300</c:v>
                </c:pt>
                <c:pt idx="368">
                  <c:v>53331</c:v>
                </c:pt>
                <c:pt idx="369">
                  <c:v>53363</c:v>
                </c:pt>
                <c:pt idx="370">
                  <c:v>53391</c:v>
                </c:pt>
                <c:pt idx="371">
                  <c:v>53422</c:v>
                </c:pt>
                <c:pt idx="372">
                  <c:v>53454</c:v>
                </c:pt>
                <c:pt idx="373">
                  <c:v>53485</c:v>
                </c:pt>
                <c:pt idx="374">
                  <c:v>53517</c:v>
                </c:pt>
                <c:pt idx="375">
                  <c:v>53548</c:v>
                </c:pt>
                <c:pt idx="376">
                  <c:v>53580</c:v>
                </c:pt>
                <c:pt idx="377">
                  <c:v>53610</c:v>
                </c:pt>
                <c:pt idx="378">
                  <c:v>53643</c:v>
                </c:pt>
                <c:pt idx="379">
                  <c:v>53673</c:v>
                </c:pt>
                <c:pt idx="380">
                  <c:v>53706</c:v>
                </c:pt>
                <c:pt idx="381">
                  <c:v>53737</c:v>
                </c:pt>
                <c:pt idx="382">
                  <c:v>53765</c:v>
                </c:pt>
                <c:pt idx="383">
                  <c:v>53798</c:v>
                </c:pt>
                <c:pt idx="384">
                  <c:v>53828</c:v>
                </c:pt>
                <c:pt idx="385">
                  <c:v>53860</c:v>
                </c:pt>
                <c:pt idx="386">
                  <c:v>53890</c:v>
                </c:pt>
                <c:pt idx="387">
                  <c:v>53923</c:v>
                </c:pt>
                <c:pt idx="388">
                  <c:v>53954</c:v>
                </c:pt>
                <c:pt idx="389">
                  <c:v>53986</c:v>
                </c:pt>
                <c:pt idx="390">
                  <c:v>54017</c:v>
                </c:pt>
                <c:pt idx="391">
                  <c:v>54049</c:v>
                </c:pt>
                <c:pt idx="392">
                  <c:v>54080</c:v>
                </c:pt>
                <c:pt idx="393">
                  <c:v>54112</c:v>
                </c:pt>
                <c:pt idx="394">
                  <c:v>54141</c:v>
                </c:pt>
                <c:pt idx="395">
                  <c:v>54172</c:v>
                </c:pt>
                <c:pt idx="396">
                  <c:v>54203</c:v>
                </c:pt>
                <c:pt idx="397">
                  <c:v>54234</c:v>
                </c:pt>
                <c:pt idx="398">
                  <c:v>54266</c:v>
                </c:pt>
                <c:pt idx="399">
                  <c:v>54297</c:v>
                </c:pt>
                <c:pt idx="400">
                  <c:v>54329</c:v>
                </c:pt>
                <c:pt idx="401">
                  <c:v>54359</c:v>
                </c:pt>
                <c:pt idx="402">
                  <c:v>54392</c:v>
                </c:pt>
                <c:pt idx="403">
                  <c:v>54422</c:v>
                </c:pt>
                <c:pt idx="404">
                  <c:v>54455</c:v>
                </c:pt>
                <c:pt idx="405">
                  <c:v>54483</c:v>
                </c:pt>
                <c:pt idx="406">
                  <c:v>54514</c:v>
                </c:pt>
                <c:pt idx="407">
                  <c:v>54546</c:v>
                </c:pt>
                <c:pt idx="408">
                  <c:v>54577</c:v>
                </c:pt>
                <c:pt idx="409">
                  <c:v>54609</c:v>
                </c:pt>
                <c:pt idx="410">
                  <c:v>54640</c:v>
                </c:pt>
                <c:pt idx="411">
                  <c:v>54672</c:v>
                </c:pt>
                <c:pt idx="412">
                  <c:v>54702</c:v>
                </c:pt>
                <c:pt idx="413">
                  <c:v>54735</c:v>
                </c:pt>
                <c:pt idx="414">
                  <c:v>54765</c:v>
                </c:pt>
                <c:pt idx="415">
                  <c:v>54798</c:v>
                </c:pt>
                <c:pt idx="416">
                  <c:v>54829</c:v>
                </c:pt>
                <c:pt idx="417">
                  <c:v>54857</c:v>
                </c:pt>
                <c:pt idx="418">
                  <c:v>54890</c:v>
                </c:pt>
                <c:pt idx="419">
                  <c:v>54920</c:v>
                </c:pt>
                <c:pt idx="420">
                  <c:v>54952</c:v>
                </c:pt>
                <c:pt idx="421">
                  <c:v>54982</c:v>
                </c:pt>
                <c:pt idx="422">
                  <c:v>55015</c:v>
                </c:pt>
                <c:pt idx="423">
                  <c:v>55046</c:v>
                </c:pt>
                <c:pt idx="424">
                  <c:v>55078</c:v>
                </c:pt>
                <c:pt idx="425">
                  <c:v>55109</c:v>
                </c:pt>
                <c:pt idx="426">
                  <c:v>55141</c:v>
                </c:pt>
                <c:pt idx="427">
                  <c:v>55172</c:v>
                </c:pt>
                <c:pt idx="428">
                  <c:v>55204</c:v>
                </c:pt>
                <c:pt idx="429">
                  <c:v>55232</c:v>
                </c:pt>
                <c:pt idx="430">
                  <c:v>55263</c:v>
                </c:pt>
                <c:pt idx="431">
                  <c:v>55295</c:v>
                </c:pt>
                <c:pt idx="432">
                  <c:v>55326</c:v>
                </c:pt>
                <c:pt idx="433">
                  <c:v>55358</c:v>
                </c:pt>
                <c:pt idx="434">
                  <c:v>55389</c:v>
                </c:pt>
                <c:pt idx="435">
                  <c:v>55421</c:v>
                </c:pt>
                <c:pt idx="436">
                  <c:v>55451</c:v>
                </c:pt>
                <c:pt idx="437">
                  <c:v>55484</c:v>
                </c:pt>
                <c:pt idx="438">
                  <c:v>55514</c:v>
                </c:pt>
                <c:pt idx="439">
                  <c:v>55547</c:v>
                </c:pt>
                <c:pt idx="440">
                  <c:v>55578</c:v>
                </c:pt>
                <c:pt idx="441">
                  <c:v>55607</c:v>
                </c:pt>
                <c:pt idx="442">
                  <c:v>55638</c:v>
                </c:pt>
                <c:pt idx="443">
                  <c:v>55668</c:v>
                </c:pt>
                <c:pt idx="444">
                  <c:v>55701</c:v>
                </c:pt>
                <c:pt idx="445">
                  <c:v>55732</c:v>
                </c:pt>
                <c:pt idx="446">
                  <c:v>55764</c:v>
                </c:pt>
                <c:pt idx="447">
                  <c:v>55794</c:v>
                </c:pt>
                <c:pt idx="448">
                  <c:v>55827</c:v>
                </c:pt>
                <c:pt idx="449">
                  <c:v>55857</c:v>
                </c:pt>
                <c:pt idx="450">
                  <c:v>55890</c:v>
                </c:pt>
                <c:pt idx="451">
                  <c:v>55921</c:v>
                </c:pt>
                <c:pt idx="452">
                  <c:v>55949</c:v>
                </c:pt>
                <c:pt idx="453">
                  <c:v>55982</c:v>
                </c:pt>
                <c:pt idx="454">
                  <c:v>56012</c:v>
                </c:pt>
                <c:pt idx="455">
                  <c:v>56044</c:v>
                </c:pt>
                <c:pt idx="456">
                  <c:v>56074</c:v>
                </c:pt>
                <c:pt idx="457">
                  <c:v>56107</c:v>
                </c:pt>
                <c:pt idx="458">
                  <c:v>56138</c:v>
                </c:pt>
                <c:pt idx="459">
                  <c:v>56170</c:v>
                </c:pt>
                <c:pt idx="460">
                  <c:v>56201</c:v>
                </c:pt>
                <c:pt idx="461">
                  <c:v>56233</c:v>
                </c:pt>
                <c:pt idx="462">
                  <c:v>56264</c:v>
                </c:pt>
                <c:pt idx="463">
                  <c:v>56296</c:v>
                </c:pt>
                <c:pt idx="464">
                  <c:v>56324</c:v>
                </c:pt>
                <c:pt idx="465">
                  <c:v>56355</c:v>
                </c:pt>
                <c:pt idx="466">
                  <c:v>56387</c:v>
                </c:pt>
                <c:pt idx="467">
                  <c:v>56418</c:v>
                </c:pt>
                <c:pt idx="468">
                  <c:v>56450</c:v>
                </c:pt>
                <c:pt idx="469">
                  <c:v>56481</c:v>
                </c:pt>
                <c:pt idx="470">
                  <c:v>56513</c:v>
                </c:pt>
                <c:pt idx="471">
                  <c:v>56543</c:v>
                </c:pt>
                <c:pt idx="472">
                  <c:v>56576</c:v>
                </c:pt>
                <c:pt idx="473">
                  <c:v>56606</c:v>
                </c:pt>
                <c:pt idx="474">
                  <c:v>56639</c:v>
                </c:pt>
                <c:pt idx="475">
                  <c:v>56670</c:v>
                </c:pt>
                <c:pt idx="476">
                  <c:v>56698</c:v>
                </c:pt>
                <c:pt idx="477">
                  <c:v>56730</c:v>
                </c:pt>
                <c:pt idx="478">
                  <c:v>56760</c:v>
                </c:pt>
                <c:pt idx="479">
                  <c:v>56793</c:v>
                </c:pt>
                <c:pt idx="480">
                  <c:v>56823</c:v>
                </c:pt>
                <c:pt idx="481">
                  <c:v>56856</c:v>
                </c:pt>
                <c:pt idx="482">
                  <c:v>56887</c:v>
                </c:pt>
                <c:pt idx="483">
                  <c:v>56919</c:v>
                </c:pt>
                <c:pt idx="484">
                  <c:v>56949</c:v>
                </c:pt>
                <c:pt idx="485">
                  <c:v>56982</c:v>
                </c:pt>
                <c:pt idx="486">
                  <c:v>57013</c:v>
                </c:pt>
                <c:pt idx="487">
                  <c:v>57042</c:v>
                </c:pt>
                <c:pt idx="488">
                  <c:v>57074</c:v>
                </c:pt>
                <c:pt idx="489">
                  <c:v>57104</c:v>
                </c:pt>
                <c:pt idx="490">
                  <c:v>57136</c:v>
                </c:pt>
                <c:pt idx="491">
                  <c:v>57166</c:v>
                </c:pt>
                <c:pt idx="492">
                  <c:v>57199</c:v>
                </c:pt>
                <c:pt idx="493">
                  <c:v>57230</c:v>
                </c:pt>
                <c:pt idx="494">
                  <c:v>57262</c:v>
                </c:pt>
                <c:pt idx="495">
                  <c:v>57293</c:v>
                </c:pt>
                <c:pt idx="496">
                  <c:v>57325</c:v>
                </c:pt>
                <c:pt idx="497">
                  <c:v>57356</c:v>
                </c:pt>
                <c:pt idx="498">
                  <c:v>57388</c:v>
                </c:pt>
                <c:pt idx="499">
                  <c:v>57416</c:v>
                </c:pt>
                <c:pt idx="500">
                  <c:v>57447</c:v>
                </c:pt>
                <c:pt idx="501">
                  <c:v>57479</c:v>
                </c:pt>
                <c:pt idx="502">
                  <c:v>57510</c:v>
                </c:pt>
                <c:pt idx="503">
                  <c:v>57542</c:v>
                </c:pt>
                <c:pt idx="504">
                  <c:v>57573</c:v>
                </c:pt>
                <c:pt idx="505">
                  <c:v>57605</c:v>
                </c:pt>
                <c:pt idx="506">
                  <c:v>57635</c:v>
                </c:pt>
                <c:pt idx="507">
                  <c:v>57668</c:v>
                </c:pt>
                <c:pt idx="508">
                  <c:v>57698</c:v>
                </c:pt>
                <c:pt idx="509">
                  <c:v>57731</c:v>
                </c:pt>
                <c:pt idx="510">
                  <c:v>57762</c:v>
                </c:pt>
                <c:pt idx="511">
                  <c:v>57790</c:v>
                </c:pt>
                <c:pt idx="512">
                  <c:v>57822</c:v>
                </c:pt>
                <c:pt idx="513">
                  <c:v>57852</c:v>
                </c:pt>
                <c:pt idx="514">
                  <c:v>57885</c:v>
                </c:pt>
                <c:pt idx="515">
                  <c:v>57915</c:v>
                </c:pt>
                <c:pt idx="516">
                  <c:v>57948</c:v>
                </c:pt>
                <c:pt idx="517">
                  <c:v>57979</c:v>
                </c:pt>
                <c:pt idx="518">
                  <c:v>58011</c:v>
                </c:pt>
                <c:pt idx="519">
                  <c:v>58042</c:v>
                </c:pt>
                <c:pt idx="520">
                  <c:v>58074</c:v>
                </c:pt>
                <c:pt idx="521">
                  <c:v>58105</c:v>
                </c:pt>
                <c:pt idx="522">
                  <c:v>58134</c:v>
                </c:pt>
                <c:pt idx="523">
                  <c:v>58166</c:v>
                </c:pt>
                <c:pt idx="524">
                  <c:v>58197</c:v>
                </c:pt>
                <c:pt idx="525">
                  <c:v>58228</c:v>
                </c:pt>
                <c:pt idx="526">
                  <c:v>58258</c:v>
                </c:pt>
                <c:pt idx="527">
                  <c:v>58291</c:v>
                </c:pt>
                <c:pt idx="528">
                  <c:v>58322</c:v>
                </c:pt>
                <c:pt idx="529">
                  <c:v>58354</c:v>
                </c:pt>
                <c:pt idx="530">
                  <c:v>58385</c:v>
                </c:pt>
                <c:pt idx="531">
                  <c:v>58417</c:v>
                </c:pt>
                <c:pt idx="532">
                  <c:v>58448</c:v>
                </c:pt>
                <c:pt idx="533">
                  <c:v>58480</c:v>
                </c:pt>
                <c:pt idx="534">
                  <c:v>58509</c:v>
                </c:pt>
                <c:pt idx="535">
                  <c:v>58540</c:v>
                </c:pt>
                <c:pt idx="536">
                  <c:v>58571</c:v>
                </c:pt>
                <c:pt idx="537">
                  <c:v>58602</c:v>
                </c:pt>
                <c:pt idx="538">
                  <c:v>58634</c:v>
                </c:pt>
                <c:pt idx="539">
                  <c:v>58665</c:v>
                </c:pt>
                <c:pt idx="540">
                  <c:v>58697</c:v>
                </c:pt>
                <c:pt idx="541">
                  <c:v>58727</c:v>
                </c:pt>
                <c:pt idx="542">
                  <c:v>58760</c:v>
                </c:pt>
                <c:pt idx="543">
                  <c:v>58790</c:v>
                </c:pt>
                <c:pt idx="544">
                  <c:v>58823</c:v>
                </c:pt>
                <c:pt idx="545">
                  <c:v>58854</c:v>
                </c:pt>
                <c:pt idx="546">
                  <c:v>58882</c:v>
                </c:pt>
                <c:pt idx="547">
                  <c:v>58914</c:v>
                </c:pt>
                <c:pt idx="548">
                  <c:v>58944</c:v>
                </c:pt>
                <c:pt idx="549">
                  <c:v>58977</c:v>
                </c:pt>
                <c:pt idx="550">
                  <c:v>59007</c:v>
                </c:pt>
                <c:pt idx="551">
                  <c:v>59040</c:v>
                </c:pt>
                <c:pt idx="552">
                  <c:v>59071</c:v>
                </c:pt>
                <c:pt idx="553">
                  <c:v>59103</c:v>
                </c:pt>
                <c:pt idx="554">
                  <c:v>59134</c:v>
                </c:pt>
                <c:pt idx="555">
                  <c:v>59167</c:v>
                </c:pt>
                <c:pt idx="556">
                  <c:v>59198</c:v>
                </c:pt>
                <c:pt idx="557">
                  <c:v>59229</c:v>
                </c:pt>
                <c:pt idx="558">
                  <c:v>59258</c:v>
                </c:pt>
                <c:pt idx="559">
                  <c:v>59289</c:v>
                </c:pt>
                <c:pt idx="560">
                  <c:v>59320</c:v>
                </c:pt>
                <c:pt idx="561">
                  <c:v>59351</c:v>
                </c:pt>
                <c:pt idx="562">
                  <c:v>59383</c:v>
                </c:pt>
                <c:pt idx="563">
                  <c:v>59414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59540</c:v>
                </c:pt>
                <c:pt idx="568">
                  <c:v>59572</c:v>
                </c:pt>
                <c:pt idx="569">
                  <c:v>59600</c:v>
                </c:pt>
                <c:pt idx="570">
                  <c:v>59631</c:v>
                </c:pt>
                <c:pt idx="571">
                  <c:v>59663</c:v>
                </c:pt>
                <c:pt idx="572">
                  <c:v>59694</c:v>
                </c:pt>
                <c:pt idx="573">
                  <c:v>59726</c:v>
                </c:pt>
                <c:pt idx="574">
                  <c:v>59757</c:v>
                </c:pt>
                <c:pt idx="575">
                  <c:v>59789</c:v>
                </c:pt>
                <c:pt idx="576">
                  <c:v>59819</c:v>
                </c:pt>
                <c:pt idx="577">
                  <c:v>59852</c:v>
                </c:pt>
                <c:pt idx="578">
                  <c:v>59882</c:v>
                </c:pt>
                <c:pt idx="579">
                  <c:v>59915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1.5056400971897581E-3</c:v>
                </c:pt>
                <c:pt idx="1">
                  <c:v>1.3771007199378973E-3</c:v>
                </c:pt>
                <c:pt idx="2">
                  <c:v>1.3232636833456239E-3</c:v>
                </c:pt>
                <c:pt idx="3">
                  <c:v>1.2675086747338938E-3</c:v>
                </c:pt>
                <c:pt idx="4">
                  <c:v>1.2743147242257891E-3</c:v>
                </c:pt>
                <c:pt idx="5">
                  <c:v>1.3067086381937077E-3</c:v>
                </c:pt>
                <c:pt idx="6">
                  <c:v>1.3890177447664349E-3</c:v>
                </c:pt>
                <c:pt idx="7">
                  <c:v>1.4683307516278501E-3</c:v>
                </c:pt>
                <c:pt idx="8">
                  <c:v>1.4935363238260885E-3</c:v>
                </c:pt>
                <c:pt idx="9">
                  <c:v>1.502969812914988E-3</c:v>
                </c:pt>
                <c:pt idx="10">
                  <c:v>1.5354251997886602E-3</c:v>
                </c:pt>
                <c:pt idx="11">
                  <c:v>1.5823561153424047E-3</c:v>
                </c:pt>
                <c:pt idx="12">
                  <c:v>1.616742338009936E-3</c:v>
                </c:pt>
                <c:pt idx="13">
                  <c:v>1.5954184522099996E-3</c:v>
                </c:pt>
                <c:pt idx="14">
                  <c:v>1.5852184600219426E-3</c:v>
                </c:pt>
                <c:pt idx="15">
                  <c:v>1.5864264730011558E-3</c:v>
                </c:pt>
                <c:pt idx="16">
                  <c:v>1.6042504714635474E-3</c:v>
                </c:pt>
                <c:pt idx="17">
                  <c:v>1.6331884525197728E-3</c:v>
                </c:pt>
                <c:pt idx="18">
                  <c:v>1.6676482819233287E-3</c:v>
                </c:pt>
                <c:pt idx="19">
                  <c:v>1.689475726053607E-3</c:v>
                </c:pt>
                <c:pt idx="20">
                  <c:v>1.709507468807996E-3</c:v>
                </c:pt>
                <c:pt idx="21">
                  <c:v>1.6246766380773291E-3</c:v>
                </c:pt>
                <c:pt idx="22">
                  <c:v>1.4412295245801116E-3</c:v>
                </c:pt>
                <c:pt idx="23">
                  <c:v>1.2756544849732722E-3</c:v>
                </c:pt>
                <c:pt idx="24">
                  <c:v>1.2954960849544195E-3</c:v>
                </c:pt>
                <c:pt idx="25">
                  <c:v>1.4707325226733748E-3</c:v>
                </c:pt>
                <c:pt idx="26">
                  <c:v>1.6399365983327495E-3</c:v>
                </c:pt>
                <c:pt idx="27">
                  <c:v>1.8137921939806792E-3</c:v>
                </c:pt>
                <c:pt idx="28">
                  <c:v>1.9839982525349242E-3</c:v>
                </c:pt>
                <c:pt idx="29">
                  <c:v>2.1674558325322094E-3</c:v>
                </c:pt>
                <c:pt idx="30">
                  <c:v>2.3300646202718883E-3</c:v>
                </c:pt>
                <c:pt idx="31">
                  <c:v>2.5057987548302843E-3</c:v>
                </c:pt>
                <c:pt idx="32">
                  <c:v>2.6951599811372243E-3</c:v>
                </c:pt>
                <c:pt idx="33">
                  <c:v>2.3336924625037294E-3</c:v>
                </c:pt>
                <c:pt idx="34">
                  <c:v>1.7997279329472629E-3</c:v>
                </c:pt>
                <c:pt idx="35">
                  <c:v>1.286689992424601E-3</c:v>
                </c:pt>
                <c:pt idx="36">
                  <c:v>1.37194960124323E-3</c:v>
                </c:pt>
                <c:pt idx="37">
                  <c:v>1.5702012331407929E-3</c:v>
                </c:pt>
                <c:pt idx="38">
                  <c:v>1.7910268121181985E-3</c:v>
                </c:pt>
                <c:pt idx="39">
                  <c:v>1.9904262274028643E-3</c:v>
                </c:pt>
                <c:pt idx="40">
                  <c:v>2.22739241423702E-3</c:v>
                </c:pt>
                <c:pt idx="41">
                  <c:v>2.4451907280544816E-3</c:v>
                </c:pt>
                <c:pt idx="42">
                  <c:v>2.6651173876078033E-3</c:v>
                </c:pt>
                <c:pt idx="43">
                  <c:v>2.9054760931526737E-3</c:v>
                </c:pt>
                <c:pt idx="44">
                  <c:v>3.112847710025745E-3</c:v>
                </c:pt>
                <c:pt idx="45">
                  <c:v>2.3441936292781362E-3</c:v>
                </c:pt>
                <c:pt idx="46">
                  <c:v>1.6511052844695503E-3</c:v>
                </c:pt>
                <c:pt idx="47">
                  <c:v>1.0517737248304177E-3</c:v>
                </c:pt>
                <c:pt idx="48">
                  <c:v>1.3147609390391536E-3</c:v>
                </c:pt>
                <c:pt idx="49">
                  <c:v>1.6018661930835999E-3</c:v>
                </c:pt>
                <c:pt idx="50">
                  <c:v>1.882104420331712E-3</c:v>
                </c:pt>
                <c:pt idx="51">
                  <c:v>2.1732252483028331E-3</c:v>
                </c:pt>
                <c:pt idx="52">
                  <c:v>2.4612927921845449E-3</c:v>
                </c:pt>
                <c:pt idx="53">
                  <c:v>2.7751835747132957E-3</c:v>
                </c:pt>
                <c:pt idx="54">
                  <c:v>3.0561777655504193E-3</c:v>
                </c:pt>
                <c:pt idx="55">
                  <c:v>3.3625525623212126E-3</c:v>
                </c:pt>
                <c:pt idx="56">
                  <c:v>3.1893961976552278E-3</c:v>
                </c:pt>
                <c:pt idx="57">
                  <c:v>2.2035344877734068E-3</c:v>
                </c:pt>
                <c:pt idx="58">
                  <c:v>1.1876608171506441E-3</c:v>
                </c:pt>
                <c:pt idx="59">
                  <c:v>7.9385189149338078E-4</c:v>
                </c:pt>
                <c:pt idx="60">
                  <c:v>1.12633817212251E-3</c:v>
                </c:pt>
                <c:pt idx="61">
                  <c:v>1.435283544829807E-3</c:v>
                </c:pt>
                <c:pt idx="62">
                  <c:v>1.7674178637023859E-3</c:v>
                </c:pt>
                <c:pt idx="63">
                  <c:v>2.0816402040985289E-3</c:v>
                </c:pt>
                <c:pt idx="64">
                  <c:v>2.4033291483476788E-3</c:v>
                </c:pt>
                <c:pt idx="65">
                  <c:v>2.6975517984805381E-3</c:v>
                </c:pt>
                <c:pt idx="66">
                  <c:v>2.9991840100952322E-3</c:v>
                </c:pt>
                <c:pt idx="67">
                  <c:v>3.3082803556028217E-3</c:v>
                </c:pt>
                <c:pt idx="68">
                  <c:v>2.9048446797728892E-3</c:v>
                </c:pt>
                <c:pt idx="69">
                  <c:v>1.9599126181790716E-3</c:v>
                </c:pt>
                <c:pt idx="70">
                  <c:v>1.0417492687955898E-3</c:v>
                </c:pt>
                <c:pt idx="71">
                  <c:v>9.0974817860912938E-4</c:v>
                </c:pt>
                <c:pt idx="72">
                  <c:v>1.1973143694056082E-3</c:v>
                </c:pt>
                <c:pt idx="73">
                  <c:v>1.5060697662299012E-3</c:v>
                </c:pt>
                <c:pt idx="74">
                  <c:v>1.7752606805263582E-3</c:v>
                </c:pt>
                <c:pt idx="75">
                  <c:v>2.0840371901973669E-3</c:v>
                </c:pt>
                <c:pt idx="76">
                  <c:v>2.3581884628196149E-3</c:v>
                </c:pt>
                <c:pt idx="77">
                  <c:v>2.6262166704959095E-3</c:v>
                </c:pt>
                <c:pt idx="78">
                  <c:v>2.9098743874730743E-3</c:v>
                </c:pt>
                <c:pt idx="79">
                  <c:v>3.1826077621354264E-3</c:v>
                </c:pt>
                <c:pt idx="80">
                  <c:v>2.4495746763397719E-3</c:v>
                </c:pt>
                <c:pt idx="81">
                  <c:v>1.6509554824622324E-3</c:v>
                </c:pt>
                <c:pt idx="82">
                  <c:v>7.6690373810634621E-4</c:v>
                </c:pt>
                <c:pt idx="83">
                  <c:v>1.0228464820086144E-3</c:v>
                </c:pt>
                <c:pt idx="84">
                  <c:v>1.2888921633354457E-3</c:v>
                </c:pt>
                <c:pt idx="85">
                  <c:v>1.536232428079827E-3</c:v>
                </c:pt>
                <c:pt idx="86">
                  <c:v>1.7810940415760833E-3</c:v>
                </c:pt>
                <c:pt idx="87">
                  <c:v>2.0119808603249467E-3</c:v>
                </c:pt>
                <c:pt idx="88">
                  <c:v>2.2514310454465648E-3</c:v>
                </c:pt>
                <c:pt idx="89">
                  <c:v>2.4557618781932376E-3</c:v>
                </c:pt>
                <c:pt idx="90">
                  <c:v>2.6683934904749122E-3</c:v>
                </c:pt>
                <c:pt idx="91">
                  <c:v>2.6933201301873703E-3</c:v>
                </c:pt>
                <c:pt idx="92">
                  <c:v>2.1403982741162418E-3</c:v>
                </c:pt>
                <c:pt idx="93">
                  <c:v>1.5626790712317817E-3</c:v>
                </c:pt>
                <c:pt idx="94">
                  <c:v>1.240167165043677E-3</c:v>
                </c:pt>
                <c:pt idx="95">
                  <c:v>1.4291784405250987E-3</c:v>
                </c:pt>
                <c:pt idx="96">
                  <c:v>1.5998216036006638E-3</c:v>
                </c:pt>
                <c:pt idx="97">
                  <c:v>1.7802013809032763E-3</c:v>
                </c:pt>
                <c:pt idx="98">
                  <c:v>1.9322650661397489E-3</c:v>
                </c:pt>
                <c:pt idx="99">
                  <c:v>2.0931484217490137E-3</c:v>
                </c:pt>
                <c:pt idx="100">
                  <c:v>2.243608140837048E-3</c:v>
                </c:pt>
                <c:pt idx="101">
                  <c:v>2.371399681730748E-3</c:v>
                </c:pt>
                <c:pt idx="102">
                  <c:v>2.5136896982987031E-3</c:v>
                </c:pt>
                <c:pt idx="103">
                  <c:v>2.3651666511208466E-3</c:v>
                </c:pt>
                <c:pt idx="104">
                  <c:v>1.88679246177198E-3</c:v>
                </c:pt>
                <c:pt idx="105">
                  <c:v>1.3893792750314278E-3</c:v>
                </c:pt>
                <c:pt idx="106">
                  <c:v>1.2152896041295394E-3</c:v>
                </c:pt>
                <c:pt idx="107">
                  <c:v>1.3406688025080736E-3</c:v>
                </c:pt>
                <c:pt idx="108">
                  <c:v>1.4603802413229554E-3</c:v>
                </c:pt>
                <c:pt idx="109">
                  <c:v>1.5821148206263888E-3</c:v>
                </c:pt>
                <c:pt idx="110">
                  <c:v>1.7021949528034062E-3</c:v>
                </c:pt>
                <c:pt idx="111">
                  <c:v>1.8263444206497378E-3</c:v>
                </c:pt>
                <c:pt idx="112">
                  <c:v>1.9410928845380246E-3</c:v>
                </c:pt>
                <c:pt idx="113">
                  <c:v>2.0596608088900431E-3</c:v>
                </c:pt>
                <c:pt idx="114">
                  <c:v>2.1825695752934471E-3</c:v>
                </c:pt>
                <c:pt idx="115">
                  <c:v>1.9651757008765543E-3</c:v>
                </c:pt>
                <c:pt idx="116">
                  <c:v>1.597108065729741E-3</c:v>
                </c:pt>
                <c:pt idx="117">
                  <c:v>1.2385240638859325E-3</c:v>
                </c:pt>
                <c:pt idx="118">
                  <c:v>1.2478209271021175E-3</c:v>
                </c:pt>
                <c:pt idx="119">
                  <c:v>1.3578137117890576E-3</c:v>
                </c:pt>
                <c:pt idx="120">
                  <c:v>1.4730129996936361E-3</c:v>
                </c:pt>
                <c:pt idx="121">
                  <c:v>1.5708785627914779E-3</c:v>
                </c:pt>
                <c:pt idx="122">
                  <c:v>1.6804249528529734E-3</c:v>
                </c:pt>
                <c:pt idx="123">
                  <c:v>1.7748678938699809E-3</c:v>
                </c:pt>
                <c:pt idx="124">
                  <c:v>1.865046004819404E-3</c:v>
                </c:pt>
                <c:pt idx="125">
                  <c:v>1.957507686425327E-3</c:v>
                </c:pt>
                <c:pt idx="126">
                  <c:v>2.0438481392265548E-3</c:v>
                </c:pt>
                <c:pt idx="127">
                  <c:v>1.761467852206277E-3</c:v>
                </c:pt>
                <c:pt idx="128">
                  <c:v>1.4907750779357756E-3</c:v>
                </c:pt>
                <c:pt idx="129">
                  <c:v>1.224130255770093E-3</c:v>
                </c:pt>
                <c:pt idx="130">
                  <c:v>1.296486444864544E-3</c:v>
                </c:pt>
                <c:pt idx="131">
                  <c:v>1.3700451776718081E-3</c:v>
                </c:pt>
                <c:pt idx="132">
                  <c:v>1.436624185831497E-3</c:v>
                </c:pt>
                <c:pt idx="133">
                  <c:v>1.5006745820312743E-3</c:v>
                </c:pt>
                <c:pt idx="134">
                  <c:v>1.5592925710290473E-3</c:v>
                </c:pt>
                <c:pt idx="135">
                  <c:v>1.6182504857538069E-3</c:v>
                </c:pt>
                <c:pt idx="136">
                  <c:v>1.6668542147737705E-3</c:v>
                </c:pt>
                <c:pt idx="137">
                  <c:v>1.7154643536650277E-3</c:v>
                </c:pt>
                <c:pt idx="138">
                  <c:v>1.6821097789031167E-3</c:v>
                </c:pt>
                <c:pt idx="139">
                  <c:v>1.4082322200105017E-3</c:v>
                </c:pt>
                <c:pt idx="140">
                  <c:v>1.1224575079804566E-3</c:v>
                </c:pt>
                <c:pt idx="141">
                  <c:v>9.4520305061025767E-4</c:v>
                </c:pt>
                <c:pt idx="142">
                  <c:v>9.8069353329725828E-4</c:v>
                </c:pt>
                <c:pt idx="143">
                  <c:v>1.0130364280775128E-3</c:v>
                </c:pt>
                <c:pt idx="144">
                  <c:v>1.0434906296214394E-3</c:v>
                </c:pt>
                <c:pt idx="145">
                  <c:v>1.0721226329870603E-3</c:v>
                </c:pt>
                <c:pt idx="146">
                  <c:v>1.1005762378887944E-3</c:v>
                </c:pt>
                <c:pt idx="147">
                  <c:v>1.1228116286992953E-3</c:v>
                </c:pt>
                <c:pt idx="148">
                  <c:v>1.1444590731813815E-3</c:v>
                </c:pt>
                <c:pt idx="149">
                  <c:v>1.1653584696062445E-3</c:v>
                </c:pt>
                <c:pt idx="150">
                  <c:v>1.1830226572544858E-3</c:v>
                </c:pt>
                <c:pt idx="151">
                  <c:v>1.1989932436226487E-3</c:v>
                </c:pt>
                <c:pt idx="152">
                  <c:v>1.2122720409469649E-3</c:v>
                </c:pt>
                <c:pt idx="153">
                  <c:v>1.2234854002021213E-3</c:v>
                </c:pt>
                <c:pt idx="154">
                  <c:v>1.2323558410812369E-3</c:v>
                </c:pt>
                <c:pt idx="155">
                  <c:v>1.2395257382763238E-3</c:v>
                </c:pt>
                <c:pt idx="156">
                  <c:v>1.2437944131991584E-3</c:v>
                </c:pt>
                <c:pt idx="157">
                  <c:v>1.2463326796910978E-3</c:v>
                </c:pt>
                <c:pt idx="158">
                  <c:v>1.2464332229846775E-3</c:v>
                </c:pt>
                <c:pt idx="159">
                  <c:v>1.2447498536960235E-3</c:v>
                </c:pt>
                <c:pt idx="160">
                  <c:v>1.2406636202046302E-3</c:v>
                </c:pt>
                <c:pt idx="161">
                  <c:v>1.2346731248096196E-3</c:v>
                </c:pt>
                <c:pt idx="162">
                  <c:v>1.2257626297182793E-3</c:v>
                </c:pt>
                <c:pt idx="163">
                  <c:v>1.2155401599345736E-3</c:v>
                </c:pt>
                <c:pt idx="164">
                  <c:v>1.2019612408836512E-3</c:v>
                </c:pt>
                <c:pt idx="165">
                  <c:v>1.1871699816748439E-3</c:v>
                </c:pt>
                <c:pt idx="166">
                  <c:v>1.1692475367119891E-3</c:v>
                </c:pt>
                <c:pt idx="167">
                  <c:v>1.1498787162931567E-3</c:v>
                </c:pt>
                <c:pt idx="168">
                  <c:v>1.1279248790602853E-3</c:v>
                </c:pt>
                <c:pt idx="169">
                  <c:v>1.1045461976806337E-3</c:v>
                </c:pt>
                <c:pt idx="170">
                  <c:v>1.0774616267282926E-3</c:v>
                </c:pt>
                <c:pt idx="171">
                  <c:v>1.0517624781320629E-3</c:v>
                </c:pt>
                <c:pt idx="172">
                  <c:v>1.0221222345659364E-3</c:v>
                </c:pt>
                <c:pt idx="173">
                  <c:v>1.0515053812699994E-3</c:v>
                </c:pt>
                <c:pt idx="174">
                  <c:v>1.3434977595115048E-3</c:v>
                </c:pt>
                <c:pt idx="175">
                  <c:v>1.6435027006739995E-3</c:v>
                </c:pt>
                <c:pt idx="176">
                  <c:v>1.8493060560472174E-3</c:v>
                </c:pt>
                <c:pt idx="177">
                  <c:v>1.8122409881294391E-3</c:v>
                </c:pt>
                <c:pt idx="178">
                  <c:v>1.7765189902039479E-3</c:v>
                </c:pt>
                <c:pt idx="179">
                  <c:v>1.7376491894450195E-3</c:v>
                </c:pt>
                <c:pt idx="180">
                  <c:v>1.702003587526587E-3</c:v>
                </c:pt>
                <c:pt idx="181">
                  <c:v>1.6636745718226244E-3</c:v>
                </c:pt>
                <c:pt idx="182">
                  <c:v>1.6288158283763177E-3</c:v>
                </c:pt>
                <c:pt idx="183">
                  <c:v>1.593174884058083E-3</c:v>
                </c:pt>
                <c:pt idx="184">
                  <c:v>1.5555685576917194E-3</c:v>
                </c:pt>
                <c:pt idx="185">
                  <c:v>1.519286711249207E-3</c:v>
                </c:pt>
                <c:pt idx="186">
                  <c:v>1.4798308626191685E-3</c:v>
                </c:pt>
                <c:pt idx="187">
                  <c:v>1.4426851026017075E-3</c:v>
                </c:pt>
                <c:pt idx="188">
                  <c:v>1.4047645881591249E-3</c:v>
                </c:pt>
                <c:pt idx="189">
                  <c:v>1.3681576769725874E-3</c:v>
                </c:pt>
                <c:pt idx="190">
                  <c:v>1.3283615956726884E-3</c:v>
                </c:pt>
                <c:pt idx="191">
                  <c:v>1.2931411594774289E-3</c:v>
                </c:pt>
                <c:pt idx="192">
                  <c:v>1.2526615952690792E-3</c:v>
                </c:pt>
                <c:pt idx="193">
                  <c:v>1.2160913014766829E-3</c:v>
                </c:pt>
                <c:pt idx="194">
                  <c:v>1.1804631016183557E-3</c:v>
                </c:pt>
                <c:pt idx="195">
                  <c:v>1.1420016376832084E-3</c:v>
                </c:pt>
                <c:pt idx="196">
                  <c:v>1.1048349143239454E-3</c:v>
                </c:pt>
                <c:pt idx="197">
                  <c:v>1.0644529695376138E-3</c:v>
                </c:pt>
                <c:pt idx="198">
                  <c:v>1.0276648062037264E-3</c:v>
                </c:pt>
                <c:pt idx="199">
                  <c:v>9.8711279420751752E-4</c:v>
                </c:pt>
                <c:pt idx="200">
                  <c:v>9.494902265157687E-4</c:v>
                </c:pt>
                <c:pt idx="201">
                  <c:v>9.0944795974133574E-4</c:v>
                </c:pt>
                <c:pt idx="202">
                  <c:v>8.7111275521402701E-4</c:v>
                </c:pt>
                <c:pt idx="203">
                  <c:v>8.3202332571246512E-4</c:v>
                </c:pt>
                <c:pt idx="204">
                  <c:v>7.935322867119593E-4</c:v>
                </c:pt>
                <c:pt idx="205">
                  <c:v>7.5371716173212866E-4</c:v>
                </c:pt>
                <c:pt idx="206">
                  <c:v>7.1698594414365199E-4</c:v>
                </c:pt>
                <c:pt idx="207">
                  <c:v>6.7883808375051799E-4</c:v>
                </c:pt>
                <c:pt idx="208">
                  <c:v>6.3945097524879466E-4</c:v>
                </c:pt>
                <c:pt idx="209">
                  <c:v>6.0056560809907886E-4</c:v>
                </c:pt>
                <c:pt idx="210">
                  <c:v>5.6034344553498872E-4</c:v>
                </c:pt>
                <c:pt idx="211">
                  <c:v>5.2129837511900173E-4</c:v>
                </c:pt>
                <c:pt idx="212">
                  <c:v>4.8151148817715192E-4</c:v>
                </c:pt>
                <c:pt idx="213">
                  <c:v>4.4297249485992368E-4</c:v>
                </c:pt>
                <c:pt idx="214">
                  <c:v>4.0115474604836276E-4</c:v>
                </c:pt>
                <c:pt idx="215">
                  <c:v>3.6428496426666596E-4</c:v>
                </c:pt>
                <c:pt idx="216">
                  <c:v>3.216896483979742E-4</c:v>
                </c:pt>
                <c:pt idx="217">
                  <c:v>2.8340900515479162E-4</c:v>
                </c:pt>
                <c:pt idx="218">
                  <c:v>2.4578275753943737E-4</c:v>
                </c:pt>
                <c:pt idx="219">
                  <c:v>2.0545553597066391E-4</c:v>
                </c:pt>
                <c:pt idx="220">
                  <c:v>1.6635689768859652E-4</c:v>
                </c:pt>
                <c:pt idx="221">
                  <c:v>1.2395370295312583E-4</c:v>
                </c:pt>
                <c:pt idx="222">
                  <c:v>8.5328095215640026E-5</c:v>
                </c:pt>
                <c:pt idx="223">
                  <c:v>4.2754955608948625E-5</c:v>
                </c:pt>
                <c:pt idx="224">
                  <c:v>3.3283052753400877E-6</c:v>
                </c:pt>
                <c:pt idx="225">
                  <c:v>-3.8768216589171733E-5</c:v>
                </c:pt>
                <c:pt idx="226">
                  <c:v>-7.639244800560982E-5</c:v>
                </c:pt>
                <c:pt idx="227">
                  <c:v>-1.1526017099708699E-4</c:v>
                </c:pt>
                <c:pt idx="228">
                  <c:v>-1.5444549181110531E-4</c:v>
                </c:pt>
                <c:pt idx="229">
                  <c:v>-1.9336437326825107E-4</c:v>
                </c:pt>
                <c:pt idx="230">
                  <c:v>-2.3155913844386325E-4</c:v>
                </c:pt>
                <c:pt idx="231">
                  <c:v>-2.7114088936070965E-4</c:v>
                </c:pt>
                <c:pt idx="232">
                  <c:v>2.297860063705387E-5</c:v>
                </c:pt>
                <c:pt idx="233">
                  <c:v>7.257457148680882E-4</c:v>
                </c:pt>
                <c:pt idx="234">
                  <c:v>1.4509642516280508E-3</c:v>
                </c:pt>
                <c:pt idx="235">
                  <c:v>1.7702729670288977E-3</c:v>
                </c:pt>
                <c:pt idx="236">
                  <c:v>1.7274516172079458E-3</c:v>
                </c:pt>
                <c:pt idx="237">
                  <c:v>1.6864432092177015E-3</c:v>
                </c:pt>
                <c:pt idx="238">
                  <c:v>1.6446129970380946E-3</c:v>
                </c:pt>
                <c:pt idx="239">
                  <c:v>1.6040567558643914E-3</c:v>
                </c:pt>
                <c:pt idx="240">
                  <c:v>1.5609860349541094E-3</c:v>
                </c:pt>
                <c:pt idx="241">
                  <c:v>1.5231719085973955E-3</c:v>
                </c:pt>
                <c:pt idx="242">
                  <c:v>1.4824557319657664E-3</c:v>
                </c:pt>
                <c:pt idx="243">
                  <c:v>1.4391984182091887E-3</c:v>
                </c:pt>
                <c:pt idx="244">
                  <c:v>1.3977919126188475E-3</c:v>
                </c:pt>
                <c:pt idx="245">
                  <c:v>1.3549900683664969E-3</c:v>
                </c:pt>
                <c:pt idx="246">
                  <c:v>1.3134680025704004E-3</c:v>
                </c:pt>
                <c:pt idx="247">
                  <c:v>1.2711398132094591E-3</c:v>
                </c:pt>
                <c:pt idx="248">
                  <c:v>1.2302532921384599E-3</c:v>
                </c:pt>
                <c:pt idx="249">
                  <c:v>1.1858688509508684E-3</c:v>
                </c:pt>
                <c:pt idx="250">
                  <c:v>1.1460670750326127E-3</c:v>
                </c:pt>
                <c:pt idx="251">
                  <c:v>1.1009560138092421E-3</c:v>
                </c:pt>
                <c:pt idx="252">
                  <c:v>1.0603091531953268E-3</c:v>
                </c:pt>
                <c:pt idx="253">
                  <c:v>1.0186394518736305E-3</c:v>
                </c:pt>
                <c:pt idx="254">
                  <c:v>9.7715249006016802E-4</c:v>
                </c:pt>
                <c:pt idx="255">
                  <c:v>9.3585404490761914E-4</c:v>
                </c:pt>
                <c:pt idx="256">
                  <c:v>8.9240285871418357E-4</c:v>
                </c:pt>
                <c:pt idx="257">
                  <c:v>8.5161236335536128E-4</c:v>
                </c:pt>
                <c:pt idx="258">
                  <c:v>8.0668133539887887E-4</c:v>
                </c:pt>
                <c:pt idx="259">
                  <c:v>7.6505056723763162E-4</c:v>
                </c:pt>
                <c:pt idx="260">
                  <c:v>7.2072506641718964E-4</c:v>
                </c:pt>
                <c:pt idx="261">
                  <c:v>6.7834295529483127E-4</c:v>
                </c:pt>
                <c:pt idx="262">
                  <c:v>6.3518077126978323E-4</c:v>
                </c:pt>
                <c:pt idx="263">
                  <c:v>5.9333685035145578E-4</c:v>
                </c:pt>
                <c:pt idx="264">
                  <c:v>5.4876225500238851E-4</c:v>
                </c:pt>
                <c:pt idx="265">
                  <c:v>5.0962158851180703E-4</c:v>
                </c:pt>
                <c:pt idx="266">
                  <c:v>4.676178026915348E-4</c:v>
                </c:pt>
                <c:pt idx="267">
                  <c:v>4.228568697534317E-4</c:v>
                </c:pt>
                <c:pt idx="268">
                  <c:v>3.8007696967103793E-4</c:v>
                </c:pt>
                <c:pt idx="269">
                  <c:v>3.3585747437604729E-4</c:v>
                </c:pt>
                <c:pt idx="270">
                  <c:v>2.9296210423839994E-4</c:v>
                </c:pt>
                <c:pt idx="271">
                  <c:v>2.4930206178825839E-4</c:v>
                </c:pt>
                <c:pt idx="272">
                  <c:v>2.0700091853576713E-4</c:v>
                </c:pt>
                <c:pt idx="273">
                  <c:v>1.6389734357237506E-4</c:v>
                </c:pt>
                <c:pt idx="274">
                  <c:v>1.2079882858806457E-4</c:v>
                </c:pt>
                <c:pt idx="275">
                  <c:v>7.4144358064177213E-5</c:v>
                </c:pt>
                <c:pt idx="276">
                  <c:v>3.4396817877452301E-5</c:v>
                </c:pt>
                <c:pt idx="277">
                  <c:v>-8.1965507146321281E-6</c:v>
                </c:pt>
                <c:pt idx="278">
                  <c:v>-5.3645394768982863E-5</c:v>
                </c:pt>
                <c:pt idx="279">
                  <c:v>-9.7053871505575762E-5</c:v>
                </c:pt>
                <c:pt idx="280">
                  <c:v>-1.4192219832385999E-4</c:v>
                </c:pt>
                <c:pt idx="281">
                  <c:v>-1.8544610285560828E-4</c:v>
                </c:pt>
                <c:pt idx="282">
                  <c:v>-2.29715995300913E-4</c:v>
                </c:pt>
                <c:pt idx="283">
                  <c:v>-2.7266429481558399E-4</c:v>
                </c:pt>
                <c:pt idx="284">
                  <c:v>-3.1917951460369229E-4</c:v>
                </c:pt>
                <c:pt idx="285">
                  <c:v>-3.6006582618686514E-4</c:v>
                </c:pt>
                <c:pt idx="286">
                  <c:v>-4.0815999544544304E-4</c:v>
                </c:pt>
                <c:pt idx="287">
                  <c:v>-4.4982446569653139E-4</c:v>
                </c:pt>
                <c:pt idx="288">
                  <c:v>-4.9170358619775312E-4</c:v>
                </c:pt>
                <c:pt idx="289">
                  <c:v>-5.377788409445701E-4</c:v>
                </c:pt>
                <c:pt idx="290">
                  <c:v>-5.8113821616738101E-4</c:v>
                </c:pt>
                <c:pt idx="291">
                  <c:v>-1.2202320582401296E-4</c:v>
                </c:pt>
                <c:pt idx="292">
                  <c:v>3.5760532455589994E-4</c:v>
                </c:pt>
                <c:pt idx="293">
                  <c:v>8.8599385308797338E-4</c:v>
                </c:pt>
                <c:pt idx="294">
                  <c:v>8.4496876277147942E-4</c:v>
                </c:pt>
                <c:pt idx="295">
                  <c:v>8.0273028887588305E-4</c:v>
                </c:pt>
                <c:pt idx="296">
                  <c:v>7.636901573657047E-4</c:v>
                </c:pt>
                <c:pt idx="297">
                  <c:v>7.2527358770504632E-4</c:v>
                </c:pt>
                <c:pt idx="298">
                  <c:v>6.8880300821676579E-4</c:v>
                </c:pt>
                <c:pt idx="299">
                  <c:v>6.5249155738072301E-4</c:v>
                </c:pt>
                <c:pt idx="300">
                  <c:v>6.2026400988010946E-4</c:v>
                </c:pt>
                <c:pt idx="301">
                  <c:v>5.8806445697001664E-4</c:v>
                </c:pt>
                <c:pt idx="302">
                  <c:v>5.5619108018950883E-4</c:v>
                </c:pt>
                <c:pt idx="303">
                  <c:v>5.2606453924150531E-4</c:v>
                </c:pt>
                <c:pt idx="304">
                  <c:v>4.9630168825773313E-4</c:v>
                </c:pt>
                <c:pt idx="305">
                  <c:v>4.6876267667180643E-4</c:v>
                </c:pt>
                <c:pt idx="306">
                  <c:v>4.4204866177444818E-4</c:v>
                </c:pt>
                <c:pt idx="307">
                  <c:v>4.1750419065086919E-4</c:v>
                </c:pt>
                <c:pt idx="308">
                  <c:v>3.9229809258382875E-4</c:v>
                </c:pt>
                <c:pt idx="309">
                  <c:v>3.7057364107706547E-4</c:v>
                </c:pt>
                <c:pt idx="310">
                  <c:v>3.484832186922901E-4</c:v>
                </c:pt>
                <c:pt idx="311">
                  <c:v>3.3008581448697172E-4</c:v>
                </c:pt>
                <c:pt idx="312">
                  <c:v>3.1163750541868263E-4</c:v>
                </c:pt>
                <c:pt idx="313">
                  <c:v>2.9398728823656212E-4</c:v>
                </c:pt>
                <c:pt idx="314">
                  <c:v>2.7820221155206923E-4</c:v>
                </c:pt>
                <c:pt idx="315">
                  <c:v>2.6248242624209855E-4</c:v>
                </c:pt>
                <c:pt idx="316">
                  <c:v>2.4902940688011077E-4</c:v>
                </c:pt>
                <c:pt idx="317">
                  <c:v>2.3663998850475404E-4</c:v>
                </c:pt>
                <c:pt idx="318">
                  <c:v>2.2594227897241095E-4</c:v>
                </c:pt>
                <c:pt idx="319">
                  <c:v>2.1573030312746488E-4</c:v>
                </c:pt>
                <c:pt idx="320">
                  <c:v>2.0790359982658657E-4</c:v>
                </c:pt>
                <c:pt idx="321">
                  <c:v>2.0024029921227732E-4</c:v>
                </c:pt>
                <c:pt idx="322">
                  <c:v>1.947316258167596E-4</c:v>
                </c:pt>
                <c:pt idx="323">
                  <c:v>1.9050097359324739E-4</c:v>
                </c:pt>
                <c:pt idx="324">
                  <c:v>1.8708500729877273E-4</c:v>
                </c:pt>
                <c:pt idx="325">
                  <c:v>1.8519170022621156E-4</c:v>
                </c:pt>
                <c:pt idx="326">
                  <c:v>1.8450827460402691E-4</c:v>
                </c:pt>
                <c:pt idx="327">
                  <c:v>1.8509941298922375E-4</c:v>
                </c:pt>
                <c:pt idx="328">
                  <c:v>1.8712655617905694E-4</c:v>
                </c:pt>
                <c:pt idx="329">
                  <c:v>1.9026206794147196E-4</c:v>
                </c:pt>
                <c:pt idx="330">
                  <c:v>1.9500206709116563E-4</c:v>
                </c:pt>
                <c:pt idx="331">
                  <c:v>2.0080722983472493E-4</c:v>
                </c:pt>
                <c:pt idx="332">
                  <c:v>2.0798817442039055E-4</c:v>
                </c:pt>
                <c:pt idx="333">
                  <c:v>2.1619205201162117E-4</c:v>
                </c:pt>
                <c:pt idx="334">
                  <c:v>2.2633550229802374E-4</c:v>
                </c:pt>
                <c:pt idx="335">
                  <c:v>2.3638584687592917E-4</c:v>
                </c:pt>
                <c:pt idx="336">
                  <c:v>2.482849293141895E-4</c:v>
                </c:pt>
                <c:pt idx="337">
                  <c:v>2.623699653545343E-4</c:v>
                </c:pt>
                <c:pt idx="338">
                  <c:v>2.7708580742640682E-4</c:v>
                </c:pt>
                <c:pt idx="339">
                  <c:v>2.9361161488019455E-4</c:v>
                </c:pt>
                <c:pt idx="340">
                  <c:v>3.109145407149301E-4</c:v>
                </c:pt>
                <c:pt idx="341">
                  <c:v>3.2977193460706489E-4</c:v>
                </c:pt>
                <c:pt idx="342">
                  <c:v>3.4933951330478122E-4</c:v>
                </c:pt>
                <c:pt idx="343">
                  <c:v>3.7186802924189105E-4</c:v>
                </c:pt>
                <c:pt idx="344">
                  <c:v>3.9319621337226621E-4</c:v>
                </c:pt>
                <c:pt idx="345">
                  <c:v>4.1845563250178866E-4</c:v>
                </c:pt>
                <c:pt idx="346">
                  <c:v>4.4304936561534447E-4</c:v>
                </c:pt>
                <c:pt idx="347">
                  <c:v>4.6948947672096134E-4</c:v>
                </c:pt>
                <c:pt idx="348">
                  <c:v>4.9558460554399025E-4</c:v>
                </c:pt>
                <c:pt idx="349">
                  <c:v>4.2262479742077516E-4</c:v>
                </c:pt>
                <c:pt idx="350">
                  <c:v>1.2006610267056156E-4</c:v>
                </c:pt>
                <c:pt idx="351">
                  <c:v>-1.5454888544669601E-4</c:v>
                </c:pt>
                <c:pt idx="352">
                  <c:v>-3.1493859700050877E-4</c:v>
                </c:pt>
                <c:pt idx="353">
                  <c:v>-2.8569679239420082E-4</c:v>
                </c:pt>
                <c:pt idx="354">
                  <c:v>-2.5509558667859492E-4</c:v>
                </c:pt>
                <c:pt idx="355">
                  <c:v>-2.2818711239214196E-4</c:v>
                </c:pt>
                <c:pt idx="356">
                  <c:v>-1.9978578772337705E-4</c:v>
                </c:pt>
                <c:pt idx="357">
                  <c:v>-1.7390939061289259E-4</c:v>
                </c:pt>
                <c:pt idx="358">
                  <c:v>-1.4541765374960491E-4</c:v>
                </c:pt>
                <c:pt idx="359">
                  <c:v>-1.2238240134081896E-4</c:v>
                </c:pt>
                <c:pt idx="360">
                  <c:v>-9.3319515813074239E-5</c:v>
                </c:pt>
                <c:pt idx="361">
                  <c:v>-7.00679727812549E-5</c:v>
                </c:pt>
                <c:pt idx="362">
                  <c:v>-4.4637444606671073E-5</c:v>
                </c:pt>
                <c:pt idx="363">
                  <c:v>-1.8894741071747573E-5</c:v>
                </c:pt>
                <c:pt idx="364">
                  <c:v>5.1643084525258842E-6</c:v>
                </c:pt>
                <c:pt idx="365">
                  <c:v>3.0277555184771848E-5</c:v>
                </c:pt>
                <c:pt idx="366">
                  <c:v>5.3738890620911445E-5</c:v>
                </c:pt>
                <c:pt idx="367">
                  <c:v>7.7081690466104108E-5</c:v>
                </c:pt>
                <c:pt idx="368">
                  <c:v>9.9204097799621138E-5</c:v>
                </c:pt>
                <c:pt idx="369">
                  <c:v>1.2226513124485514E-4</c:v>
                </c:pt>
                <c:pt idx="370">
                  <c:v>1.4205234919307738E-4</c:v>
                </c:pt>
                <c:pt idx="371">
                  <c:v>1.6276528615372793E-4</c:v>
                </c:pt>
                <c:pt idx="372">
                  <c:v>1.8433197906412083E-4</c:v>
                </c:pt>
                <c:pt idx="373">
                  <c:v>2.0440159804214E-4</c:v>
                </c:pt>
                <c:pt idx="374">
                  <c:v>2.2461036331551665E-4</c:v>
                </c:pt>
                <c:pt idx="375">
                  <c:v>2.4369521962821009E-4</c:v>
                </c:pt>
                <c:pt idx="376">
                  <c:v>2.6257998779003616E-4</c:v>
                </c:pt>
                <c:pt idx="377">
                  <c:v>2.8041119575545476E-4</c:v>
                </c:pt>
                <c:pt idx="378">
                  <c:v>2.9916315211966915E-4</c:v>
                </c:pt>
                <c:pt idx="379">
                  <c:v>3.1515946870452893E-4</c:v>
                </c:pt>
                <c:pt idx="380">
                  <c:v>3.3343744288693092E-4</c:v>
                </c:pt>
                <c:pt idx="381">
                  <c:v>3.4874845492640152E-4</c:v>
                </c:pt>
                <c:pt idx="382">
                  <c:v>3.6372069825898329E-4</c:v>
                </c:pt>
                <c:pt idx="383">
                  <c:v>3.7963387421899655E-4</c:v>
                </c:pt>
                <c:pt idx="384">
                  <c:v>3.9411907557778542E-4</c:v>
                </c:pt>
                <c:pt idx="385">
                  <c:v>4.0879298833659469E-4</c:v>
                </c:pt>
                <c:pt idx="386">
                  <c:v>4.2208077757073872E-4</c:v>
                </c:pt>
                <c:pt idx="387">
                  <c:v>4.3617311471143977E-4</c:v>
                </c:pt>
                <c:pt idx="388">
                  <c:v>4.4868691492074009E-4</c:v>
                </c:pt>
                <c:pt idx="389">
                  <c:v>4.6155161108801801E-4</c:v>
                </c:pt>
                <c:pt idx="390">
                  <c:v>4.7330464237187522E-4</c:v>
                </c:pt>
                <c:pt idx="391">
                  <c:v>4.8472607403267712E-4</c:v>
                </c:pt>
                <c:pt idx="392">
                  <c:v>4.9550131889256402E-4</c:v>
                </c:pt>
                <c:pt idx="393">
                  <c:v>5.0611580870977071E-4</c:v>
                </c:pt>
                <c:pt idx="394">
                  <c:v>5.1547011281492458E-4</c:v>
                </c:pt>
                <c:pt idx="395">
                  <c:v>5.2462606983935678E-4</c:v>
                </c:pt>
                <c:pt idx="396">
                  <c:v>5.3364480130737094E-4</c:v>
                </c:pt>
                <c:pt idx="397">
                  <c:v>5.4200512164687131E-4</c:v>
                </c:pt>
                <c:pt idx="398">
                  <c:v>5.5012673815661717E-4</c:v>
                </c:pt>
                <c:pt idx="399">
                  <c:v>5.5750204681867185E-4</c:v>
                </c:pt>
                <c:pt idx="400">
                  <c:v>5.6447035488343608E-4</c:v>
                </c:pt>
                <c:pt idx="401">
                  <c:v>5.7079858406730924E-4</c:v>
                </c:pt>
                <c:pt idx="402">
                  <c:v>5.765987400186863E-4</c:v>
                </c:pt>
                <c:pt idx="403">
                  <c:v>5.8209522816810022E-4</c:v>
                </c:pt>
                <c:pt idx="404">
                  <c:v>5.8745552345541505E-4</c:v>
                </c:pt>
                <c:pt idx="405">
                  <c:v>5.9157527320948325E-4</c:v>
                </c:pt>
                <c:pt idx="406">
                  <c:v>5.9546597012974725E-4</c:v>
                </c:pt>
                <c:pt idx="407">
                  <c:v>5.9916015360715266E-4</c:v>
                </c:pt>
                <c:pt idx="408">
                  <c:v>6.0215751728615388E-4</c:v>
                </c:pt>
                <c:pt idx="409">
                  <c:v>6.0474315523859762E-4</c:v>
                </c:pt>
                <c:pt idx="410">
                  <c:v>6.0675546414245066E-4</c:v>
                </c:pt>
                <c:pt idx="411">
                  <c:v>6.0827163143296545E-4</c:v>
                </c:pt>
                <c:pt idx="412">
                  <c:v>6.0932594924374694E-4</c:v>
                </c:pt>
                <c:pt idx="413">
                  <c:v>6.0990349116933629E-4</c:v>
                </c:pt>
                <c:pt idx="414">
                  <c:v>6.0989315414161638E-4</c:v>
                </c:pt>
                <c:pt idx="415">
                  <c:v>6.0948081759232622E-4</c:v>
                </c:pt>
                <c:pt idx="416">
                  <c:v>6.0849826573909638E-4</c:v>
                </c:pt>
                <c:pt idx="417">
                  <c:v>6.0726970741737177E-4</c:v>
                </c:pt>
                <c:pt idx="418">
                  <c:v>6.0526985240893713E-4</c:v>
                </c:pt>
                <c:pt idx="419">
                  <c:v>6.0297035251049777E-4</c:v>
                </c:pt>
                <c:pt idx="420">
                  <c:v>6.0001989492268828E-4</c:v>
                </c:pt>
                <c:pt idx="421">
                  <c:v>5.9678476843424977E-4</c:v>
                </c:pt>
                <c:pt idx="422">
                  <c:v>5.9270182866101584E-4</c:v>
                </c:pt>
                <c:pt idx="423">
                  <c:v>5.8840886944218698E-4</c:v>
                </c:pt>
                <c:pt idx="424">
                  <c:v>5.8338189349044223E-4</c:v>
                </c:pt>
                <c:pt idx="425">
                  <c:v>5.780610218236934E-4</c:v>
                </c:pt>
                <c:pt idx="426">
                  <c:v>5.7212790662250837E-4</c:v>
                </c:pt>
                <c:pt idx="427">
                  <c:v>5.659060141400829E-4</c:v>
                </c:pt>
                <c:pt idx="428">
                  <c:v>5.5882096280665539E-4</c:v>
                </c:pt>
                <c:pt idx="429">
                  <c:v>5.5217230437737755E-4</c:v>
                </c:pt>
                <c:pt idx="430">
                  <c:v>5.4454380901513763E-4</c:v>
                </c:pt>
                <c:pt idx="431">
                  <c:v>5.3595717090491532E-4</c:v>
                </c:pt>
                <c:pt idx="432">
                  <c:v>5.2724344980458263E-4</c:v>
                </c:pt>
                <c:pt idx="433">
                  <c:v>5.1774025513600525E-4</c:v>
                </c:pt>
                <c:pt idx="434">
                  <c:v>5.0804154006233587E-4</c:v>
                </c:pt>
                <c:pt idx="435">
                  <c:v>4.9737853768250934E-4</c:v>
                </c:pt>
                <c:pt idx="436">
                  <c:v>4.8719009098365657E-4</c:v>
                </c:pt>
                <c:pt idx="437">
                  <c:v>4.7530119097657572E-4</c:v>
                </c:pt>
                <c:pt idx="438">
                  <c:v>4.6418481352298799E-4</c:v>
                </c:pt>
                <c:pt idx="439">
                  <c:v>4.5125650456774233E-4</c:v>
                </c:pt>
                <c:pt idx="440">
                  <c:v>4.3965129596772873E-4</c:v>
                </c:pt>
                <c:pt idx="441">
                  <c:v>4.2634351682376698E-4</c:v>
                </c:pt>
                <c:pt idx="442">
                  <c:v>4.1276051345290679E-4</c:v>
                </c:pt>
                <c:pt idx="443">
                  <c:v>3.9894325318213728E-4</c:v>
                </c:pt>
                <c:pt idx="444">
                  <c:v>3.8344294051048319E-4</c:v>
                </c:pt>
                <c:pt idx="445">
                  <c:v>3.6838177925319418E-4</c:v>
                </c:pt>
                <c:pt idx="446">
                  <c:v>3.5256442244438121E-4</c:v>
                </c:pt>
                <c:pt idx="447">
                  <c:v>3.368055946287897E-4</c:v>
                </c:pt>
                <c:pt idx="448">
                  <c:v>3.1920845727890362E-4</c:v>
                </c:pt>
                <c:pt idx="449">
                  <c:v>3.032630297647998E-4</c:v>
                </c:pt>
                <c:pt idx="450">
                  <c:v>2.8408901317649934E-4</c:v>
                </c:pt>
                <c:pt idx="451">
                  <c:v>2.6692066199116363E-4</c:v>
                </c:pt>
                <c:pt idx="452">
                  <c:v>2.4938455136697471E-4</c:v>
                </c:pt>
                <c:pt idx="453">
                  <c:v>2.2950833948397892E-4</c:v>
                </c:pt>
                <c:pt idx="454">
                  <c:v>2.1038943571739452E-4</c:v>
                </c:pt>
                <c:pt idx="455">
                  <c:v>1.8981596072073503E-4</c:v>
                </c:pt>
                <c:pt idx="456">
                  <c:v>1.7005940198566022E-4</c:v>
                </c:pt>
                <c:pt idx="457">
                  <c:v>1.478030575408594E-4</c:v>
                </c:pt>
                <c:pt idx="458">
                  <c:v>1.2674098045435678E-4</c:v>
                </c:pt>
                <c:pt idx="459">
                  <c:v>1.0378896449237882E-4</c:v>
                </c:pt>
                <c:pt idx="460">
                  <c:v>8.139662976766604E-5</c:v>
                </c:pt>
                <c:pt idx="461">
                  <c:v>5.814728021805507E-5</c:v>
                </c:pt>
                <c:pt idx="462">
                  <c:v>3.5161967799623994E-5</c:v>
                </c:pt>
                <c:pt idx="463">
                  <c:v>1.0149693481283778E-5</c:v>
                </c:pt>
                <c:pt idx="464">
                  <c:v>-1.222537717581601E-5</c:v>
                </c:pt>
                <c:pt idx="465">
                  <c:v>-3.6614772634495363E-5</c:v>
                </c:pt>
                <c:pt idx="466">
                  <c:v>-5.2346390740292542E-5</c:v>
                </c:pt>
                <c:pt idx="467">
                  <c:v>2.5625915366830898E-4</c:v>
                </c:pt>
                <c:pt idx="468">
                  <c:v>5.7459499674978806E-4</c:v>
                </c:pt>
                <c:pt idx="469">
                  <c:v>8.5071082094419909E-4</c:v>
                </c:pt>
                <c:pt idx="470">
                  <c:v>8.2476831861013136E-4</c:v>
                </c:pt>
                <c:pt idx="471">
                  <c:v>8.001063961997068E-4</c:v>
                </c:pt>
                <c:pt idx="472">
                  <c:v>7.7376751808724484E-4</c:v>
                </c:pt>
                <c:pt idx="473">
                  <c:v>7.5087220867509075E-4</c:v>
                </c:pt>
                <c:pt idx="474">
                  <c:v>7.2497360194222205E-4</c:v>
                </c:pt>
                <c:pt idx="475">
                  <c:v>7.0201718868360269E-4</c:v>
                </c:pt>
                <c:pt idx="476">
                  <c:v>6.7998673989804956E-4</c:v>
                </c:pt>
                <c:pt idx="477">
                  <c:v>6.5665166297259811E-4</c:v>
                </c:pt>
                <c:pt idx="478">
                  <c:v>6.3449529912802671E-4</c:v>
                </c:pt>
                <c:pt idx="479">
                  <c:v>6.1087777239285726E-4</c:v>
                </c:pt>
                <c:pt idx="480">
                  <c:v>5.8976639105759107E-4</c:v>
                </c:pt>
                <c:pt idx="481">
                  <c:v>5.6693887207728833E-4</c:v>
                </c:pt>
                <c:pt idx="482">
                  <c:v>5.4642826105272269E-4</c:v>
                </c:pt>
                <c:pt idx="483">
                  <c:v>5.2450813009819602E-4</c:v>
                </c:pt>
                <c:pt idx="484">
                  <c:v>5.0512690606823937E-4</c:v>
                </c:pt>
                <c:pt idx="485">
                  <c:v>4.8358549766070597E-4</c:v>
                </c:pt>
                <c:pt idx="486">
                  <c:v>4.6457064236449241E-4</c:v>
                </c:pt>
                <c:pt idx="487">
                  <c:v>4.4545489221791551E-4</c:v>
                </c:pt>
                <c:pt idx="488">
                  <c:v>4.2680909563794917E-4</c:v>
                </c:pt>
                <c:pt idx="489">
                  <c:v>4.086263070399998E-4</c:v>
                </c:pt>
                <c:pt idx="490">
                  <c:v>3.89901061534529E-4</c:v>
                </c:pt>
                <c:pt idx="491">
                  <c:v>3.7269948179826165E-4</c:v>
                </c:pt>
                <c:pt idx="492">
                  <c:v>3.5417267924094803E-4</c:v>
                </c:pt>
                <c:pt idx="493">
                  <c:v>3.3739554805835986E-4</c:v>
                </c:pt>
                <c:pt idx="494">
                  <c:v>3.199522106134764E-4</c:v>
                </c:pt>
                <c:pt idx="495">
                  <c:v>3.0366710280077883E-4</c:v>
                </c:pt>
                <c:pt idx="496">
                  <c:v>2.8747433611872944E-4</c:v>
                </c:pt>
                <c:pt idx="497">
                  <c:v>2.72155977270927E-4</c:v>
                </c:pt>
                <c:pt idx="498">
                  <c:v>2.5625936788740283E-4</c:v>
                </c:pt>
                <c:pt idx="499">
                  <c:v>2.4265006505054185E-4</c:v>
                </c:pt>
                <c:pt idx="500">
                  <c:v>2.2839346401642632E-4</c:v>
                </c:pt>
                <c:pt idx="501">
                  <c:v>2.1362323088816929E-4</c:v>
                </c:pt>
                <c:pt idx="502">
                  <c:v>1.9989367573192141E-4</c:v>
                </c:pt>
                <c:pt idx="503">
                  <c:v>1.8610414877509932E-4</c:v>
                </c:pt>
                <c:pt idx="504">
                  <c:v>1.7311649163404691E-4</c:v>
                </c:pt>
                <c:pt idx="505">
                  <c:v>1.6028146224058779E-4</c:v>
                </c:pt>
                <c:pt idx="506">
                  <c:v>1.48236340011626E-4</c:v>
                </c:pt>
                <c:pt idx="507">
                  <c:v>1.3558911585411296E-4</c:v>
                </c:pt>
                <c:pt idx="508">
                  <c:v>1.2479672357379457E-4</c:v>
                </c:pt>
                <c:pt idx="509">
                  <c:v>1.1276050679121657E-4</c:v>
                </c:pt>
                <c:pt idx="510">
                  <c:v>1.0231772130946462E-4</c:v>
                </c:pt>
                <c:pt idx="511">
                  <c:v>9.242425293359488E-5</c:v>
                </c:pt>
                <c:pt idx="512">
                  <c:v>8.2190093838498818E-5</c:v>
                </c:pt>
                <c:pt idx="513">
                  <c:v>7.2654669629274027E-5</c:v>
                </c:pt>
                <c:pt idx="514">
                  <c:v>6.2727551987443869E-5</c:v>
                </c:pt>
                <c:pt idx="515">
                  <c:v>5.4061846911319933E-5</c:v>
                </c:pt>
                <c:pt idx="516">
                  <c:v>4.4924410603726372E-5</c:v>
                </c:pt>
                <c:pt idx="517">
                  <c:v>3.6717552897264777E-5</c:v>
                </c:pt>
                <c:pt idx="518">
                  <c:v>2.8628827284479796E-5</c:v>
                </c:pt>
                <c:pt idx="519">
                  <c:v>2.1163776877955454E-5</c:v>
                </c:pt>
                <c:pt idx="520">
                  <c:v>1.4380729137161707E-5</c:v>
                </c:pt>
                <c:pt idx="521">
                  <c:v>7.3221398215750355E-6</c:v>
                </c:pt>
                <c:pt idx="522">
                  <c:v>2.3684464370461733E-6</c:v>
                </c:pt>
                <c:pt idx="523">
                  <c:v>-4.9549753074196179E-6</c:v>
                </c:pt>
                <c:pt idx="524">
                  <c:v>-1.0857493297624504E-5</c:v>
                </c:pt>
                <c:pt idx="525">
                  <c:v>-1.5961316369477591E-5</c:v>
                </c:pt>
                <c:pt idx="526">
                  <c:v>-2.0718623351737714E-5</c:v>
                </c:pt>
                <c:pt idx="527">
                  <c:v>-2.5556844237405174E-5</c:v>
                </c:pt>
                <c:pt idx="528">
                  <c:v>-2.9661982744292464E-5</c:v>
                </c:pt>
                <c:pt idx="529">
                  <c:v>-3.3644895082129284E-5</c:v>
                </c:pt>
                <c:pt idx="530">
                  <c:v>-3.7071345269187872E-5</c:v>
                </c:pt>
                <c:pt idx="531">
                  <c:v>-4.0179853777324442E-5</c:v>
                </c:pt>
                <c:pt idx="532">
                  <c:v>-4.2870275009057601E-5</c:v>
                </c:pt>
                <c:pt idx="533">
                  <c:v>-4.5264659028456528E-5</c:v>
                </c:pt>
                <c:pt idx="534">
                  <c:v>-4.7127185305501085E-5</c:v>
                </c:pt>
                <c:pt idx="535">
                  <c:v>-4.8705920114657658E-5</c:v>
                </c:pt>
                <c:pt idx="536">
                  <c:v>-4.9965138332861564E-5</c:v>
                </c:pt>
                <c:pt idx="537">
                  <c:v>-5.0836624749805992E-5</c:v>
                </c:pt>
                <c:pt idx="538">
                  <c:v>-5.1353379735562948E-5</c:v>
                </c:pt>
                <c:pt idx="539">
                  <c:v>-5.148310624683225E-5</c:v>
                </c:pt>
                <c:pt idx="540">
                  <c:v>-5.1241109609478225E-5</c:v>
                </c:pt>
                <c:pt idx="541">
                  <c:v>-5.0647580622498883E-5</c:v>
                </c:pt>
                <c:pt idx="542">
                  <c:v>-4.9607520319398801E-5</c:v>
                </c:pt>
                <c:pt idx="543">
                  <c:v>-4.8352481216262788E-5</c:v>
                </c:pt>
                <c:pt idx="544">
                  <c:v>-4.6504543381013091E-5</c:v>
                </c:pt>
                <c:pt idx="545">
                  <c:v>-4.448885516343537E-5</c:v>
                </c:pt>
                <c:pt idx="546">
                  <c:v>-4.2171380938621494E-5</c:v>
                </c:pt>
                <c:pt idx="547">
                  <c:v>-3.9333877208523604E-5</c:v>
                </c:pt>
                <c:pt idx="548">
                  <c:v>-3.6225936905873168E-5</c:v>
                </c:pt>
                <c:pt idx="549">
                  <c:v>-3.246607513351582E-5</c:v>
                </c:pt>
                <c:pt idx="550">
                  <c:v>-2.8689097824344256E-5</c:v>
                </c:pt>
                <c:pt idx="551">
                  <c:v>-2.4139608307924276E-5</c:v>
                </c:pt>
                <c:pt idx="552">
                  <c:v>-1.9568785846253711E-5</c:v>
                </c:pt>
                <c:pt idx="553">
                  <c:v>-1.4305662830858823E-5</c:v>
                </c:pt>
                <c:pt idx="554">
                  <c:v>-8.9133460403865994E-6</c:v>
                </c:pt>
                <c:pt idx="555">
                  <c:v>-2.8709230851971246E-6</c:v>
                </c:pt>
                <c:pt idx="556">
                  <c:v>3.1637631199288307E-6</c:v>
                </c:pt>
                <c:pt idx="557">
                  <c:v>9.7733619289844254E-6</c:v>
                </c:pt>
                <c:pt idx="558">
                  <c:v>1.6305984780678323E-5</c:v>
                </c:pt>
                <c:pt idx="559">
                  <c:v>2.5440258401461524E-5</c:v>
                </c:pt>
                <c:pt idx="560">
                  <c:v>3.110571331988235E-5</c:v>
                </c:pt>
                <c:pt idx="561">
                  <c:v>3.905310031707826E-5</c:v>
                </c:pt>
                <c:pt idx="562">
                  <c:v>4.7639724808510447E-5</c:v>
                </c:pt>
                <c:pt idx="563">
                  <c:v>5.6179861556662769E-5</c:v>
                </c:pt>
                <c:pt idx="564">
                  <c:v>6.5681297485201129E-5</c:v>
                </c:pt>
                <c:pt idx="565">
                  <c:v>7.5112321152436684E-5</c:v>
                </c:pt>
                <c:pt idx="566">
                  <c:v>8.5061737215220284E-5</c:v>
                </c:pt>
                <c:pt idx="567">
                  <c:v>9.5053117044940905E-5</c:v>
                </c:pt>
                <c:pt idx="568">
                  <c:v>1.0610535734429868E-4</c:v>
                </c:pt>
                <c:pt idx="569">
                  <c:v>1.1612969935941714E-4</c:v>
                </c:pt>
                <c:pt idx="570">
                  <c:v>1.2717988022187265E-4</c:v>
                </c:pt>
                <c:pt idx="571">
                  <c:v>1.3936415239835381E-4</c:v>
                </c:pt>
                <c:pt idx="572">
                  <c:v>1.5135043364067693E-4</c:v>
                </c:pt>
                <c:pt idx="573">
                  <c:v>1.6410627209835493E-4</c:v>
                </c:pt>
                <c:pt idx="574">
                  <c:v>1.7683443139880281E-4</c:v>
                </c:pt>
                <c:pt idx="575">
                  <c:v>1.901283195348373E-4</c:v>
                </c:pt>
                <c:pt idx="576">
                  <c:v>2.0338592292768951E-4</c:v>
                </c:pt>
                <c:pt idx="577">
                  <c:v>2.1811362701006434E-4</c:v>
                </c:pt>
                <c:pt idx="578">
                  <c:v>2.3161367969384145E-4</c:v>
                </c:pt>
                <c:pt idx="579">
                  <c:v>2.471240260373854E-4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689600"/>
        <c:axId val="571707776"/>
      </c:lineChart>
      <c:dateAx>
        <c:axId val="5716896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71707776"/>
        <c:crosses val="autoZero"/>
        <c:auto val="1"/>
        <c:lblOffset val="100"/>
        <c:baseTimeUnit val="months"/>
      </c:dateAx>
      <c:valAx>
        <c:axId val="57170777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1689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3M'!$L$2:$L$581</c:f>
              <c:numCache>
                <c:formatCode>ddd\,\ dd\-mmm\-yyyy</c:formatCode>
                <c:ptCount val="580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41990</c:v>
                </c:pt>
                <c:pt idx="5">
                  <c:v>42023</c:v>
                </c:pt>
                <c:pt idx="6">
                  <c:v>42054</c:v>
                </c:pt>
                <c:pt idx="7">
                  <c:v>42082</c:v>
                </c:pt>
                <c:pt idx="8">
                  <c:v>42114</c:v>
                </c:pt>
                <c:pt idx="9">
                  <c:v>42144</c:v>
                </c:pt>
                <c:pt idx="10">
                  <c:v>42177</c:v>
                </c:pt>
                <c:pt idx="11">
                  <c:v>42207</c:v>
                </c:pt>
                <c:pt idx="12">
                  <c:v>42240</c:v>
                </c:pt>
                <c:pt idx="13">
                  <c:v>42271</c:v>
                </c:pt>
                <c:pt idx="14">
                  <c:v>42303</c:v>
                </c:pt>
                <c:pt idx="15">
                  <c:v>42334</c:v>
                </c:pt>
                <c:pt idx="16">
                  <c:v>42366</c:v>
                </c:pt>
                <c:pt idx="17">
                  <c:v>42397</c:v>
                </c:pt>
                <c:pt idx="18">
                  <c:v>42429</c:v>
                </c:pt>
                <c:pt idx="19">
                  <c:v>42458</c:v>
                </c:pt>
                <c:pt idx="20">
                  <c:v>42489</c:v>
                </c:pt>
                <c:pt idx="21">
                  <c:v>42520</c:v>
                </c:pt>
                <c:pt idx="22">
                  <c:v>42551</c:v>
                </c:pt>
                <c:pt idx="23">
                  <c:v>42583</c:v>
                </c:pt>
                <c:pt idx="24">
                  <c:v>42614</c:v>
                </c:pt>
                <c:pt idx="25">
                  <c:v>42646</c:v>
                </c:pt>
                <c:pt idx="26">
                  <c:v>42677</c:v>
                </c:pt>
                <c:pt idx="27">
                  <c:v>42709</c:v>
                </c:pt>
                <c:pt idx="28">
                  <c:v>42740</c:v>
                </c:pt>
                <c:pt idx="29">
                  <c:v>42772</c:v>
                </c:pt>
                <c:pt idx="30">
                  <c:v>42800</c:v>
                </c:pt>
                <c:pt idx="31">
                  <c:v>42831</c:v>
                </c:pt>
                <c:pt idx="32">
                  <c:v>42863</c:v>
                </c:pt>
                <c:pt idx="33">
                  <c:v>42894</c:v>
                </c:pt>
                <c:pt idx="34">
                  <c:v>42926</c:v>
                </c:pt>
                <c:pt idx="35">
                  <c:v>42957</c:v>
                </c:pt>
                <c:pt idx="36">
                  <c:v>42989</c:v>
                </c:pt>
                <c:pt idx="37">
                  <c:v>43019</c:v>
                </c:pt>
                <c:pt idx="38">
                  <c:v>43052</c:v>
                </c:pt>
                <c:pt idx="39">
                  <c:v>43082</c:v>
                </c:pt>
                <c:pt idx="40">
                  <c:v>43115</c:v>
                </c:pt>
                <c:pt idx="41">
                  <c:v>43146</c:v>
                </c:pt>
                <c:pt idx="42">
                  <c:v>43174</c:v>
                </c:pt>
                <c:pt idx="43">
                  <c:v>43206</c:v>
                </c:pt>
                <c:pt idx="44">
                  <c:v>43236</c:v>
                </c:pt>
                <c:pt idx="45">
                  <c:v>43269</c:v>
                </c:pt>
                <c:pt idx="46">
                  <c:v>43299</c:v>
                </c:pt>
                <c:pt idx="47">
                  <c:v>43332</c:v>
                </c:pt>
                <c:pt idx="48">
                  <c:v>43363</c:v>
                </c:pt>
                <c:pt idx="49">
                  <c:v>43395</c:v>
                </c:pt>
                <c:pt idx="50">
                  <c:v>43426</c:v>
                </c:pt>
                <c:pt idx="51">
                  <c:v>43458</c:v>
                </c:pt>
                <c:pt idx="52">
                  <c:v>43489</c:v>
                </c:pt>
                <c:pt idx="53">
                  <c:v>43521</c:v>
                </c:pt>
                <c:pt idx="54">
                  <c:v>43549</c:v>
                </c:pt>
                <c:pt idx="55">
                  <c:v>43580</c:v>
                </c:pt>
                <c:pt idx="56">
                  <c:v>43612</c:v>
                </c:pt>
                <c:pt idx="57">
                  <c:v>43643</c:v>
                </c:pt>
                <c:pt idx="58">
                  <c:v>43675</c:v>
                </c:pt>
                <c:pt idx="59">
                  <c:v>43706</c:v>
                </c:pt>
                <c:pt idx="60">
                  <c:v>43738</c:v>
                </c:pt>
                <c:pt idx="61">
                  <c:v>43768</c:v>
                </c:pt>
                <c:pt idx="62">
                  <c:v>43801</c:v>
                </c:pt>
                <c:pt idx="63">
                  <c:v>43832</c:v>
                </c:pt>
                <c:pt idx="64">
                  <c:v>43864</c:v>
                </c:pt>
                <c:pt idx="65">
                  <c:v>43893</c:v>
                </c:pt>
                <c:pt idx="66">
                  <c:v>43924</c:v>
                </c:pt>
                <c:pt idx="67">
                  <c:v>43955</c:v>
                </c:pt>
                <c:pt idx="68">
                  <c:v>43986</c:v>
                </c:pt>
                <c:pt idx="69">
                  <c:v>44018</c:v>
                </c:pt>
                <c:pt idx="70">
                  <c:v>44049</c:v>
                </c:pt>
                <c:pt idx="71">
                  <c:v>44081</c:v>
                </c:pt>
                <c:pt idx="72">
                  <c:v>44111</c:v>
                </c:pt>
                <c:pt idx="73">
                  <c:v>44144</c:v>
                </c:pt>
                <c:pt idx="74">
                  <c:v>44174</c:v>
                </c:pt>
                <c:pt idx="75">
                  <c:v>44207</c:v>
                </c:pt>
                <c:pt idx="76">
                  <c:v>44238</c:v>
                </c:pt>
                <c:pt idx="77">
                  <c:v>44266</c:v>
                </c:pt>
                <c:pt idx="78">
                  <c:v>44298</c:v>
                </c:pt>
                <c:pt idx="79">
                  <c:v>44328</c:v>
                </c:pt>
                <c:pt idx="80">
                  <c:v>44361</c:v>
                </c:pt>
                <c:pt idx="81">
                  <c:v>44391</c:v>
                </c:pt>
                <c:pt idx="82">
                  <c:v>44424</c:v>
                </c:pt>
                <c:pt idx="83">
                  <c:v>44455</c:v>
                </c:pt>
                <c:pt idx="84">
                  <c:v>44487</c:v>
                </c:pt>
                <c:pt idx="85">
                  <c:v>44518</c:v>
                </c:pt>
                <c:pt idx="86">
                  <c:v>44550</c:v>
                </c:pt>
                <c:pt idx="87">
                  <c:v>44581</c:v>
                </c:pt>
                <c:pt idx="88">
                  <c:v>44613</c:v>
                </c:pt>
                <c:pt idx="89">
                  <c:v>44641</c:v>
                </c:pt>
                <c:pt idx="90">
                  <c:v>44672</c:v>
                </c:pt>
                <c:pt idx="91">
                  <c:v>44704</c:v>
                </c:pt>
                <c:pt idx="92">
                  <c:v>44735</c:v>
                </c:pt>
                <c:pt idx="93">
                  <c:v>44767</c:v>
                </c:pt>
                <c:pt idx="94">
                  <c:v>44798</c:v>
                </c:pt>
                <c:pt idx="95">
                  <c:v>44830</c:v>
                </c:pt>
                <c:pt idx="96">
                  <c:v>44860</c:v>
                </c:pt>
                <c:pt idx="97">
                  <c:v>44893</c:v>
                </c:pt>
                <c:pt idx="98">
                  <c:v>44923</c:v>
                </c:pt>
                <c:pt idx="99">
                  <c:v>44956</c:v>
                </c:pt>
                <c:pt idx="100">
                  <c:v>44985</c:v>
                </c:pt>
                <c:pt idx="101">
                  <c:v>45013</c:v>
                </c:pt>
                <c:pt idx="102">
                  <c:v>45044</c:v>
                </c:pt>
                <c:pt idx="103">
                  <c:v>45075</c:v>
                </c:pt>
                <c:pt idx="104">
                  <c:v>45106</c:v>
                </c:pt>
                <c:pt idx="105">
                  <c:v>45138</c:v>
                </c:pt>
                <c:pt idx="106">
                  <c:v>45169</c:v>
                </c:pt>
                <c:pt idx="107">
                  <c:v>45201</c:v>
                </c:pt>
                <c:pt idx="108">
                  <c:v>45232</c:v>
                </c:pt>
                <c:pt idx="109">
                  <c:v>45264</c:v>
                </c:pt>
                <c:pt idx="110">
                  <c:v>45295</c:v>
                </c:pt>
                <c:pt idx="111">
                  <c:v>45327</c:v>
                </c:pt>
                <c:pt idx="112">
                  <c:v>45356</c:v>
                </c:pt>
                <c:pt idx="113">
                  <c:v>45387</c:v>
                </c:pt>
                <c:pt idx="114">
                  <c:v>45418</c:v>
                </c:pt>
                <c:pt idx="115">
                  <c:v>45449</c:v>
                </c:pt>
                <c:pt idx="116">
                  <c:v>45481</c:v>
                </c:pt>
                <c:pt idx="117">
                  <c:v>45512</c:v>
                </c:pt>
                <c:pt idx="118">
                  <c:v>45544</c:v>
                </c:pt>
                <c:pt idx="119">
                  <c:v>45574</c:v>
                </c:pt>
                <c:pt idx="120">
                  <c:v>45607</c:v>
                </c:pt>
                <c:pt idx="121">
                  <c:v>45637</c:v>
                </c:pt>
                <c:pt idx="122">
                  <c:v>45670</c:v>
                </c:pt>
                <c:pt idx="123">
                  <c:v>45701</c:v>
                </c:pt>
                <c:pt idx="124">
                  <c:v>45729</c:v>
                </c:pt>
                <c:pt idx="125">
                  <c:v>45761</c:v>
                </c:pt>
                <c:pt idx="126">
                  <c:v>45791</c:v>
                </c:pt>
                <c:pt idx="127">
                  <c:v>45824</c:v>
                </c:pt>
                <c:pt idx="128">
                  <c:v>45854</c:v>
                </c:pt>
                <c:pt idx="129">
                  <c:v>45887</c:v>
                </c:pt>
                <c:pt idx="130">
                  <c:v>45918</c:v>
                </c:pt>
                <c:pt idx="131">
                  <c:v>45950</c:v>
                </c:pt>
                <c:pt idx="132">
                  <c:v>45981</c:v>
                </c:pt>
                <c:pt idx="133">
                  <c:v>46013</c:v>
                </c:pt>
                <c:pt idx="134">
                  <c:v>46044</c:v>
                </c:pt>
                <c:pt idx="135">
                  <c:v>46076</c:v>
                </c:pt>
                <c:pt idx="136">
                  <c:v>46104</c:v>
                </c:pt>
                <c:pt idx="137">
                  <c:v>46135</c:v>
                </c:pt>
                <c:pt idx="138">
                  <c:v>46167</c:v>
                </c:pt>
                <c:pt idx="139">
                  <c:v>46198</c:v>
                </c:pt>
                <c:pt idx="140">
                  <c:v>46230</c:v>
                </c:pt>
                <c:pt idx="141">
                  <c:v>46261</c:v>
                </c:pt>
                <c:pt idx="142">
                  <c:v>46293</c:v>
                </c:pt>
                <c:pt idx="143">
                  <c:v>46323</c:v>
                </c:pt>
                <c:pt idx="144">
                  <c:v>46356</c:v>
                </c:pt>
                <c:pt idx="145">
                  <c:v>46386</c:v>
                </c:pt>
                <c:pt idx="146">
                  <c:v>46419</c:v>
                </c:pt>
                <c:pt idx="147">
                  <c:v>46447</c:v>
                </c:pt>
                <c:pt idx="148">
                  <c:v>46478</c:v>
                </c:pt>
                <c:pt idx="149">
                  <c:v>46510</c:v>
                </c:pt>
                <c:pt idx="150">
                  <c:v>46541</c:v>
                </c:pt>
                <c:pt idx="151">
                  <c:v>46573</c:v>
                </c:pt>
                <c:pt idx="152">
                  <c:v>46604</c:v>
                </c:pt>
                <c:pt idx="153">
                  <c:v>46636</c:v>
                </c:pt>
                <c:pt idx="154">
                  <c:v>46666</c:v>
                </c:pt>
                <c:pt idx="155">
                  <c:v>46699</c:v>
                </c:pt>
                <c:pt idx="156">
                  <c:v>46729</c:v>
                </c:pt>
                <c:pt idx="157">
                  <c:v>46762</c:v>
                </c:pt>
                <c:pt idx="158">
                  <c:v>46793</c:v>
                </c:pt>
                <c:pt idx="159">
                  <c:v>46822</c:v>
                </c:pt>
                <c:pt idx="160">
                  <c:v>46853</c:v>
                </c:pt>
                <c:pt idx="161">
                  <c:v>46883</c:v>
                </c:pt>
                <c:pt idx="162">
                  <c:v>46916</c:v>
                </c:pt>
                <c:pt idx="163">
                  <c:v>46946</c:v>
                </c:pt>
                <c:pt idx="164">
                  <c:v>46979</c:v>
                </c:pt>
                <c:pt idx="165">
                  <c:v>47010</c:v>
                </c:pt>
                <c:pt idx="166">
                  <c:v>47042</c:v>
                </c:pt>
                <c:pt idx="167">
                  <c:v>47073</c:v>
                </c:pt>
                <c:pt idx="168">
                  <c:v>47105</c:v>
                </c:pt>
                <c:pt idx="169">
                  <c:v>47136</c:v>
                </c:pt>
                <c:pt idx="170">
                  <c:v>47168</c:v>
                </c:pt>
                <c:pt idx="171">
                  <c:v>47196</c:v>
                </c:pt>
                <c:pt idx="172">
                  <c:v>47227</c:v>
                </c:pt>
                <c:pt idx="173">
                  <c:v>47259</c:v>
                </c:pt>
                <c:pt idx="174">
                  <c:v>47290</c:v>
                </c:pt>
                <c:pt idx="175">
                  <c:v>47322</c:v>
                </c:pt>
                <c:pt idx="176">
                  <c:v>47353</c:v>
                </c:pt>
                <c:pt idx="177">
                  <c:v>47385</c:v>
                </c:pt>
                <c:pt idx="178">
                  <c:v>47415</c:v>
                </c:pt>
                <c:pt idx="179">
                  <c:v>47448</c:v>
                </c:pt>
                <c:pt idx="180">
                  <c:v>47479</c:v>
                </c:pt>
                <c:pt idx="181">
                  <c:v>47511</c:v>
                </c:pt>
                <c:pt idx="182">
                  <c:v>47542</c:v>
                </c:pt>
                <c:pt idx="183">
                  <c:v>47570</c:v>
                </c:pt>
                <c:pt idx="184">
                  <c:v>47602</c:v>
                </c:pt>
                <c:pt idx="185">
                  <c:v>47632</c:v>
                </c:pt>
                <c:pt idx="186">
                  <c:v>47665</c:v>
                </c:pt>
                <c:pt idx="187">
                  <c:v>47696</c:v>
                </c:pt>
                <c:pt idx="188">
                  <c:v>47728</c:v>
                </c:pt>
                <c:pt idx="189">
                  <c:v>47758</c:v>
                </c:pt>
                <c:pt idx="190">
                  <c:v>47791</c:v>
                </c:pt>
                <c:pt idx="191">
                  <c:v>47821</c:v>
                </c:pt>
                <c:pt idx="192">
                  <c:v>47854</c:v>
                </c:pt>
                <c:pt idx="193">
                  <c:v>47885</c:v>
                </c:pt>
                <c:pt idx="194">
                  <c:v>47913</c:v>
                </c:pt>
                <c:pt idx="195">
                  <c:v>47945</c:v>
                </c:pt>
                <c:pt idx="196">
                  <c:v>47975</c:v>
                </c:pt>
                <c:pt idx="197">
                  <c:v>48008</c:v>
                </c:pt>
                <c:pt idx="198">
                  <c:v>48038</c:v>
                </c:pt>
                <c:pt idx="199">
                  <c:v>48071</c:v>
                </c:pt>
                <c:pt idx="200">
                  <c:v>48102</c:v>
                </c:pt>
                <c:pt idx="201">
                  <c:v>48134</c:v>
                </c:pt>
                <c:pt idx="202">
                  <c:v>48165</c:v>
                </c:pt>
                <c:pt idx="203">
                  <c:v>48197</c:v>
                </c:pt>
                <c:pt idx="204">
                  <c:v>48228</c:v>
                </c:pt>
                <c:pt idx="205">
                  <c:v>48260</c:v>
                </c:pt>
                <c:pt idx="206">
                  <c:v>48289</c:v>
                </c:pt>
                <c:pt idx="207">
                  <c:v>48320</c:v>
                </c:pt>
                <c:pt idx="208">
                  <c:v>48351</c:v>
                </c:pt>
                <c:pt idx="209">
                  <c:v>48382</c:v>
                </c:pt>
                <c:pt idx="210">
                  <c:v>48414</c:v>
                </c:pt>
                <c:pt idx="211">
                  <c:v>48445</c:v>
                </c:pt>
                <c:pt idx="212">
                  <c:v>48477</c:v>
                </c:pt>
                <c:pt idx="213">
                  <c:v>48507</c:v>
                </c:pt>
                <c:pt idx="214">
                  <c:v>48540</c:v>
                </c:pt>
                <c:pt idx="215">
                  <c:v>48570</c:v>
                </c:pt>
                <c:pt idx="216">
                  <c:v>48603</c:v>
                </c:pt>
                <c:pt idx="217">
                  <c:v>48634</c:v>
                </c:pt>
                <c:pt idx="218">
                  <c:v>48662</c:v>
                </c:pt>
                <c:pt idx="219">
                  <c:v>48694</c:v>
                </c:pt>
                <c:pt idx="220">
                  <c:v>48724</c:v>
                </c:pt>
                <c:pt idx="221">
                  <c:v>48757</c:v>
                </c:pt>
                <c:pt idx="222">
                  <c:v>48787</c:v>
                </c:pt>
                <c:pt idx="223">
                  <c:v>48820</c:v>
                </c:pt>
                <c:pt idx="224">
                  <c:v>48851</c:v>
                </c:pt>
                <c:pt idx="225">
                  <c:v>48883</c:v>
                </c:pt>
                <c:pt idx="226">
                  <c:v>48913</c:v>
                </c:pt>
                <c:pt idx="227">
                  <c:v>48943</c:v>
                </c:pt>
                <c:pt idx="228">
                  <c:v>48974</c:v>
                </c:pt>
                <c:pt idx="229">
                  <c:v>49003</c:v>
                </c:pt>
                <c:pt idx="230">
                  <c:v>49031</c:v>
                </c:pt>
                <c:pt idx="231">
                  <c:v>49062</c:v>
                </c:pt>
                <c:pt idx="232">
                  <c:v>49093</c:v>
                </c:pt>
                <c:pt idx="233">
                  <c:v>49124</c:v>
                </c:pt>
                <c:pt idx="234">
                  <c:v>49156</c:v>
                </c:pt>
                <c:pt idx="235">
                  <c:v>49187</c:v>
                </c:pt>
                <c:pt idx="236">
                  <c:v>49219</c:v>
                </c:pt>
                <c:pt idx="237">
                  <c:v>49250</c:v>
                </c:pt>
                <c:pt idx="238">
                  <c:v>49282</c:v>
                </c:pt>
                <c:pt idx="239">
                  <c:v>49313</c:v>
                </c:pt>
                <c:pt idx="240">
                  <c:v>49345</c:v>
                </c:pt>
                <c:pt idx="241">
                  <c:v>49373</c:v>
                </c:pt>
                <c:pt idx="242">
                  <c:v>49404</c:v>
                </c:pt>
                <c:pt idx="243">
                  <c:v>49436</c:v>
                </c:pt>
                <c:pt idx="244">
                  <c:v>49467</c:v>
                </c:pt>
                <c:pt idx="245">
                  <c:v>49499</c:v>
                </c:pt>
                <c:pt idx="246">
                  <c:v>49530</c:v>
                </c:pt>
                <c:pt idx="247">
                  <c:v>49562</c:v>
                </c:pt>
                <c:pt idx="248">
                  <c:v>49592</c:v>
                </c:pt>
                <c:pt idx="249">
                  <c:v>49625</c:v>
                </c:pt>
                <c:pt idx="250">
                  <c:v>49655</c:v>
                </c:pt>
                <c:pt idx="251">
                  <c:v>49688</c:v>
                </c:pt>
                <c:pt idx="252">
                  <c:v>49719</c:v>
                </c:pt>
                <c:pt idx="253">
                  <c:v>49748</c:v>
                </c:pt>
                <c:pt idx="254">
                  <c:v>49780</c:v>
                </c:pt>
                <c:pt idx="255">
                  <c:v>49810</c:v>
                </c:pt>
                <c:pt idx="256">
                  <c:v>49842</c:v>
                </c:pt>
                <c:pt idx="257">
                  <c:v>49872</c:v>
                </c:pt>
                <c:pt idx="258">
                  <c:v>49905</c:v>
                </c:pt>
                <c:pt idx="259">
                  <c:v>49936</c:v>
                </c:pt>
                <c:pt idx="260">
                  <c:v>49968</c:v>
                </c:pt>
                <c:pt idx="261">
                  <c:v>49999</c:v>
                </c:pt>
                <c:pt idx="262">
                  <c:v>50031</c:v>
                </c:pt>
                <c:pt idx="263">
                  <c:v>50062</c:v>
                </c:pt>
                <c:pt idx="264">
                  <c:v>50094</c:v>
                </c:pt>
                <c:pt idx="265">
                  <c:v>50122</c:v>
                </c:pt>
                <c:pt idx="266">
                  <c:v>50153</c:v>
                </c:pt>
                <c:pt idx="267">
                  <c:v>50185</c:v>
                </c:pt>
                <c:pt idx="268">
                  <c:v>50216</c:v>
                </c:pt>
                <c:pt idx="269">
                  <c:v>50248</c:v>
                </c:pt>
                <c:pt idx="270">
                  <c:v>50279</c:v>
                </c:pt>
                <c:pt idx="271">
                  <c:v>50311</c:v>
                </c:pt>
                <c:pt idx="272">
                  <c:v>50341</c:v>
                </c:pt>
                <c:pt idx="273">
                  <c:v>50374</c:v>
                </c:pt>
                <c:pt idx="274">
                  <c:v>50404</c:v>
                </c:pt>
                <c:pt idx="275">
                  <c:v>50437</c:v>
                </c:pt>
                <c:pt idx="276">
                  <c:v>50465</c:v>
                </c:pt>
                <c:pt idx="277">
                  <c:v>50496</c:v>
                </c:pt>
                <c:pt idx="278">
                  <c:v>50528</c:v>
                </c:pt>
                <c:pt idx="279">
                  <c:v>50559</c:v>
                </c:pt>
                <c:pt idx="280">
                  <c:v>50591</c:v>
                </c:pt>
                <c:pt idx="281">
                  <c:v>50622</c:v>
                </c:pt>
                <c:pt idx="282">
                  <c:v>50654</c:v>
                </c:pt>
                <c:pt idx="283">
                  <c:v>50684</c:v>
                </c:pt>
                <c:pt idx="284">
                  <c:v>50717</c:v>
                </c:pt>
                <c:pt idx="285">
                  <c:v>50747</c:v>
                </c:pt>
                <c:pt idx="286">
                  <c:v>50780</c:v>
                </c:pt>
                <c:pt idx="287">
                  <c:v>50811</c:v>
                </c:pt>
                <c:pt idx="288">
                  <c:v>50839</c:v>
                </c:pt>
                <c:pt idx="289">
                  <c:v>50872</c:v>
                </c:pt>
                <c:pt idx="290">
                  <c:v>50902</c:v>
                </c:pt>
                <c:pt idx="291">
                  <c:v>50934</c:v>
                </c:pt>
                <c:pt idx="292">
                  <c:v>50964</c:v>
                </c:pt>
                <c:pt idx="293">
                  <c:v>50997</c:v>
                </c:pt>
                <c:pt idx="294">
                  <c:v>51028</c:v>
                </c:pt>
                <c:pt idx="295">
                  <c:v>51060</c:v>
                </c:pt>
                <c:pt idx="296">
                  <c:v>51091</c:v>
                </c:pt>
                <c:pt idx="297">
                  <c:v>51123</c:v>
                </c:pt>
                <c:pt idx="298">
                  <c:v>51154</c:v>
                </c:pt>
                <c:pt idx="299">
                  <c:v>51186</c:v>
                </c:pt>
                <c:pt idx="300">
                  <c:v>51215</c:v>
                </c:pt>
                <c:pt idx="301">
                  <c:v>51246</c:v>
                </c:pt>
                <c:pt idx="302">
                  <c:v>51277</c:v>
                </c:pt>
                <c:pt idx="303">
                  <c:v>51308</c:v>
                </c:pt>
                <c:pt idx="304">
                  <c:v>51340</c:v>
                </c:pt>
                <c:pt idx="305">
                  <c:v>51371</c:v>
                </c:pt>
                <c:pt idx="306">
                  <c:v>51403</c:v>
                </c:pt>
                <c:pt idx="307">
                  <c:v>51433</c:v>
                </c:pt>
                <c:pt idx="308">
                  <c:v>51466</c:v>
                </c:pt>
                <c:pt idx="309">
                  <c:v>51497</c:v>
                </c:pt>
                <c:pt idx="310">
                  <c:v>51529</c:v>
                </c:pt>
                <c:pt idx="311">
                  <c:v>51560</c:v>
                </c:pt>
                <c:pt idx="312">
                  <c:v>51588</c:v>
                </c:pt>
                <c:pt idx="313">
                  <c:v>51620</c:v>
                </c:pt>
                <c:pt idx="314">
                  <c:v>51650</c:v>
                </c:pt>
                <c:pt idx="315">
                  <c:v>51683</c:v>
                </c:pt>
                <c:pt idx="316">
                  <c:v>51714</c:v>
                </c:pt>
                <c:pt idx="317">
                  <c:v>51746</c:v>
                </c:pt>
                <c:pt idx="318">
                  <c:v>51776</c:v>
                </c:pt>
                <c:pt idx="319">
                  <c:v>51809</c:v>
                </c:pt>
                <c:pt idx="320">
                  <c:v>51839</c:v>
                </c:pt>
                <c:pt idx="321">
                  <c:v>51872</c:v>
                </c:pt>
                <c:pt idx="322">
                  <c:v>51903</c:v>
                </c:pt>
                <c:pt idx="323">
                  <c:v>51931</c:v>
                </c:pt>
                <c:pt idx="324">
                  <c:v>51964</c:v>
                </c:pt>
                <c:pt idx="325">
                  <c:v>51994</c:v>
                </c:pt>
                <c:pt idx="326">
                  <c:v>52026</c:v>
                </c:pt>
                <c:pt idx="327">
                  <c:v>52056</c:v>
                </c:pt>
                <c:pt idx="328">
                  <c:v>52089</c:v>
                </c:pt>
                <c:pt idx="329">
                  <c:v>52120</c:v>
                </c:pt>
                <c:pt idx="330">
                  <c:v>52152</c:v>
                </c:pt>
                <c:pt idx="331">
                  <c:v>52183</c:v>
                </c:pt>
                <c:pt idx="332">
                  <c:v>52215</c:v>
                </c:pt>
                <c:pt idx="333">
                  <c:v>52246</c:v>
                </c:pt>
                <c:pt idx="334">
                  <c:v>52278</c:v>
                </c:pt>
                <c:pt idx="335">
                  <c:v>52306</c:v>
                </c:pt>
                <c:pt idx="336">
                  <c:v>52337</c:v>
                </c:pt>
                <c:pt idx="337">
                  <c:v>52369</c:v>
                </c:pt>
                <c:pt idx="338">
                  <c:v>52400</c:v>
                </c:pt>
                <c:pt idx="339">
                  <c:v>52432</c:v>
                </c:pt>
                <c:pt idx="340">
                  <c:v>52463</c:v>
                </c:pt>
                <c:pt idx="341">
                  <c:v>52495</c:v>
                </c:pt>
                <c:pt idx="342">
                  <c:v>52525</c:v>
                </c:pt>
                <c:pt idx="343">
                  <c:v>52558</c:v>
                </c:pt>
                <c:pt idx="344">
                  <c:v>52588</c:v>
                </c:pt>
                <c:pt idx="345">
                  <c:v>52621</c:v>
                </c:pt>
                <c:pt idx="346">
                  <c:v>52652</c:v>
                </c:pt>
                <c:pt idx="347">
                  <c:v>52681</c:v>
                </c:pt>
                <c:pt idx="348">
                  <c:v>52712</c:v>
                </c:pt>
                <c:pt idx="349">
                  <c:v>52742</c:v>
                </c:pt>
                <c:pt idx="350">
                  <c:v>52775</c:v>
                </c:pt>
                <c:pt idx="351">
                  <c:v>52805</c:v>
                </c:pt>
                <c:pt idx="352">
                  <c:v>52838</c:v>
                </c:pt>
                <c:pt idx="353">
                  <c:v>52869</c:v>
                </c:pt>
                <c:pt idx="354">
                  <c:v>52901</c:v>
                </c:pt>
                <c:pt idx="355">
                  <c:v>52931</c:v>
                </c:pt>
                <c:pt idx="356">
                  <c:v>52961</c:v>
                </c:pt>
                <c:pt idx="357">
                  <c:v>52992</c:v>
                </c:pt>
                <c:pt idx="358">
                  <c:v>53021</c:v>
                </c:pt>
                <c:pt idx="359">
                  <c:v>53049</c:v>
                </c:pt>
                <c:pt idx="360">
                  <c:v>53080</c:v>
                </c:pt>
                <c:pt idx="361">
                  <c:v>53111</c:v>
                </c:pt>
                <c:pt idx="362">
                  <c:v>53142</c:v>
                </c:pt>
                <c:pt idx="363">
                  <c:v>53174</c:v>
                </c:pt>
                <c:pt idx="364">
                  <c:v>53205</c:v>
                </c:pt>
                <c:pt idx="365">
                  <c:v>53237</c:v>
                </c:pt>
                <c:pt idx="366">
                  <c:v>53268</c:v>
                </c:pt>
                <c:pt idx="367">
                  <c:v>53300</c:v>
                </c:pt>
                <c:pt idx="368">
                  <c:v>53331</c:v>
                </c:pt>
                <c:pt idx="369">
                  <c:v>53363</c:v>
                </c:pt>
                <c:pt idx="370">
                  <c:v>53391</c:v>
                </c:pt>
                <c:pt idx="371">
                  <c:v>53422</c:v>
                </c:pt>
                <c:pt idx="372">
                  <c:v>53454</c:v>
                </c:pt>
                <c:pt idx="373">
                  <c:v>53485</c:v>
                </c:pt>
                <c:pt idx="374">
                  <c:v>53517</c:v>
                </c:pt>
                <c:pt idx="375">
                  <c:v>53548</c:v>
                </c:pt>
                <c:pt idx="376">
                  <c:v>53580</c:v>
                </c:pt>
                <c:pt idx="377">
                  <c:v>53610</c:v>
                </c:pt>
                <c:pt idx="378">
                  <c:v>53643</c:v>
                </c:pt>
                <c:pt idx="379">
                  <c:v>53673</c:v>
                </c:pt>
                <c:pt idx="380">
                  <c:v>53706</c:v>
                </c:pt>
                <c:pt idx="381">
                  <c:v>53737</c:v>
                </c:pt>
                <c:pt idx="382">
                  <c:v>53765</c:v>
                </c:pt>
                <c:pt idx="383">
                  <c:v>53798</c:v>
                </c:pt>
                <c:pt idx="384">
                  <c:v>53828</c:v>
                </c:pt>
                <c:pt idx="385">
                  <c:v>53860</c:v>
                </c:pt>
                <c:pt idx="386">
                  <c:v>53890</c:v>
                </c:pt>
                <c:pt idx="387">
                  <c:v>53923</c:v>
                </c:pt>
                <c:pt idx="388">
                  <c:v>53954</c:v>
                </c:pt>
                <c:pt idx="389">
                  <c:v>53986</c:v>
                </c:pt>
                <c:pt idx="390">
                  <c:v>54017</c:v>
                </c:pt>
                <c:pt idx="391">
                  <c:v>54049</c:v>
                </c:pt>
                <c:pt idx="392">
                  <c:v>54080</c:v>
                </c:pt>
                <c:pt idx="393">
                  <c:v>54112</c:v>
                </c:pt>
                <c:pt idx="394">
                  <c:v>54141</c:v>
                </c:pt>
                <c:pt idx="395">
                  <c:v>54172</c:v>
                </c:pt>
                <c:pt idx="396">
                  <c:v>54203</c:v>
                </c:pt>
                <c:pt idx="397">
                  <c:v>54234</c:v>
                </c:pt>
                <c:pt idx="398">
                  <c:v>54266</c:v>
                </c:pt>
                <c:pt idx="399">
                  <c:v>54297</c:v>
                </c:pt>
                <c:pt idx="400">
                  <c:v>54329</c:v>
                </c:pt>
                <c:pt idx="401">
                  <c:v>54359</c:v>
                </c:pt>
                <c:pt idx="402">
                  <c:v>54392</c:v>
                </c:pt>
                <c:pt idx="403">
                  <c:v>54422</c:v>
                </c:pt>
                <c:pt idx="404">
                  <c:v>54455</c:v>
                </c:pt>
                <c:pt idx="405">
                  <c:v>54483</c:v>
                </c:pt>
                <c:pt idx="406">
                  <c:v>54514</c:v>
                </c:pt>
                <c:pt idx="407">
                  <c:v>54546</c:v>
                </c:pt>
                <c:pt idx="408">
                  <c:v>54577</c:v>
                </c:pt>
                <c:pt idx="409">
                  <c:v>54609</c:v>
                </c:pt>
                <c:pt idx="410">
                  <c:v>54640</c:v>
                </c:pt>
                <c:pt idx="411">
                  <c:v>54672</c:v>
                </c:pt>
                <c:pt idx="412">
                  <c:v>54702</c:v>
                </c:pt>
                <c:pt idx="413">
                  <c:v>54735</c:v>
                </c:pt>
                <c:pt idx="414">
                  <c:v>54765</c:v>
                </c:pt>
                <c:pt idx="415">
                  <c:v>54798</c:v>
                </c:pt>
                <c:pt idx="416">
                  <c:v>54829</c:v>
                </c:pt>
                <c:pt idx="417">
                  <c:v>54857</c:v>
                </c:pt>
                <c:pt idx="418">
                  <c:v>54890</c:v>
                </c:pt>
                <c:pt idx="419">
                  <c:v>54920</c:v>
                </c:pt>
                <c:pt idx="420">
                  <c:v>54952</c:v>
                </c:pt>
                <c:pt idx="421">
                  <c:v>54982</c:v>
                </c:pt>
                <c:pt idx="422">
                  <c:v>55015</c:v>
                </c:pt>
                <c:pt idx="423">
                  <c:v>55046</c:v>
                </c:pt>
                <c:pt idx="424">
                  <c:v>55078</c:v>
                </c:pt>
                <c:pt idx="425">
                  <c:v>55109</c:v>
                </c:pt>
                <c:pt idx="426">
                  <c:v>55141</c:v>
                </c:pt>
                <c:pt idx="427">
                  <c:v>55172</c:v>
                </c:pt>
                <c:pt idx="428">
                  <c:v>55204</c:v>
                </c:pt>
                <c:pt idx="429">
                  <c:v>55232</c:v>
                </c:pt>
                <c:pt idx="430">
                  <c:v>55263</c:v>
                </c:pt>
                <c:pt idx="431">
                  <c:v>55295</c:v>
                </c:pt>
                <c:pt idx="432">
                  <c:v>55326</c:v>
                </c:pt>
                <c:pt idx="433">
                  <c:v>55358</c:v>
                </c:pt>
                <c:pt idx="434">
                  <c:v>55389</c:v>
                </c:pt>
                <c:pt idx="435">
                  <c:v>55421</c:v>
                </c:pt>
                <c:pt idx="436">
                  <c:v>55451</c:v>
                </c:pt>
                <c:pt idx="437">
                  <c:v>55484</c:v>
                </c:pt>
                <c:pt idx="438">
                  <c:v>55514</c:v>
                </c:pt>
                <c:pt idx="439">
                  <c:v>55547</c:v>
                </c:pt>
                <c:pt idx="440">
                  <c:v>55578</c:v>
                </c:pt>
                <c:pt idx="441">
                  <c:v>55607</c:v>
                </c:pt>
                <c:pt idx="442">
                  <c:v>55638</c:v>
                </c:pt>
                <c:pt idx="443">
                  <c:v>55668</c:v>
                </c:pt>
                <c:pt idx="444">
                  <c:v>55701</c:v>
                </c:pt>
                <c:pt idx="445">
                  <c:v>55732</c:v>
                </c:pt>
                <c:pt idx="446">
                  <c:v>55764</c:v>
                </c:pt>
                <c:pt idx="447">
                  <c:v>55794</c:v>
                </c:pt>
                <c:pt idx="448">
                  <c:v>55827</c:v>
                </c:pt>
                <c:pt idx="449">
                  <c:v>55857</c:v>
                </c:pt>
                <c:pt idx="450">
                  <c:v>55890</c:v>
                </c:pt>
                <c:pt idx="451">
                  <c:v>55921</c:v>
                </c:pt>
                <c:pt idx="452">
                  <c:v>55949</c:v>
                </c:pt>
                <c:pt idx="453">
                  <c:v>55982</c:v>
                </c:pt>
                <c:pt idx="454">
                  <c:v>56012</c:v>
                </c:pt>
                <c:pt idx="455">
                  <c:v>56044</c:v>
                </c:pt>
                <c:pt idx="456">
                  <c:v>56074</c:v>
                </c:pt>
                <c:pt idx="457">
                  <c:v>56107</c:v>
                </c:pt>
                <c:pt idx="458">
                  <c:v>56138</c:v>
                </c:pt>
                <c:pt idx="459">
                  <c:v>56170</c:v>
                </c:pt>
                <c:pt idx="460">
                  <c:v>56201</c:v>
                </c:pt>
                <c:pt idx="461">
                  <c:v>56233</c:v>
                </c:pt>
                <c:pt idx="462">
                  <c:v>56264</c:v>
                </c:pt>
                <c:pt idx="463">
                  <c:v>56296</c:v>
                </c:pt>
                <c:pt idx="464">
                  <c:v>56324</c:v>
                </c:pt>
                <c:pt idx="465">
                  <c:v>56355</c:v>
                </c:pt>
                <c:pt idx="466">
                  <c:v>56387</c:v>
                </c:pt>
                <c:pt idx="467">
                  <c:v>56418</c:v>
                </c:pt>
                <c:pt idx="468">
                  <c:v>56450</c:v>
                </c:pt>
                <c:pt idx="469">
                  <c:v>56481</c:v>
                </c:pt>
                <c:pt idx="470">
                  <c:v>56513</c:v>
                </c:pt>
                <c:pt idx="471">
                  <c:v>56543</c:v>
                </c:pt>
                <c:pt idx="472">
                  <c:v>56576</c:v>
                </c:pt>
                <c:pt idx="473">
                  <c:v>56606</c:v>
                </c:pt>
                <c:pt idx="474">
                  <c:v>56639</c:v>
                </c:pt>
                <c:pt idx="475">
                  <c:v>56670</c:v>
                </c:pt>
                <c:pt idx="476">
                  <c:v>56698</c:v>
                </c:pt>
                <c:pt idx="477">
                  <c:v>56730</c:v>
                </c:pt>
                <c:pt idx="478">
                  <c:v>56760</c:v>
                </c:pt>
                <c:pt idx="479">
                  <c:v>56793</c:v>
                </c:pt>
                <c:pt idx="480">
                  <c:v>56823</c:v>
                </c:pt>
                <c:pt idx="481">
                  <c:v>56856</c:v>
                </c:pt>
                <c:pt idx="482">
                  <c:v>56887</c:v>
                </c:pt>
                <c:pt idx="483">
                  <c:v>56919</c:v>
                </c:pt>
                <c:pt idx="484">
                  <c:v>56949</c:v>
                </c:pt>
                <c:pt idx="485">
                  <c:v>56982</c:v>
                </c:pt>
                <c:pt idx="486">
                  <c:v>57013</c:v>
                </c:pt>
                <c:pt idx="487">
                  <c:v>57042</c:v>
                </c:pt>
                <c:pt idx="488">
                  <c:v>57074</c:v>
                </c:pt>
                <c:pt idx="489">
                  <c:v>57104</c:v>
                </c:pt>
                <c:pt idx="490">
                  <c:v>57136</c:v>
                </c:pt>
                <c:pt idx="491">
                  <c:v>57166</c:v>
                </c:pt>
                <c:pt idx="492">
                  <c:v>57199</c:v>
                </c:pt>
                <c:pt idx="493">
                  <c:v>57230</c:v>
                </c:pt>
                <c:pt idx="494">
                  <c:v>57262</c:v>
                </c:pt>
                <c:pt idx="495">
                  <c:v>57293</c:v>
                </c:pt>
                <c:pt idx="496">
                  <c:v>57325</c:v>
                </c:pt>
                <c:pt idx="497">
                  <c:v>57356</c:v>
                </c:pt>
                <c:pt idx="498">
                  <c:v>57388</c:v>
                </c:pt>
                <c:pt idx="499">
                  <c:v>57416</c:v>
                </c:pt>
                <c:pt idx="500">
                  <c:v>57447</c:v>
                </c:pt>
                <c:pt idx="501">
                  <c:v>57479</c:v>
                </c:pt>
                <c:pt idx="502">
                  <c:v>57510</c:v>
                </c:pt>
                <c:pt idx="503">
                  <c:v>57542</c:v>
                </c:pt>
                <c:pt idx="504">
                  <c:v>57573</c:v>
                </c:pt>
                <c:pt idx="505">
                  <c:v>57605</c:v>
                </c:pt>
                <c:pt idx="506">
                  <c:v>57635</c:v>
                </c:pt>
                <c:pt idx="507">
                  <c:v>57668</c:v>
                </c:pt>
                <c:pt idx="508">
                  <c:v>57698</c:v>
                </c:pt>
                <c:pt idx="509">
                  <c:v>57731</c:v>
                </c:pt>
                <c:pt idx="510">
                  <c:v>57762</c:v>
                </c:pt>
                <c:pt idx="511">
                  <c:v>57790</c:v>
                </c:pt>
                <c:pt idx="512">
                  <c:v>57822</c:v>
                </c:pt>
                <c:pt idx="513">
                  <c:v>57852</c:v>
                </c:pt>
                <c:pt idx="514">
                  <c:v>57885</c:v>
                </c:pt>
                <c:pt idx="515">
                  <c:v>57915</c:v>
                </c:pt>
                <c:pt idx="516">
                  <c:v>57948</c:v>
                </c:pt>
                <c:pt idx="517">
                  <c:v>57979</c:v>
                </c:pt>
                <c:pt idx="518">
                  <c:v>58011</c:v>
                </c:pt>
                <c:pt idx="519">
                  <c:v>58042</c:v>
                </c:pt>
                <c:pt idx="520">
                  <c:v>58074</c:v>
                </c:pt>
                <c:pt idx="521">
                  <c:v>58105</c:v>
                </c:pt>
                <c:pt idx="522">
                  <c:v>58134</c:v>
                </c:pt>
                <c:pt idx="523">
                  <c:v>58166</c:v>
                </c:pt>
                <c:pt idx="524">
                  <c:v>58197</c:v>
                </c:pt>
                <c:pt idx="525">
                  <c:v>58228</c:v>
                </c:pt>
                <c:pt idx="526">
                  <c:v>58258</c:v>
                </c:pt>
                <c:pt idx="527">
                  <c:v>58291</c:v>
                </c:pt>
                <c:pt idx="528">
                  <c:v>58322</c:v>
                </c:pt>
                <c:pt idx="529">
                  <c:v>58354</c:v>
                </c:pt>
                <c:pt idx="530">
                  <c:v>58385</c:v>
                </c:pt>
                <c:pt idx="531">
                  <c:v>58417</c:v>
                </c:pt>
                <c:pt idx="532">
                  <c:v>58448</c:v>
                </c:pt>
                <c:pt idx="533">
                  <c:v>58480</c:v>
                </c:pt>
                <c:pt idx="534">
                  <c:v>58509</c:v>
                </c:pt>
                <c:pt idx="535">
                  <c:v>58540</c:v>
                </c:pt>
                <c:pt idx="536">
                  <c:v>58571</c:v>
                </c:pt>
                <c:pt idx="537">
                  <c:v>58602</c:v>
                </c:pt>
                <c:pt idx="538">
                  <c:v>58634</c:v>
                </c:pt>
                <c:pt idx="539">
                  <c:v>58665</c:v>
                </c:pt>
                <c:pt idx="540">
                  <c:v>58697</c:v>
                </c:pt>
                <c:pt idx="541">
                  <c:v>58727</c:v>
                </c:pt>
                <c:pt idx="542">
                  <c:v>58760</c:v>
                </c:pt>
                <c:pt idx="543">
                  <c:v>58790</c:v>
                </c:pt>
                <c:pt idx="544">
                  <c:v>58823</c:v>
                </c:pt>
                <c:pt idx="545">
                  <c:v>58854</c:v>
                </c:pt>
                <c:pt idx="546">
                  <c:v>58882</c:v>
                </c:pt>
                <c:pt idx="547">
                  <c:v>58914</c:v>
                </c:pt>
                <c:pt idx="548">
                  <c:v>58944</c:v>
                </c:pt>
                <c:pt idx="549">
                  <c:v>58977</c:v>
                </c:pt>
                <c:pt idx="550">
                  <c:v>59007</c:v>
                </c:pt>
                <c:pt idx="551">
                  <c:v>59040</c:v>
                </c:pt>
                <c:pt idx="552">
                  <c:v>59071</c:v>
                </c:pt>
                <c:pt idx="553">
                  <c:v>59103</c:v>
                </c:pt>
                <c:pt idx="554">
                  <c:v>59134</c:v>
                </c:pt>
                <c:pt idx="555">
                  <c:v>59167</c:v>
                </c:pt>
                <c:pt idx="556">
                  <c:v>59198</c:v>
                </c:pt>
                <c:pt idx="557">
                  <c:v>59229</c:v>
                </c:pt>
                <c:pt idx="558">
                  <c:v>59258</c:v>
                </c:pt>
                <c:pt idx="559">
                  <c:v>59289</c:v>
                </c:pt>
                <c:pt idx="560">
                  <c:v>59320</c:v>
                </c:pt>
                <c:pt idx="561">
                  <c:v>59351</c:v>
                </c:pt>
                <c:pt idx="562">
                  <c:v>59383</c:v>
                </c:pt>
                <c:pt idx="563">
                  <c:v>59414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59540</c:v>
                </c:pt>
                <c:pt idx="568">
                  <c:v>59572</c:v>
                </c:pt>
                <c:pt idx="569">
                  <c:v>59600</c:v>
                </c:pt>
                <c:pt idx="570">
                  <c:v>59631</c:v>
                </c:pt>
                <c:pt idx="571">
                  <c:v>59663</c:v>
                </c:pt>
                <c:pt idx="572">
                  <c:v>59694</c:v>
                </c:pt>
                <c:pt idx="573">
                  <c:v>59726</c:v>
                </c:pt>
                <c:pt idx="574">
                  <c:v>59757</c:v>
                </c:pt>
                <c:pt idx="575">
                  <c:v>59789</c:v>
                </c:pt>
                <c:pt idx="576">
                  <c:v>59819</c:v>
                </c:pt>
                <c:pt idx="577">
                  <c:v>59852</c:v>
                </c:pt>
                <c:pt idx="578">
                  <c:v>59882</c:v>
                </c:pt>
                <c:pt idx="579">
                  <c:v>59915</c:v>
                </c:pt>
              </c:numCache>
            </c:numRef>
          </c:cat>
          <c:val>
            <c:numRef>
              <c:f>'basis 3M'!$O$2:$O$581</c:f>
              <c:numCache>
                <c:formatCode>0.0000%</c:formatCode>
                <c:ptCount val="580"/>
                <c:pt idx="0">
                  <c:v>2.0176847477635703E-3</c:v>
                </c:pt>
                <c:pt idx="1">
                  <c:v>1.8781111152149949E-3</c:v>
                </c:pt>
                <c:pt idx="2">
                  <c:v>1.8063246539080503E-3</c:v>
                </c:pt>
                <c:pt idx="3">
                  <c:v>1.7994848108587147E-3</c:v>
                </c:pt>
                <c:pt idx="4">
                  <c:v>1.8250000000001876E-3</c:v>
                </c:pt>
                <c:pt idx="5">
                  <c:v>1.8080430168603719E-3</c:v>
                </c:pt>
                <c:pt idx="6">
                  <c:v>1.7642227569200798E-3</c:v>
                </c:pt>
                <c:pt idx="7">
                  <c:v>1.7239492680954783E-3</c:v>
                </c:pt>
                <c:pt idx="8">
                  <c:v>1.7052143455366087E-3</c:v>
                </c:pt>
                <c:pt idx="9">
                  <c:v>1.7091572074964692E-3</c:v>
                </c:pt>
                <c:pt idx="10">
                  <c:v>1.7286265881293727E-3</c:v>
                </c:pt>
                <c:pt idx="11">
                  <c:v>1.7545907004512531E-3</c:v>
                </c:pt>
                <c:pt idx="12">
                  <c:v>1.7926180429731053E-3</c:v>
                </c:pt>
                <c:pt idx="13">
                  <c:v>1.8379552777158716E-3</c:v>
                </c:pt>
                <c:pt idx="14">
                  <c:v>1.8991621415793789E-3</c:v>
                </c:pt>
                <c:pt idx="15">
                  <c:v>1.9716157532453323E-3</c:v>
                </c:pt>
                <c:pt idx="16">
                  <c:v>2.0628133517773964E-3</c:v>
                </c:pt>
                <c:pt idx="17">
                  <c:v>2.1623793727820629E-3</c:v>
                </c:pt>
                <c:pt idx="18">
                  <c:v>2.2725030887115341E-3</c:v>
                </c:pt>
                <c:pt idx="19">
                  <c:v>2.3658936360748191E-3</c:v>
                </c:pt>
                <c:pt idx="20">
                  <c:v>2.4598072352125244E-3</c:v>
                </c:pt>
                <c:pt idx="21">
                  <c:v>2.5645745243397656E-3</c:v>
                </c:pt>
                <c:pt idx="22">
                  <c:v>2.6878114420669304E-3</c:v>
                </c:pt>
                <c:pt idx="23">
                  <c:v>2.8388386727701519E-3</c:v>
                </c:pt>
                <c:pt idx="24">
                  <c:v>2.9971977970357144E-3</c:v>
                </c:pt>
                <c:pt idx="25">
                  <c:v>3.1724382561137969E-3</c:v>
                </c:pt>
                <c:pt idx="26">
                  <c:v>3.3416423317723029E-3</c:v>
                </c:pt>
                <c:pt idx="27">
                  <c:v>3.5154939060628525E-3</c:v>
                </c:pt>
                <c:pt idx="28">
                  <c:v>3.6856959432709502E-3</c:v>
                </c:pt>
                <c:pt idx="29">
                  <c:v>3.8691575446143829E-3</c:v>
                </c:pt>
                <c:pt idx="30">
                  <c:v>4.0317703537123108E-3</c:v>
                </c:pt>
                <c:pt idx="31">
                  <c:v>4.2075004669115791E-3</c:v>
                </c:pt>
                <c:pt idx="32">
                  <c:v>4.3968657145776469E-3</c:v>
                </c:pt>
                <c:pt idx="33">
                  <c:v>4.5795081921317727E-3</c:v>
                </c:pt>
                <c:pt idx="34">
                  <c:v>4.7711412994239817E-3</c:v>
                </c:pt>
                <c:pt idx="35">
                  <c:v>4.9611543024541405E-3</c:v>
                </c:pt>
                <c:pt idx="36">
                  <c:v>5.159801123758005E-3</c:v>
                </c:pt>
                <c:pt idx="37">
                  <c:v>5.3580726768950758E-3</c:v>
                </c:pt>
                <c:pt idx="38">
                  <c:v>5.5788982558716126E-3</c:v>
                </c:pt>
                <c:pt idx="39">
                  <c:v>5.7782578288172459E-3</c:v>
                </c:pt>
                <c:pt idx="40">
                  <c:v>6.0152439367509173E-3</c:v>
                </c:pt>
                <c:pt idx="41">
                  <c:v>6.2330024085086814E-3</c:v>
                </c:pt>
                <c:pt idx="42">
                  <c:v>6.4529888313612175E-3</c:v>
                </c:pt>
                <c:pt idx="43">
                  <c:v>6.6933276156665705E-3</c:v>
                </c:pt>
                <c:pt idx="44">
                  <c:v>6.9320249331975134E-3</c:v>
                </c:pt>
                <c:pt idx="45">
                  <c:v>7.1966019561000771E-3</c:v>
                </c:pt>
                <c:pt idx="46">
                  <c:v>7.4430511287208925E-3</c:v>
                </c:pt>
                <c:pt idx="47">
                  <c:v>7.720824528231438E-3</c:v>
                </c:pt>
                <c:pt idx="48">
                  <c:v>7.9837500053311517E-3</c:v>
                </c:pt>
                <c:pt idx="49">
                  <c:v>8.2709169964854893E-3</c:v>
                </c:pt>
                <c:pt idx="50">
                  <c:v>8.5511552237336006E-3</c:v>
                </c:pt>
                <c:pt idx="51">
                  <c:v>8.8422143145948304E-3</c:v>
                </c:pt>
                <c:pt idx="52">
                  <c:v>9.1302201221292734E-3</c:v>
                </c:pt>
                <c:pt idx="53">
                  <c:v>9.4441726410052929E-3</c:v>
                </c:pt>
                <c:pt idx="54">
                  <c:v>9.7252285689514405E-3</c:v>
                </c:pt>
                <c:pt idx="55">
                  <c:v>1.003154162861321E-2</c:v>
                </c:pt>
                <c:pt idx="56">
                  <c:v>1.0365028716621648E-2</c:v>
                </c:pt>
                <c:pt idx="57">
                  <c:v>1.0688139487081839E-2</c:v>
                </c:pt>
                <c:pt idx="58">
                  <c:v>1.1023921662794931E-2</c:v>
                </c:pt>
                <c:pt idx="59">
                  <c:v>1.1348369387776995E-2</c:v>
                </c:pt>
                <c:pt idx="60">
                  <c:v>1.1680701089613032E-2</c:v>
                </c:pt>
                <c:pt idx="61">
                  <c:v>1.1989801041113421E-2</c:v>
                </c:pt>
                <c:pt idx="62">
                  <c:v>1.2321780781192908E-2</c:v>
                </c:pt>
                <c:pt idx="63">
                  <c:v>1.2636003121588173E-2</c:v>
                </c:pt>
                <c:pt idx="64">
                  <c:v>1.2957692065838201E-2</c:v>
                </c:pt>
                <c:pt idx="65">
                  <c:v>1.3252069294765021E-2</c:v>
                </c:pt>
                <c:pt idx="66">
                  <c:v>1.3553546927585756E-2</c:v>
                </c:pt>
                <c:pt idx="67">
                  <c:v>1.3862797851886436E-2</c:v>
                </c:pt>
                <c:pt idx="68">
                  <c:v>1.4164345650972954E-2</c:v>
                </c:pt>
                <c:pt idx="69">
                  <c:v>1.4473030324498726E-2</c:v>
                </c:pt>
                <c:pt idx="70">
                  <c:v>1.4769690076903914E-2</c:v>
                </c:pt>
                <c:pt idx="71">
                  <c:v>1.5068567504749969E-2</c:v>
                </c:pt>
                <c:pt idx="72">
                  <c:v>1.5356411801168039E-2</c:v>
                </c:pt>
                <c:pt idx="73">
                  <c:v>1.5665167197992332E-2</c:v>
                </c:pt>
                <c:pt idx="74">
                  <c:v>1.5933801908326828E-2</c:v>
                </c:pt>
                <c:pt idx="75">
                  <c:v>1.6242856516339086E-2</c:v>
                </c:pt>
                <c:pt idx="76">
                  <c:v>1.651645159956117E-2</c:v>
                </c:pt>
                <c:pt idx="77">
                  <c:v>1.678531410225834E-2</c:v>
                </c:pt>
                <c:pt idx="78">
                  <c:v>1.7068693713613914E-2</c:v>
                </c:pt>
                <c:pt idx="79">
                  <c:v>1.7341705193897859E-2</c:v>
                </c:pt>
                <c:pt idx="80">
                  <c:v>1.7634123478221943E-2</c:v>
                </c:pt>
                <c:pt idx="81">
                  <c:v>1.7896597816966415E-2</c:v>
                </c:pt>
                <c:pt idx="82">
                  <c:v>1.8180080010741229E-2</c:v>
                </c:pt>
                <c:pt idx="83">
                  <c:v>1.8435602247621412E-2</c:v>
                </c:pt>
                <c:pt idx="84">
                  <c:v>1.8702068435970328E-2</c:v>
                </c:pt>
                <c:pt idx="85">
                  <c:v>1.8949408700714709E-2</c:v>
                </c:pt>
                <c:pt idx="86">
                  <c:v>1.9193849807189758E-2</c:v>
                </c:pt>
                <c:pt idx="87">
                  <c:v>1.9424316132451658E-2</c:v>
                </c:pt>
                <c:pt idx="88">
                  <c:v>1.9664186811060243E-2</c:v>
                </c:pt>
                <c:pt idx="89">
                  <c:v>1.9868938150828123E-2</c:v>
                </c:pt>
                <c:pt idx="90">
                  <c:v>2.0081149256088587E-2</c:v>
                </c:pt>
                <c:pt idx="91">
                  <c:v>2.0301636716743059E-2</c:v>
                </c:pt>
                <c:pt idx="92">
                  <c:v>2.050497509120559E-2</c:v>
                </c:pt>
                <c:pt idx="93">
                  <c:v>2.0708064231759821E-2</c:v>
                </c:pt>
                <c:pt idx="94">
                  <c:v>2.0898042075437162E-2</c:v>
                </c:pt>
                <c:pt idx="95">
                  <c:v>2.1087053350918584E-2</c:v>
                </c:pt>
                <c:pt idx="96">
                  <c:v>2.1257696513994149E-2</c:v>
                </c:pt>
                <c:pt idx="97">
                  <c:v>2.1438076291296761E-2</c:v>
                </c:pt>
                <c:pt idx="98">
                  <c:v>2.1589068386120402E-2</c:v>
                </c:pt>
                <c:pt idx="99">
                  <c:v>2.1748880229169272E-2</c:v>
                </c:pt>
                <c:pt idx="100">
                  <c:v>2.1900411460817702E-2</c:v>
                </c:pt>
                <c:pt idx="101">
                  <c:v>2.2029274592124237E-2</c:v>
                </c:pt>
                <c:pt idx="102">
                  <c:v>2.2171028803753757E-2</c:v>
                </c:pt>
                <c:pt idx="103">
                  <c:v>2.2294970748146022E-2</c:v>
                </c:pt>
                <c:pt idx="104">
                  <c:v>2.2418792386667576E-2</c:v>
                </c:pt>
                <c:pt idx="105">
                  <c:v>2.2543097414331761E-2</c:v>
                </c:pt>
                <c:pt idx="106">
                  <c:v>2.2659834414202704E-2</c:v>
                </c:pt>
                <c:pt idx="107">
                  <c:v>2.2785851180503906E-2</c:v>
                </c:pt>
                <c:pt idx="108">
                  <c:v>2.2905562619318788E-2</c:v>
                </c:pt>
                <c:pt idx="109">
                  <c:v>2.3026659630699546E-2</c:v>
                </c:pt>
                <c:pt idx="110">
                  <c:v>2.3146739762876567E-2</c:v>
                </c:pt>
                <c:pt idx="111">
                  <c:v>2.3270889230722899E-2</c:v>
                </c:pt>
                <c:pt idx="112">
                  <c:v>2.3386275262533854E-2</c:v>
                </c:pt>
                <c:pt idx="113">
                  <c:v>2.3504205618963204E-2</c:v>
                </c:pt>
                <c:pt idx="114">
                  <c:v>2.3627751953289276E-2</c:v>
                </c:pt>
                <c:pt idx="115">
                  <c:v>2.3748697662693372E-2</c:v>
                </c:pt>
                <c:pt idx="116">
                  <c:v>2.3872812270019798E-2</c:v>
                </c:pt>
                <c:pt idx="117">
                  <c:v>2.3991088523664845E-2</c:v>
                </c:pt>
                <c:pt idx="118">
                  <c:v>2.4107347109602235E-2</c:v>
                </c:pt>
                <c:pt idx="119">
                  <c:v>2.4218064290587257E-2</c:v>
                </c:pt>
                <c:pt idx="120">
                  <c:v>2.4333263578492709E-2</c:v>
                </c:pt>
                <c:pt idx="121">
                  <c:v>2.4429680379583374E-2</c:v>
                </c:pt>
                <c:pt idx="122">
                  <c:v>2.4539951135353094E-2</c:v>
                </c:pt>
                <c:pt idx="123">
                  <c:v>2.4632945375543551E-2</c:v>
                </c:pt>
                <c:pt idx="124">
                  <c:v>2.472529658361847E-2</c:v>
                </c:pt>
                <c:pt idx="125">
                  <c:v>2.4817033868925448E-2</c:v>
                </c:pt>
                <c:pt idx="126">
                  <c:v>2.4904098718025628E-2</c:v>
                </c:pt>
                <c:pt idx="127">
                  <c:v>2.4993652986013876E-2</c:v>
                </c:pt>
                <c:pt idx="128">
                  <c:v>2.5071680777640916E-2</c:v>
                </c:pt>
                <c:pt idx="129">
                  <c:v>2.5153787415049957E-2</c:v>
                </c:pt>
                <c:pt idx="130">
                  <c:v>2.5225349920613586E-2</c:v>
                </c:pt>
                <c:pt idx="131">
                  <c:v>2.5299702336951672E-2</c:v>
                </c:pt>
                <c:pt idx="132">
                  <c:v>2.5366281345111364E-2</c:v>
                </c:pt>
                <c:pt idx="133">
                  <c:v>2.542953805778032E-2</c:v>
                </c:pt>
                <c:pt idx="134">
                  <c:v>2.5487362398328273E-2</c:v>
                </c:pt>
                <c:pt idx="135">
                  <c:v>2.5547113961502849E-2</c:v>
                </c:pt>
                <c:pt idx="136">
                  <c:v>2.5596511374053638E-2</c:v>
                </c:pt>
                <c:pt idx="137">
                  <c:v>2.564432782941407E-2</c:v>
                </c:pt>
                <c:pt idx="138">
                  <c:v>2.5693438095185508E-2</c:v>
                </c:pt>
                <c:pt idx="139">
                  <c:v>2.5736052272620987E-2</c:v>
                </c:pt>
                <c:pt idx="140">
                  <c:v>2.5777005394220114E-2</c:v>
                </c:pt>
                <c:pt idx="141">
                  <c:v>2.5814180811882612E-2</c:v>
                </c:pt>
                <c:pt idx="142">
                  <c:v>2.5848814147585965E-2</c:v>
                </c:pt>
                <c:pt idx="143">
                  <c:v>2.5882014189349861E-2</c:v>
                </c:pt>
                <c:pt idx="144">
                  <c:v>2.5909040039168871E-2</c:v>
                </c:pt>
                <c:pt idx="145">
                  <c:v>2.5939386139662624E-2</c:v>
                </c:pt>
                <c:pt idx="146">
                  <c:v>2.5968696852178379E-2</c:v>
                </c:pt>
                <c:pt idx="147">
                  <c:v>2.5991789389971643E-2</c:v>
                </c:pt>
                <c:pt idx="148">
                  <c:v>2.6012579687470963E-2</c:v>
                </c:pt>
                <c:pt idx="149">
                  <c:v>2.6034336230878596E-2</c:v>
                </c:pt>
                <c:pt idx="150">
                  <c:v>2.605200041852684E-2</c:v>
                </c:pt>
                <c:pt idx="151">
                  <c:v>2.6067971004895E-2</c:v>
                </c:pt>
                <c:pt idx="152">
                  <c:v>2.6081249802220187E-2</c:v>
                </c:pt>
                <c:pt idx="153">
                  <c:v>2.6091606014491706E-2</c:v>
                </c:pt>
                <c:pt idx="154">
                  <c:v>2.6101333602353588E-2</c:v>
                </c:pt>
                <c:pt idx="155">
                  <c:v>2.6108503499548675E-2</c:v>
                </c:pt>
                <c:pt idx="156">
                  <c:v>2.6111915027488743E-2</c:v>
                </c:pt>
                <c:pt idx="157">
                  <c:v>2.6114453293980679E-2</c:v>
                </c:pt>
                <c:pt idx="158">
                  <c:v>2.6113696729660241E-2</c:v>
                </c:pt>
                <c:pt idx="159">
                  <c:v>2.6115442027052013E-2</c:v>
                </c:pt>
                <c:pt idx="160">
                  <c:v>2.6108784234494219E-2</c:v>
                </c:pt>
                <c:pt idx="161">
                  <c:v>2.6103650886081967E-2</c:v>
                </c:pt>
                <c:pt idx="162">
                  <c:v>2.6094740390991498E-2</c:v>
                </c:pt>
                <c:pt idx="163">
                  <c:v>2.6084517921206925E-2</c:v>
                </c:pt>
                <c:pt idx="164">
                  <c:v>2.6070939002156873E-2</c:v>
                </c:pt>
                <c:pt idx="165">
                  <c:v>2.6055290595963551E-2</c:v>
                </c:pt>
                <c:pt idx="166">
                  <c:v>2.6038225297985211E-2</c:v>
                </c:pt>
                <c:pt idx="167">
                  <c:v>2.6018856477566379E-2</c:v>
                </c:pt>
                <c:pt idx="168">
                  <c:v>2.5996045493348989E-2</c:v>
                </c:pt>
                <c:pt idx="169">
                  <c:v>2.5971809704356197E-2</c:v>
                </c:pt>
                <c:pt idx="170">
                  <c:v>2.5945582241017003E-2</c:v>
                </c:pt>
                <c:pt idx="171">
                  <c:v>2.5920740239404414E-2</c:v>
                </c:pt>
                <c:pt idx="172">
                  <c:v>2.5890242848855521E-2</c:v>
                </c:pt>
                <c:pt idx="173">
                  <c:v>2.5857331483551477E-2</c:v>
                </c:pt>
                <c:pt idx="174">
                  <c:v>2.582305642369247E-2</c:v>
                </c:pt>
                <c:pt idx="175">
                  <c:v>2.5786297525391581E-2</c:v>
                </c:pt>
                <c:pt idx="176">
                  <c:v>2.5750069661802547E-2</c:v>
                </c:pt>
                <c:pt idx="177">
                  <c:v>2.5712212823879383E-2</c:v>
                </c:pt>
                <c:pt idx="178">
                  <c:v>2.567728259595841E-2</c:v>
                </c:pt>
                <c:pt idx="179">
                  <c:v>2.5638412795199475E-2</c:v>
                </c:pt>
                <c:pt idx="180">
                  <c:v>2.560118368822728E-2</c:v>
                </c:pt>
                <c:pt idx="181">
                  <c:v>2.556364640757345E-2</c:v>
                </c:pt>
                <c:pt idx="182">
                  <c:v>2.5527204228979306E-2</c:v>
                </c:pt>
                <c:pt idx="183">
                  <c:v>2.5493938489812538E-2</c:v>
                </c:pt>
                <c:pt idx="184">
                  <c:v>2.5455540393442538E-2</c:v>
                </c:pt>
                <c:pt idx="185">
                  <c:v>2.5420050317003666E-2</c:v>
                </c:pt>
                <c:pt idx="186">
                  <c:v>2.5380594468373627E-2</c:v>
                </c:pt>
                <c:pt idx="187">
                  <c:v>2.5343448708356163E-2</c:v>
                </c:pt>
                <c:pt idx="188">
                  <c:v>2.5304736423909947E-2</c:v>
                </c:pt>
                <c:pt idx="189">
                  <c:v>2.5268921282727046E-2</c:v>
                </c:pt>
                <c:pt idx="190">
                  <c:v>2.5229125201428015E-2</c:v>
                </c:pt>
                <c:pt idx="191">
                  <c:v>2.5192321260178119E-2</c:v>
                </c:pt>
                <c:pt idx="192">
                  <c:v>2.5152633431019023E-2</c:v>
                </c:pt>
                <c:pt idx="193">
                  <c:v>2.5114479702079671E-2</c:v>
                </c:pt>
                <c:pt idx="194">
                  <c:v>2.5081226707372815E-2</c:v>
                </c:pt>
                <c:pt idx="195">
                  <c:v>2.504197347343403E-2</c:v>
                </c:pt>
                <c:pt idx="196">
                  <c:v>2.5005598520078401E-2</c:v>
                </c:pt>
                <c:pt idx="197">
                  <c:v>2.496521657529208E-2</c:v>
                </c:pt>
                <c:pt idx="198">
                  <c:v>2.4928428411959053E-2</c:v>
                </c:pt>
                <c:pt idx="199">
                  <c:v>2.4887876399962851E-2</c:v>
                </c:pt>
                <c:pt idx="200">
                  <c:v>2.4849462062266594E-2</c:v>
                </c:pt>
                <c:pt idx="201">
                  <c:v>2.4810211565495791E-2</c:v>
                </c:pt>
                <c:pt idx="202">
                  <c:v>2.4771876360969353E-2</c:v>
                </c:pt>
                <c:pt idx="203">
                  <c:v>2.4731995161463283E-2</c:v>
                </c:pt>
                <c:pt idx="204">
                  <c:v>2.46935041224619E-2</c:v>
                </c:pt>
                <c:pt idx="205">
                  <c:v>2.465368899748295E-2</c:v>
                </c:pt>
                <c:pt idx="206">
                  <c:v>2.4617749549898107E-2</c:v>
                </c:pt>
                <c:pt idx="207">
                  <c:v>2.4578809919500462E-2</c:v>
                </c:pt>
                <c:pt idx="208">
                  <c:v>2.4540214581003254E-2</c:v>
                </c:pt>
                <c:pt idx="209">
                  <c:v>2.4501329213853534E-2</c:v>
                </c:pt>
                <c:pt idx="210">
                  <c:v>2.4461107051289448E-2</c:v>
                </c:pt>
                <c:pt idx="211">
                  <c:v>2.4422061980874332E-2</c:v>
                </c:pt>
                <c:pt idx="212">
                  <c:v>2.4381483323927974E-2</c:v>
                </c:pt>
                <c:pt idx="213">
                  <c:v>2.434373610061525E-2</c:v>
                </c:pt>
                <c:pt idx="214">
                  <c:v>2.4301918351802822E-2</c:v>
                </c:pt>
                <c:pt idx="215">
                  <c:v>2.4263465064967349E-2</c:v>
                </c:pt>
                <c:pt idx="216">
                  <c:v>2.4221661484148796E-2</c:v>
                </c:pt>
                <c:pt idx="217">
                  <c:v>2.4181797405757776E-2</c:v>
                </c:pt>
                <c:pt idx="218">
                  <c:v>2.4146546363293896E-2</c:v>
                </c:pt>
                <c:pt idx="219">
                  <c:v>2.4105427371721486E-2</c:v>
                </c:pt>
                <c:pt idx="220">
                  <c:v>2.4067120503443055E-2</c:v>
                </c:pt>
                <c:pt idx="221">
                  <c:v>2.4024717308707581E-2</c:v>
                </c:pt>
                <c:pt idx="222">
                  <c:v>2.398609170097097E-2</c:v>
                </c:pt>
                <c:pt idx="223">
                  <c:v>2.3943518561363408E-2</c:v>
                </c:pt>
                <c:pt idx="224">
                  <c:v>2.3903300141025284E-2</c:v>
                </c:pt>
                <c:pt idx="225">
                  <c:v>2.3861995389166162E-2</c:v>
                </c:pt>
                <c:pt idx="226">
                  <c:v>2.3822787652695077E-2</c:v>
                </c:pt>
                <c:pt idx="227">
                  <c:v>2.3783919929703603E-2</c:v>
                </c:pt>
                <c:pt idx="228">
                  <c:v>2.3743151243645497E-2</c:v>
                </c:pt>
                <c:pt idx="229">
                  <c:v>2.3705815727431547E-2</c:v>
                </c:pt>
                <c:pt idx="230">
                  <c:v>2.366920446731147E-2</c:v>
                </c:pt>
                <c:pt idx="231">
                  <c:v>2.3628830946390116E-2</c:v>
                </c:pt>
                <c:pt idx="232">
                  <c:v>2.3587908785673659E-2</c:v>
                </c:pt>
                <c:pt idx="233">
                  <c:v>2.3547146698037095E-2</c:v>
                </c:pt>
                <c:pt idx="234">
                  <c:v>2.3504998522462194E-2</c:v>
                </c:pt>
                <c:pt idx="235">
                  <c:v>2.3464003137755405E-2</c:v>
                </c:pt>
                <c:pt idx="236">
                  <c:v>2.3421834245508512E-2</c:v>
                </c:pt>
                <c:pt idx="237">
                  <c:v>2.33808258375174E-2</c:v>
                </c:pt>
                <c:pt idx="238">
                  <c:v>2.3338343167764609E-2</c:v>
                </c:pt>
                <c:pt idx="239">
                  <c:v>2.3297134495169125E-2</c:v>
                </c:pt>
                <c:pt idx="240">
                  <c:v>2.3254716205680624E-2</c:v>
                </c:pt>
                <c:pt idx="241">
                  <c:v>2.3217554536897961E-2</c:v>
                </c:pt>
                <c:pt idx="242">
                  <c:v>2.317618590269228E-2</c:v>
                </c:pt>
                <c:pt idx="243">
                  <c:v>2.3133581046509762E-2</c:v>
                </c:pt>
                <c:pt idx="244">
                  <c:v>2.3092174540919417E-2</c:v>
                </c:pt>
                <c:pt idx="245">
                  <c:v>2.3049372696667066E-2</c:v>
                </c:pt>
                <c:pt idx="246">
                  <c:v>2.300785063087097E-2</c:v>
                </c:pt>
                <c:pt idx="247">
                  <c:v>2.2964869983935973E-2</c:v>
                </c:pt>
                <c:pt idx="248">
                  <c:v>2.2924635920438158E-2</c:v>
                </c:pt>
                <c:pt idx="249">
                  <c:v>2.2880251479251438E-2</c:v>
                </c:pt>
                <c:pt idx="250">
                  <c:v>2.2839797245759123E-2</c:v>
                </c:pt>
                <c:pt idx="251">
                  <c:v>2.2795338642108941E-2</c:v>
                </c:pt>
                <c:pt idx="252">
                  <c:v>2.275338689250006E-2</c:v>
                </c:pt>
                <c:pt idx="253">
                  <c:v>2.2714327073779159E-2</c:v>
                </c:pt>
                <c:pt idx="254">
                  <c:v>2.2670882660786679E-2</c:v>
                </c:pt>
                <c:pt idx="255">
                  <c:v>2.2630236673207318E-2</c:v>
                </c:pt>
                <c:pt idx="256">
                  <c:v>2.2586785487014753E-2</c:v>
                </c:pt>
                <c:pt idx="257">
                  <c:v>2.2545994991655927E-2</c:v>
                </c:pt>
                <c:pt idx="258">
                  <c:v>2.2501063963698578E-2</c:v>
                </c:pt>
                <c:pt idx="259">
                  <c:v>2.2458780737965024E-2</c:v>
                </c:pt>
                <c:pt idx="260">
                  <c:v>2.2415107694717759E-2</c:v>
                </c:pt>
                <c:pt idx="261">
                  <c:v>2.2372725583595401E-2</c:v>
                </c:pt>
                <c:pt idx="262">
                  <c:v>2.2328910941997175E-2</c:v>
                </c:pt>
                <c:pt idx="263">
                  <c:v>2.2286414589656189E-2</c:v>
                </c:pt>
                <c:pt idx="264">
                  <c:v>2.2242492425729777E-2</c:v>
                </c:pt>
                <c:pt idx="265">
                  <c:v>2.2204004216812376E-2</c:v>
                </c:pt>
                <c:pt idx="266">
                  <c:v>2.2161347973418045E-2</c:v>
                </c:pt>
                <c:pt idx="267">
                  <c:v>2.211723949805313E-2</c:v>
                </c:pt>
                <c:pt idx="268">
                  <c:v>2.2074459597971607E-2</c:v>
                </c:pt>
                <c:pt idx="269">
                  <c:v>2.2030240102675746E-2</c:v>
                </c:pt>
                <c:pt idx="270">
                  <c:v>2.1987344732538969E-2</c:v>
                </c:pt>
                <c:pt idx="271">
                  <c:v>2.1943032232514773E-2</c:v>
                </c:pt>
                <c:pt idx="272">
                  <c:v>2.1901383546836337E-2</c:v>
                </c:pt>
                <c:pt idx="273">
                  <c:v>2.1855670298482194E-2</c:v>
                </c:pt>
                <c:pt idx="274">
                  <c:v>2.1813876567892798E-2</c:v>
                </c:pt>
                <c:pt idx="275">
                  <c:v>2.1767874528790688E-2</c:v>
                </c:pt>
                <c:pt idx="276">
                  <c:v>2.1728779446178025E-2</c:v>
                </c:pt>
                <c:pt idx="277">
                  <c:v>2.1685533620011872E-2</c:v>
                </c:pt>
                <c:pt idx="278">
                  <c:v>2.1640737233530716E-2</c:v>
                </c:pt>
                <c:pt idx="279">
                  <c:v>2.1597328756794987E-2</c:v>
                </c:pt>
                <c:pt idx="280">
                  <c:v>2.1552460429975835E-2</c:v>
                </c:pt>
                <c:pt idx="281">
                  <c:v>2.150893652544409E-2</c:v>
                </c:pt>
                <c:pt idx="282">
                  <c:v>2.1464014175425598E-2</c:v>
                </c:pt>
                <c:pt idx="283">
                  <c:v>2.1421718333484985E-2</c:v>
                </c:pt>
                <c:pt idx="284">
                  <c:v>2.1375203113696006E-2</c:v>
                </c:pt>
                <c:pt idx="285">
                  <c:v>2.1333011913117872E-2</c:v>
                </c:pt>
                <c:pt idx="286">
                  <c:v>2.1286222632855123E-2</c:v>
                </c:pt>
                <c:pt idx="287">
                  <c:v>2.1242600868335553E-2</c:v>
                </c:pt>
                <c:pt idx="288">
                  <c:v>2.1202679042101942E-2</c:v>
                </c:pt>
                <c:pt idx="289">
                  <c:v>2.1155951329781941E-2</c:v>
                </c:pt>
                <c:pt idx="290">
                  <c:v>2.1113244412133185E-2</c:v>
                </c:pt>
                <c:pt idx="291">
                  <c:v>2.1067788661253334E-2</c:v>
                </c:pt>
                <c:pt idx="292">
                  <c:v>2.1025515527336495E-2</c:v>
                </c:pt>
                <c:pt idx="293">
                  <c:v>2.0979892189658293E-2</c:v>
                </c:pt>
                <c:pt idx="294">
                  <c:v>2.0938307282799367E-2</c:v>
                </c:pt>
                <c:pt idx="295">
                  <c:v>2.0896628625445328E-2</c:v>
                </c:pt>
                <c:pt idx="296">
                  <c:v>2.085758849393602E-2</c:v>
                </c:pt>
                <c:pt idx="297">
                  <c:v>2.0818612107732053E-2</c:v>
                </c:pt>
                <c:pt idx="298">
                  <c:v>2.0782141528243772E-2</c:v>
                </c:pt>
                <c:pt idx="299">
                  <c:v>2.0745830077407726E-2</c:v>
                </c:pt>
                <c:pt idx="300">
                  <c:v>2.0714162346450425E-2</c:v>
                </c:pt>
                <c:pt idx="301">
                  <c:v>2.0681402976997023E-2</c:v>
                </c:pt>
                <c:pt idx="302">
                  <c:v>2.0650089416759825E-2</c:v>
                </c:pt>
                <c:pt idx="303">
                  <c:v>2.0619962875811821E-2</c:v>
                </c:pt>
                <c:pt idx="304">
                  <c:v>2.0590200024828049E-2</c:v>
                </c:pt>
                <c:pt idx="305">
                  <c:v>2.0562661013242122E-2</c:v>
                </c:pt>
                <c:pt idx="306">
                  <c:v>2.0535387181801455E-2</c:v>
                </c:pt>
                <c:pt idx="307">
                  <c:v>2.0511402527221185E-2</c:v>
                </c:pt>
                <c:pt idx="308">
                  <c:v>2.0486196429153277E-2</c:v>
                </c:pt>
                <c:pt idx="309">
                  <c:v>2.0463352365347909E-2</c:v>
                </c:pt>
                <c:pt idx="310">
                  <c:v>2.0441821738719296E-2</c:v>
                </c:pt>
                <c:pt idx="311">
                  <c:v>2.0422304763786227E-2</c:v>
                </c:pt>
                <c:pt idx="312">
                  <c:v>2.0405535841988131E-2</c:v>
                </c:pt>
                <c:pt idx="313">
                  <c:v>2.0387325808263568E-2</c:v>
                </c:pt>
                <c:pt idx="314">
                  <c:v>2.0372100548123259E-2</c:v>
                </c:pt>
                <c:pt idx="315">
                  <c:v>2.0356380762811543E-2</c:v>
                </c:pt>
                <c:pt idx="316">
                  <c:v>2.0342927743450426E-2</c:v>
                </c:pt>
                <c:pt idx="317">
                  <c:v>2.0329978508530886E-2</c:v>
                </c:pt>
                <c:pt idx="318">
                  <c:v>2.0319840615541859E-2</c:v>
                </c:pt>
                <c:pt idx="319">
                  <c:v>2.0309628639697784E-2</c:v>
                </c:pt>
                <c:pt idx="320">
                  <c:v>2.0300682324096542E-2</c:v>
                </c:pt>
                <c:pt idx="321">
                  <c:v>2.0294138635781722E-2</c:v>
                </c:pt>
                <c:pt idx="322">
                  <c:v>2.0286950575116019E-2</c:v>
                </c:pt>
                <c:pt idx="323">
                  <c:v>2.0284399310163563E-2</c:v>
                </c:pt>
                <c:pt idx="324">
                  <c:v>2.0280423527325779E-2</c:v>
                </c:pt>
                <c:pt idx="325">
                  <c:v>2.0279090036796527E-2</c:v>
                </c:pt>
                <c:pt idx="326">
                  <c:v>2.0278406611173475E-2</c:v>
                </c:pt>
                <c:pt idx="327">
                  <c:v>2.0278997749559543E-2</c:v>
                </c:pt>
                <c:pt idx="328">
                  <c:v>2.0281024892749373E-2</c:v>
                </c:pt>
                <c:pt idx="329">
                  <c:v>2.0283600587968478E-2</c:v>
                </c:pt>
                <c:pt idx="330">
                  <c:v>2.0288900403660614E-2</c:v>
                </c:pt>
                <c:pt idx="331">
                  <c:v>2.029470556640417E-2</c:v>
                </c:pt>
                <c:pt idx="332">
                  <c:v>2.0301326694447397E-2</c:v>
                </c:pt>
                <c:pt idx="333">
                  <c:v>2.0308970776282464E-2</c:v>
                </c:pt>
                <c:pt idx="334">
                  <c:v>2.0319674022325034E-2</c:v>
                </c:pt>
                <c:pt idx="335">
                  <c:v>2.0330284183446245E-2</c:v>
                </c:pt>
                <c:pt idx="336">
                  <c:v>2.0341623449341196E-2</c:v>
                </c:pt>
                <c:pt idx="337">
                  <c:v>2.0356268301924853E-2</c:v>
                </c:pt>
                <c:pt idx="338">
                  <c:v>2.0370984143996722E-2</c:v>
                </c:pt>
                <c:pt idx="339">
                  <c:v>2.038750995145051E-2</c:v>
                </c:pt>
                <c:pt idx="340">
                  <c:v>2.0404812877285246E-2</c:v>
                </c:pt>
                <c:pt idx="341">
                  <c:v>2.0423110454634071E-2</c:v>
                </c:pt>
                <c:pt idx="342">
                  <c:v>2.044323784987423E-2</c:v>
                </c:pt>
                <c:pt idx="343">
                  <c:v>2.0465766365813074E-2</c:v>
                </c:pt>
                <c:pt idx="344">
                  <c:v>2.0486534733399269E-2</c:v>
                </c:pt>
                <c:pt idx="345">
                  <c:v>2.0511794152528798E-2</c:v>
                </c:pt>
                <c:pt idx="346">
                  <c:v>2.0535828089886188E-2</c:v>
                </c:pt>
                <c:pt idx="347">
                  <c:v>2.0564507508740549E-2</c:v>
                </c:pt>
                <c:pt idx="348">
                  <c:v>2.0588923125570997E-2</c:v>
                </c:pt>
                <c:pt idx="349">
                  <c:v>2.0617824863599331E-2</c:v>
                </c:pt>
                <c:pt idx="350">
                  <c:v>2.0649580388654939E-2</c:v>
                </c:pt>
                <c:pt idx="351">
                  <c:v>2.0678912076790679E-2</c:v>
                </c:pt>
                <c:pt idx="352">
                  <c:v>2.0711034074188325E-2</c:v>
                </c:pt>
                <c:pt idx="353">
                  <c:v>2.0739662971510118E-2</c:v>
                </c:pt>
                <c:pt idx="354">
                  <c:v>2.077087708451111E-2</c:v>
                </c:pt>
                <c:pt idx="355">
                  <c:v>2.0796559768039735E-2</c:v>
                </c:pt>
                <c:pt idx="356">
                  <c:v>2.0824961092707612E-2</c:v>
                </c:pt>
                <c:pt idx="357">
                  <c:v>2.0849611794301844E-2</c:v>
                </c:pt>
                <c:pt idx="358">
                  <c:v>2.0879329226682272E-2</c:v>
                </c:pt>
                <c:pt idx="359">
                  <c:v>2.0903590269848015E-2</c:v>
                </c:pt>
                <c:pt idx="360">
                  <c:v>2.0932040248092122E-2</c:v>
                </c:pt>
                <c:pt idx="361">
                  <c:v>2.0955904698406712E-2</c:v>
                </c:pt>
                <c:pt idx="362">
                  <c:v>2.0981335226581292E-2</c:v>
                </c:pt>
                <c:pt idx="363">
                  <c:v>2.1007077930116216E-2</c:v>
                </c:pt>
                <c:pt idx="364">
                  <c:v>2.1030524072356845E-2</c:v>
                </c:pt>
                <c:pt idx="365">
                  <c:v>2.1056250226373606E-2</c:v>
                </c:pt>
                <c:pt idx="366">
                  <c:v>2.1079711561808878E-2</c:v>
                </c:pt>
                <c:pt idx="367">
                  <c:v>2.1102441454371301E-2</c:v>
                </c:pt>
                <c:pt idx="368">
                  <c:v>2.1123950978232386E-2</c:v>
                </c:pt>
                <c:pt idx="369">
                  <c:v>2.1147624895149174E-2</c:v>
                </c:pt>
                <c:pt idx="370">
                  <c:v>2.1168025020381044E-2</c:v>
                </c:pt>
                <c:pt idx="371">
                  <c:v>2.1188125050058047E-2</c:v>
                </c:pt>
                <c:pt idx="372">
                  <c:v>2.1210304650252088E-2</c:v>
                </c:pt>
                <c:pt idx="373">
                  <c:v>2.1230374269230107E-2</c:v>
                </c:pt>
                <c:pt idx="374">
                  <c:v>2.1250583034504351E-2</c:v>
                </c:pt>
                <c:pt idx="375">
                  <c:v>2.1269667890817912E-2</c:v>
                </c:pt>
                <c:pt idx="376">
                  <c:v>2.1287939751695233E-2</c:v>
                </c:pt>
                <c:pt idx="377">
                  <c:v>2.1306383866944289E-2</c:v>
                </c:pt>
                <c:pt idx="378">
                  <c:v>2.1325135823309374E-2</c:v>
                </c:pt>
                <c:pt idx="379">
                  <c:v>2.1339906349136406E-2</c:v>
                </c:pt>
                <c:pt idx="380">
                  <c:v>2.1359410114074898E-2</c:v>
                </c:pt>
                <c:pt idx="381">
                  <c:v>2.1372882475694917E-2</c:v>
                </c:pt>
                <c:pt idx="382">
                  <c:v>2.1389693369446947E-2</c:v>
                </c:pt>
                <c:pt idx="383">
                  <c:v>2.1404993638123315E-2</c:v>
                </c:pt>
                <c:pt idx="384">
                  <c:v>2.1420091746766623E-2</c:v>
                </c:pt>
                <c:pt idx="385">
                  <c:v>2.1434765659524558E-2</c:v>
                </c:pt>
                <c:pt idx="386">
                  <c:v>2.1448053448759573E-2</c:v>
                </c:pt>
                <c:pt idx="387">
                  <c:v>2.1462145785899406E-2</c:v>
                </c:pt>
                <c:pt idx="388">
                  <c:v>2.1474046678825062E-2</c:v>
                </c:pt>
                <c:pt idx="389">
                  <c:v>2.1487524282275985E-2</c:v>
                </c:pt>
                <c:pt idx="390">
                  <c:v>2.1499277313560709E-2</c:v>
                </c:pt>
                <c:pt idx="391">
                  <c:v>2.1510085837936118E-2</c:v>
                </c:pt>
                <c:pt idx="392">
                  <c:v>2.1520861082797764E-2</c:v>
                </c:pt>
                <c:pt idx="393">
                  <c:v>2.1531475572614971E-2</c:v>
                </c:pt>
                <c:pt idx="394">
                  <c:v>2.1541442784003759E-2</c:v>
                </c:pt>
                <c:pt idx="395">
                  <c:v>2.1549985833742794E-2</c:v>
                </c:pt>
                <c:pt idx="396">
                  <c:v>2.1559617472496208E-2</c:v>
                </c:pt>
                <c:pt idx="397">
                  <c:v>2.1567977792834835E-2</c:v>
                </c:pt>
                <c:pt idx="398">
                  <c:v>2.1576099409345455E-2</c:v>
                </c:pt>
                <c:pt idx="399">
                  <c:v>2.1583474718007509E-2</c:v>
                </c:pt>
                <c:pt idx="400">
                  <c:v>2.1589830118787755E-2</c:v>
                </c:pt>
                <c:pt idx="401">
                  <c:v>2.1596771255255272E-2</c:v>
                </c:pt>
                <c:pt idx="402">
                  <c:v>2.1600119924933422E-2</c:v>
                </c:pt>
                <c:pt idx="403">
                  <c:v>2.1606842108599977E-2</c:v>
                </c:pt>
                <c:pt idx="404">
                  <c:v>2.1612815287359734E-2</c:v>
                </c:pt>
                <c:pt idx="405">
                  <c:v>2.161754794439745E-2</c:v>
                </c:pt>
                <c:pt idx="406">
                  <c:v>2.1620825734034066E-2</c:v>
                </c:pt>
                <c:pt idx="407">
                  <c:v>2.162513282479599E-2</c:v>
                </c:pt>
                <c:pt idx="408">
                  <c:v>2.1628130188474117E-2</c:v>
                </c:pt>
                <c:pt idx="409">
                  <c:v>2.1630715826426561E-2</c:v>
                </c:pt>
                <c:pt idx="410">
                  <c:v>2.1632728135331285E-2</c:v>
                </c:pt>
                <c:pt idx="411">
                  <c:v>2.1633631395337284E-2</c:v>
                </c:pt>
                <c:pt idx="412">
                  <c:v>2.1635298620432581E-2</c:v>
                </c:pt>
                <c:pt idx="413">
                  <c:v>2.16358761623573E-2</c:v>
                </c:pt>
                <c:pt idx="414">
                  <c:v>2.1634640034572605E-2</c:v>
                </c:pt>
                <c:pt idx="415">
                  <c:v>2.1635453488780289E-2</c:v>
                </c:pt>
                <c:pt idx="416">
                  <c:v>2.1632632286507612E-2</c:v>
                </c:pt>
                <c:pt idx="417">
                  <c:v>2.1633242378605335E-2</c:v>
                </c:pt>
                <c:pt idx="418">
                  <c:v>2.1630629616313256E-2</c:v>
                </c:pt>
                <c:pt idx="419">
                  <c:v>2.1628943023699332E-2</c:v>
                </c:pt>
                <c:pt idx="420">
                  <c:v>2.1625992566110652E-2</c:v>
                </c:pt>
                <c:pt idx="421">
                  <c:v>2.1622757439623084E-2</c:v>
                </c:pt>
                <c:pt idx="422">
                  <c:v>2.161867449984985E-2</c:v>
                </c:pt>
                <c:pt idx="423">
                  <c:v>2.1613768633345624E-2</c:v>
                </c:pt>
                <c:pt idx="424">
                  <c:v>2.1609354564678409E-2</c:v>
                </c:pt>
                <c:pt idx="425">
                  <c:v>2.1604033693012531E-2</c:v>
                </c:pt>
                <c:pt idx="426">
                  <c:v>2.1597487670527708E-2</c:v>
                </c:pt>
                <c:pt idx="427">
                  <c:v>2.1590652894571072E-2</c:v>
                </c:pt>
                <c:pt idx="428">
                  <c:v>2.1584180726710971E-2</c:v>
                </c:pt>
                <c:pt idx="429">
                  <c:v>2.1578144975566212E-2</c:v>
                </c:pt>
                <c:pt idx="430">
                  <c:v>2.1569903572920334E-2</c:v>
                </c:pt>
                <c:pt idx="431">
                  <c:v>2.1561929842093749E-2</c:v>
                </c:pt>
                <c:pt idx="432">
                  <c:v>2.1553216120992553E-2</c:v>
                </c:pt>
                <c:pt idx="433">
                  <c:v>2.1543712926323972E-2</c:v>
                </c:pt>
                <c:pt idx="434">
                  <c:v>2.1534014211251173E-2</c:v>
                </c:pt>
                <c:pt idx="435">
                  <c:v>2.1523964139967353E-2</c:v>
                </c:pt>
                <c:pt idx="436">
                  <c:v>2.1513162762172494E-2</c:v>
                </c:pt>
                <c:pt idx="437">
                  <c:v>2.1501273862164542E-2</c:v>
                </c:pt>
                <c:pt idx="438">
                  <c:v>2.148954457742731E-2</c:v>
                </c:pt>
                <c:pt idx="439">
                  <c:v>2.147661626847118E-2</c:v>
                </c:pt>
                <c:pt idx="440">
                  <c:v>2.1464398176399606E-2</c:v>
                </c:pt>
                <c:pt idx="441">
                  <c:v>2.1451703280728963E-2</c:v>
                </c:pt>
                <c:pt idx="442">
                  <c:v>2.1438120277358107E-2</c:v>
                </c:pt>
                <c:pt idx="443">
                  <c:v>2.1424915924370971E-2</c:v>
                </c:pt>
                <c:pt idx="444">
                  <c:v>2.140941561169845E-2</c:v>
                </c:pt>
                <c:pt idx="445">
                  <c:v>2.1394354450442032E-2</c:v>
                </c:pt>
                <c:pt idx="446">
                  <c:v>2.1377924186349581E-2</c:v>
                </c:pt>
                <c:pt idx="447">
                  <c:v>2.1362778265817627E-2</c:v>
                </c:pt>
                <c:pt idx="448">
                  <c:v>2.134518112846687E-2</c:v>
                </c:pt>
                <c:pt idx="449">
                  <c:v>2.1328009910196677E-2</c:v>
                </c:pt>
                <c:pt idx="450">
                  <c:v>2.1310061684365333E-2</c:v>
                </c:pt>
                <c:pt idx="451">
                  <c:v>2.1291054682760577E-2</c:v>
                </c:pt>
                <c:pt idx="452">
                  <c:v>2.1275357222555809E-2</c:v>
                </c:pt>
                <c:pt idx="453">
                  <c:v>2.1254868103388298E-2</c:v>
                </c:pt>
                <c:pt idx="454">
                  <c:v>2.1236362106906232E-2</c:v>
                </c:pt>
                <c:pt idx="455">
                  <c:v>2.1215788631909569E-2</c:v>
                </c:pt>
                <c:pt idx="456">
                  <c:v>2.1196032073173627E-2</c:v>
                </c:pt>
                <c:pt idx="457">
                  <c:v>2.1173775728728823E-2</c:v>
                </c:pt>
                <c:pt idx="458">
                  <c:v>2.1152100744358675E-2</c:v>
                </c:pt>
                <c:pt idx="459">
                  <c:v>2.1129761635681213E-2</c:v>
                </c:pt>
                <c:pt idx="460">
                  <c:v>2.11073693009565E-2</c:v>
                </c:pt>
                <c:pt idx="461">
                  <c:v>2.1083507044122374E-2</c:v>
                </c:pt>
                <c:pt idx="462">
                  <c:v>2.1059908848231501E-2</c:v>
                </c:pt>
                <c:pt idx="463">
                  <c:v>2.103550945738648E-2</c:v>
                </c:pt>
                <c:pt idx="464">
                  <c:v>2.1013747294013018E-2</c:v>
                </c:pt>
                <c:pt idx="465">
                  <c:v>2.0988744991269823E-2</c:v>
                </c:pt>
                <c:pt idx="466">
                  <c:v>2.0962840748472315E-2</c:v>
                </c:pt>
                <c:pt idx="467">
                  <c:v>2.0937109467592387E-2</c:v>
                </c:pt>
                <c:pt idx="468">
                  <c:v>2.0910353229806153E-2</c:v>
                </c:pt>
                <c:pt idx="469">
                  <c:v>2.088453831725768E-2</c:v>
                </c:pt>
                <c:pt idx="470">
                  <c:v>2.085803933765866E-2</c:v>
                </c:pt>
                <c:pt idx="471">
                  <c:v>2.0833933892512313E-2</c:v>
                </c:pt>
                <c:pt idx="472">
                  <c:v>2.0807595014400729E-2</c:v>
                </c:pt>
                <c:pt idx="473">
                  <c:v>2.0783586771059959E-2</c:v>
                </c:pt>
                <c:pt idx="474">
                  <c:v>2.0758244620990754E-2</c:v>
                </c:pt>
                <c:pt idx="475">
                  <c:v>2.0734175315003541E-2</c:v>
                </c:pt>
                <c:pt idx="476">
                  <c:v>2.0713814236210659E-2</c:v>
                </c:pt>
                <c:pt idx="477">
                  <c:v>2.068992268202113E-2</c:v>
                </c:pt>
                <c:pt idx="478">
                  <c:v>2.0668322795440636E-2</c:v>
                </c:pt>
                <c:pt idx="479">
                  <c:v>2.0644705268705467E-2</c:v>
                </c:pt>
                <c:pt idx="480">
                  <c:v>2.0623593887371072E-2</c:v>
                </c:pt>
                <c:pt idx="481">
                  <c:v>2.0600766368390769E-2</c:v>
                </c:pt>
                <c:pt idx="482">
                  <c:v>2.0579699280101255E-2</c:v>
                </c:pt>
                <c:pt idx="483">
                  <c:v>2.0558335626411676E-2</c:v>
                </c:pt>
                <c:pt idx="484">
                  <c:v>2.0538397925116771E-2</c:v>
                </c:pt>
                <c:pt idx="485">
                  <c:v>2.0517412993973316E-2</c:v>
                </c:pt>
                <c:pt idx="486">
                  <c:v>2.0497285204748472E-2</c:v>
                </c:pt>
                <c:pt idx="487">
                  <c:v>2.0480395404865421E-2</c:v>
                </c:pt>
                <c:pt idx="488">
                  <c:v>2.0460080114685603E-2</c:v>
                </c:pt>
                <c:pt idx="489">
                  <c:v>2.0442453803352609E-2</c:v>
                </c:pt>
                <c:pt idx="490">
                  <c:v>2.0423728557847139E-2</c:v>
                </c:pt>
                <c:pt idx="491">
                  <c:v>2.0406526978110871E-2</c:v>
                </c:pt>
                <c:pt idx="492">
                  <c:v>2.0388000175553558E-2</c:v>
                </c:pt>
                <c:pt idx="493">
                  <c:v>2.0370666567106892E-2</c:v>
                </c:pt>
                <c:pt idx="494">
                  <c:v>2.0353779706926953E-2</c:v>
                </c:pt>
                <c:pt idx="495">
                  <c:v>2.0337494599114256E-2</c:v>
                </c:pt>
                <c:pt idx="496">
                  <c:v>2.0320745355167254E-2</c:v>
                </c:pt>
                <c:pt idx="497">
                  <c:v>2.0304870539654907E-2</c:v>
                </c:pt>
                <c:pt idx="498">
                  <c:v>2.0289530386935057E-2</c:v>
                </c:pt>
                <c:pt idx="499">
                  <c:v>2.0276477561363151E-2</c:v>
                </c:pt>
                <c:pt idx="500">
                  <c:v>2.026166448306408E-2</c:v>
                </c:pt>
                <c:pt idx="501">
                  <c:v>2.0247450727200782E-2</c:v>
                </c:pt>
                <c:pt idx="502">
                  <c:v>2.0233721172044531E-2</c:v>
                </c:pt>
                <c:pt idx="503">
                  <c:v>2.021993164508858E-2</c:v>
                </c:pt>
                <c:pt idx="504">
                  <c:v>2.0206943987946657E-2</c:v>
                </c:pt>
                <c:pt idx="505">
                  <c:v>2.0193552481289116E-2</c:v>
                </c:pt>
                <c:pt idx="506">
                  <c:v>2.0182063836325106E-2</c:v>
                </c:pt>
                <c:pt idx="507">
                  <c:v>2.0169416612166726E-2</c:v>
                </c:pt>
                <c:pt idx="508">
                  <c:v>2.0157511285958662E-2</c:v>
                </c:pt>
                <c:pt idx="509">
                  <c:v>2.0146031525839748E-2</c:v>
                </c:pt>
                <c:pt idx="510">
                  <c:v>2.0134475847630305E-2</c:v>
                </c:pt>
                <c:pt idx="511">
                  <c:v>2.0126251749245337E-2</c:v>
                </c:pt>
                <c:pt idx="512">
                  <c:v>2.0115461112886153E-2</c:v>
                </c:pt>
                <c:pt idx="513">
                  <c:v>2.0106482165941884E-2</c:v>
                </c:pt>
                <c:pt idx="514">
                  <c:v>2.0096555048300057E-2</c:v>
                </c:pt>
                <c:pt idx="515">
                  <c:v>2.008788934322393E-2</c:v>
                </c:pt>
                <c:pt idx="516">
                  <c:v>2.0078751906916336E-2</c:v>
                </c:pt>
                <c:pt idx="517">
                  <c:v>2.0070545049209878E-2</c:v>
                </c:pt>
                <c:pt idx="518">
                  <c:v>2.0062456323597089E-2</c:v>
                </c:pt>
                <c:pt idx="519">
                  <c:v>2.0054991273190565E-2</c:v>
                </c:pt>
                <c:pt idx="520">
                  <c:v>2.0045426045126487E-2</c:v>
                </c:pt>
                <c:pt idx="521">
                  <c:v>2.0040036702205555E-2</c:v>
                </c:pt>
                <c:pt idx="522">
                  <c:v>2.0034526572757883E-2</c:v>
                </c:pt>
                <c:pt idx="523">
                  <c:v>2.0028316043740231E-2</c:v>
                </c:pt>
                <c:pt idx="524">
                  <c:v>2.0024083019349031E-2</c:v>
                </c:pt>
                <c:pt idx="525">
                  <c:v>2.0017866179943136E-2</c:v>
                </c:pt>
                <c:pt idx="526">
                  <c:v>2.0013108872960872E-2</c:v>
                </c:pt>
                <c:pt idx="527">
                  <c:v>2.0008270652075204E-2</c:v>
                </c:pt>
                <c:pt idx="528">
                  <c:v>2.0003609036304236E-2</c:v>
                </c:pt>
                <c:pt idx="529">
                  <c:v>2.0000182601231351E-2</c:v>
                </c:pt>
                <c:pt idx="530">
                  <c:v>1.9996756151043422E-2</c:v>
                </c:pt>
                <c:pt idx="531">
                  <c:v>1.9993091165271211E-2</c:v>
                </c:pt>
                <c:pt idx="532">
                  <c:v>1.9990400744039478E-2</c:v>
                </c:pt>
                <c:pt idx="533">
                  <c:v>1.9988006360019194E-2</c:v>
                </c:pt>
                <c:pt idx="534">
                  <c:v>1.9986700311007979E-2</c:v>
                </c:pt>
                <c:pt idx="535">
                  <c:v>1.9984565098933871E-2</c:v>
                </c:pt>
                <c:pt idx="536">
                  <c:v>1.9983862357979748E-2</c:v>
                </c:pt>
                <c:pt idx="537">
                  <c:v>1.9982990871562804E-2</c:v>
                </c:pt>
                <c:pt idx="538">
                  <c:v>1.9982474116577047E-2</c:v>
                </c:pt>
                <c:pt idx="539">
                  <c:v>1.9982344390065774E-2</c:v>
                </c:pt>
                <c:pt idx="540">
                  <c:v>1.9982029909439054E-2</c:v>
                </c:pt>
                <c:pt idx="541">
                  <c:v>1.9983179915690114E-2</c:v>
                </c:pt>
                <c:pt idx="542">
                  <c:v>1.9984219975993211E-2</c:v>
                </c:pt>
                <c:pt idx="543">
                  <c:v>1.9984362081168605E-2</c:v>
                </c:pt>
                <c:pt idx="544">
                  <c:v>1.9986766475667519E-2</c:v>
                </c:pt>
                <c:pt idx="545">
                  <c:v>1.9987669271158304E-2</c:v>
                </c:pt>
                <c:pt idx="546">
                  <c:v>1.9991656115373988E-2</c:v>
                </c:pt>
                <c:pt idx="547">
                  <c:v>1.9993937141839131E-2</c:v>
                </c:pt>
                <c:pt idx="548">
                  <c:v>1.9997601559406736E-2</c:v>
                </c:pt>
                <c:pt idx="549">
                  <c:v>2.0001361421179965E-2</c:v>
                </c:pt>
                <c:pt idx="550">
                  <c:v>2.0005138398488269E-2</c:v>
                </c:pt>
                <c:pt idx="551">
                  <c:v>2.0009687888004685E-2</c:v>
                </c:pt>
                <c:pt idx="552">
                  <c:v>2.00137022332014E-2</c:v>
                </c:pt>
                <c:pt idx="553">
                  <c:v>2.0019521833482618E-2</c:v>
                </c:pt>
                <c:pt idx="554">
                  <c:v>2.0024914150271359E-2</c:v>
                </c:pt>
                <c:pt idx="555">
                  <c:v>2.0030400095963335E-2</c:v>
                </c:pt>
                <c:pt idx="556">
                  <c:v>2.0035878325503909E-2</c:v>
                </c:pt>
                <c:pt idx="557">
                  <c:v>2.0043044380977516E-2</c:v>
                </c:pt>
                <c:pt idx="558">
                  <c:v>2.0050133481093288E-2</c:v>
                </c:pt>
                <c:pt idx="559">
                  <c:v>2.0058711277449997E-2</c:v>
                </c:pt>
                <c:pt idx="560">
                  <c:v>2.0064933209632495E-2</c:v>
                </c:pt>
                <c:pt idx="561">
                  <c:v>2.0072880596629688E-2</c:v>
                </c:pt>
                <c:pt idx="562">
                  <c:v>2.0081467221121991E-2</c:v>
                </c:pt>
                <c:pt idx="563">
                  <c:v>2.0089450880605195E-2</c:v>
                </c:pt>
                <c:pt idx="564">
                  <c:v>2.0099508793797811E-2</c:v>
                </c:pt>
                <c:pt idx="565">
                  <c:v>2.0108939817465046E-2</c:v>
                </c:pt>
                <c:pt idx="566">
                  <c:v>2.0118332756263749E-2</c:v>
                </c:pt>
                <c:pt idx="567">
                  <c:v>2.0127767679429809E-2</c:v>
                </c:pt>
                <c:pt idx="568">
                  <c:v>2.0139376376391953E-2</c:v>
                </c:pt>
                <c:pt idx="569">
                  <c:v>2.014995719567203E-2</c:v>
                </c:pt>
                <c:pt idx="570">
                  <c:v>2.0160450899270408E-2</c:v>
                </c:pt>
                <c:pt idx="571">
                  <c:v>2.0173191648711827E-2</c:v>
                </c:pt>
                <c:pt idx="572">
                  <c:v>2.0185177929954157E-2</c:v>
                </c:pt>
                <c:pt idx="573">
                  <c:v>2.0197933768410965E-2</c:v>
                </c:pt>
                <c:pt idx="574">
                  <c:v>2.021066192771228E-2</c:v>
                </c:pt>
                <c:pt idx="575">
                  <c:v>2.0223399338583369E-2</c:v>
                </c:pt>
                <c:pt idx="576">
                  <c:v>2.0237213419240303E-2</c:v>
                </c:pt>
                <c:pt idx="577">
                  <c:v>2.0251941123322674E-2</c:v>
                </c:pt>
                <c:pt idx="578">
                  <c:v>2.026488469874237E-2</c:v>
                </c:pt>
                <c:pt idx="579">
                  <c:v>2.028039504508504E-2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3M'!$L$2:$L$581</c:f>
              <c:numCache>
                <c:formatCode>ddd\,\ dd\-mmm\-yyyy</c:formatCode>
                <c:ptCount val="580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41990</c:v>
                </c:pt>
                <c:pt idx="5">
                  <c:v>42023</c:v>
                </c:pt>
                <c:pt idx="6">
                  <c:v>42054</c:v>
                </c:pt>
                <c:pt idx="7">
                  <c:v>42082</c:v>
                </c:pt>
                <c:pt idx="8">
                  <c:v>42114</c:v>
                </c:pt>
                <c:pt idx="9">
                  <c:v>42144</c:v>
                </c:pt>
                <c:pt idx="10">
                  <c:v>42177</c:v>
                </c:pt>
                <c:pt idx="11">
                  <c:v>42207</c:v>
                </c:pt>
                <c:pt idx="12">
                  <c:v>42240</c:v>
                </c:pt>
                <c:pt idx="13">
                  <c:v>42271</c:v>
                </c:pt>
                <c:pt idx="14">
                  <c:v>42303</c:v>
                </c:pt>
                <c:pt idx="15">
                  <c:v>42334</c:v>
                </c:pt>
                <c:pt idx="16">
                  <c:v>42366</c:v>
                </c:pt>
                <c:pt idx="17">
                  <c:v>42397</c:v>
                </c:pt>
                <c:pt idx="18">
                  <c:v>42429</c:v>
                </c:pt>
                <c:pt idx="19">
                  <c:v>42458</c:v>
                </c:pt>
                <c:pt idx="20">
                  <c:v>42489</c:v>
                </c:pt>
                <c:pt idx="21">
                  <c:v>42520</c:v>
                </c:pt>
                <c:pt idx="22">
                  <c:v>42551</c:v>
                </c:pt>
                <c:pt idx="23">
                  <c:v>42583</c:v>
                </c:pt>
                <c:pt idx="24">
                  <c:v>42614</c:v>
                </c:pt>
                <c:pt idx="25">
                  <c:v>42646</c:v>
                </c:pt>
                <c:pt idx="26">
                  <c:v>42677</c:v>
                </c:pt>
                <c:pt idx="27">
                  <c:v>42709</c:v>
                </c:pt>
                <c:pt idx="28">
                  <c:v>42740</c:v>
                </c:pt>
                <c:pt idx="29">
                  <c:v>42772</c:v>
                </c:pt>
                <c:pt idx="30">
                  <c:v>42800</c:v>
                </c:pt>
                <c:pt idx="31">
                  <c:v>42831</c:v>
                </c:pt>
                <c:pt idx="32">
                  <c:v>42863</c:v>
                </c:pt>
                <c:pt idx="33">
                  <c:v>42894</c:v>
                </c:pt>
                <c:pt idx="34">
                  <c:v>42926</c:v>
                </c:pt>
                <c:pt idx="35">
                  <c:v>42957</c:v>
                </c:pt>
                <c:pt idx="36">
                  <c:v>42989</c:v>
                </c:pt>
                <c:pt idx="37">
                  <c:v>43019</c:v>
                </c:pt>
                <c:pt idx="38">
                  <c:v>43052</c:v>
                </c:pt>
                <c:pt idx="39">
                  <c:v>43082</c:v>
                </c:pt>
                <c:pt idx="40">
                  <c:v>43115</c:v>
                </c:pt>
                <c:pt idx="41">
                  <c:v>43146</c:v>
                </c:pt>
                <c:pt idx="42">
                  <c:v>43174</c:v>
                </c:pt>
                <c:pt idx="43">
                  <c:v>43206</c:v>
                </c:pt>
                <c:pt idx="44">
                  <c:v>43236</c:v>
                </c:pt>
                <c:pt idx="45">
                  <c:v>43269</c:v>
                </c:pt>
                <c:pt idx="46">
                  <c:v>43299</c:v>
                </c:pt>
                <c:pt idx="47">
                  <c:v>43332</c:v>
                </c:pt>
                <c:pt idx="48">
                  <c:v>43363</c:v>
                </c:pt>
                <c:pt idx="49">
                  <c:v>43395</c:v>
                </c:pt>
                <c:pt idx="50">
                  <c:v>43426</c:v>
                </c:pt>
                <c:pt idx="51">
                  <c:v>43458</c:v>
                </c:pt>
                <c:pt idx="52">
                  <c:v>43489</c:v>
                </c:pt>
                <c:pt idx="53">
                  <c:v>43521</c:v>
                </c:pt>
                <c:pt idx="54">
                  <c:v>43549</c:v>
                </c:pt>
                <c:pt idx="55">
                  <c:v>43580</c:v>
                </c:pt>
                <c:pt idx="56">
                  <c:v>43612</c:v>
                </c:pt>
                <c:pt idx="57">
                  <c:v>43643</c:v>
                </c:pt>
                <c:pt idx="58">
                  <c:v>43675</c:v>
                </c:pt>
                <c:pt idx="59">
                  <c:v>43706</c:v>
                </c:pt>
                <c:pt idx="60">
                  <c:v>43738</c:v>
                </c:pt>
                <c:pt idx="61">
                  <c:v>43768</c:v>
                </c:pt>
                <c:pt idx="62">
                  <c:v>43801</c:v>
                </c:pt>
                <c:pt idx="63">
                  <c:v>43832</c:v>
                </c:pt>
                <c:pt idx="64">
                  <c:v>43864</c:v>
                </c:pt>
                <c:pt idx="65">
                  <c:v>43893</c:v>
                </c:pt>
                <c:pt idx="66">
                  <c:v>43924</c:v>
                </c:pt>
                <c:pt idx="67">
                  <c:v>43955</c:v>
                </c:pt>
                <c:pt idx="68">
                  <c:v>43986</c:v>
                </c:pt>
                <c:pt idx="69">
                  <c:v>44018</c:v>
                </c:pt>
                <c:pt idx="70">
                  <c:v>44049</c:v>
                </c:pt>
                <c:pt idx="71">
                  <c:v>44081</c:v>
                </c:pt>
                <c:pt idx="72">
                  <c:v>44111</c:v>
                </c:pt>
                <c:pt idx="73">
                  <c:v>44144</c:v>
                </c:pt>
                <c:pt idx="74">
                  <c:v>44174</c:v>
                </c:pt>
                <c:pt idx="75">
                  <c:v>44207</c:v>
                </c:pt>
                <c:pt idx="76">
                  <c:v>44238</c:v>
                </c:pt>
                <c:pt idx="77">
                  <c:v>44266</c:v>
                </c:pt>
                <c:pt idx="78">
                  <c:v>44298</c:v>
                </c:pt>
                <c:pt idx="79">
                  <c:v>44328</c:v>
                </c:pt>
                <c:pt idx="80">
                  <c:v>44361</c:v>
                </c:pt>
                <c:pt idx="81">
                  <c:v>44391</c:v>
                </c:pt>
                <c:pt idx="82">
                  <c:v>44424</c:v>
                </c:pt>
                <c:pt idx="83">
                  <c:v>44455</c:v>
                </c:pt>
                <c:pt idx="84">
                  <c:v>44487</c:v>
                </c:pt>
                <c:pt idx="85">
                  <c:v>44518</c:v>
                </c:pt>
                <c:pt idx="86">
                  <c:v>44550</c:v>
                </c:pt>
                <c:pt idx="87">
                  <c:v>44581</c:v>
                </c:pt>
                <c:pt idx="88">
                  <c:v>44613</c:v>
                </c:pt>
                <c:pt idx="89">
                  <c:v>44641</c:v>
                </c:pt>
                <c:pt idx="90">
                  <c:v>44672</c:v>
                </c:pt>
                <c:pt idx="91">
                  <c:v>44704</c:v>
                </c:pt>
                <c:pt idx="92">
                  <c:v>44735</c:v>
                </c:pt>
                <c:pt idx="93">
                  <c:v>44767</c:v>
                </c:pt>
                <c:pt idx="94">
                  <c:v>44798</c:v>
                </c:pt>
                <c:pt idx="95">
                  <c:v>44830</c:v>
                </c:pt>
                <c:pt idx="96">
                  <c:v>44860</c:v>
                </c:pt>
                <c:pt idx="97">
                  <c:v>44893</c:v>
                </c:pt>
                <c:pt idx="98">
                  <c:v>44923</c:v>
                </c:pt>
                <c:pt idx="99">
                  <c:v>44956</c:v>
                </c:pt>
                <c:pt idx="100">
                  <c:v>44985</c:v>
                </c:pt>
                <c:pt idx="101">
                  <c:v>45013</c:v>
                </c:pt>
                <c:pt idx="102">
                  <c:v>45044</c:v>
                </c:pt>
                <c:pt idx="103">
                  <c:v>45075</c:v>
                </c:pt>
                <c:pt idx="104">
                  <c:v>45106</c:v>
                </c:pt>
                <c:pt idx="105">
                  <c:v>45138</c:v>
                </c:pt>
                <c:pt idx="106">
                  <c:v>45169</c:v>
                </c:pt>
                <c:pt idx="107">
                  <c:v>45201</c:v>
                </c:pt>
                <c:pt idx="108">
                  <c:v>45232</c:v>
                </c:pt>
                <c:pt idx="109">
                  <c:v>45264</c:v>
                </c:pt>
                <c:pt idx="110">
                  <c:v>45295</c:v>
                </c:pt>
                <c:pt idx="111">
                  <c:v>45327</c:v>
                </c:pt>
                <c:pt idx="112">
                  <c:v>45356</c:v>
                </c:pt>
                <c:pt idx="113">
                  <c:v>45387</c:v>
                </c:pt>
                <c:pt idx="114">
                  <c:v>45418</c:v>
                </c:pt>
                <c:pt idx="115">
                  <c:v>45449</c:v>
                </c:pt>
                <c:pt idx="116">
                  <c:v>45481</c:v>
                </c:pt>
                <c:pt idx="117">
                  <c:v>45512</c:v>
                </c:pt>
                <c:pt idx="118">
                  <c:v>45544</c:v>
                </c:pt>
                <c:pt idx="119">
                  <c:v>45574</c:v>
                </c:pt>
                <c:pt idx="120">
                  <c:v>45607</c:v>
                </c:pt>
                <c:pt idx="121">
                  <c:v>45637</c:v>
                </c:pt>
                <c:pt idx="122">
                  <c:v>45670</c:v>
                </c:pt>
                <c:pt idx="123">
                  <c:v>45701</c:v>
                </c:pt>
                <c:pt idx="124">
                  <c:v>45729</c:v>
                </c:pt>
                <c:pt idx="125">
                  <c:v>45761</c:v>
                </c:pt>
                <c:pt idx="126">
                  <c:v>45791</c:v>
                </c:pt>
                <c:pt idx="127">
                  <c:v>45824</c:v>
                </c:pt>
                <c:pt idx="128">
                  <c:v>45854</c:v>
                </c:pt>
                <c:pt idx="129">
                  <c:v>45887</c:v>
                </c:pt>
                <c:pt idx="130">
                  <c:v>45918</c:v>
                </c:pt>
                <c:pt idx="131">
                  <c:v>45950</c:v>
                </c:pt>
                <c:pt idx="132">
                  <c:v>45981</c:v>
                </c:pt>
                <c:pt idx="133">
                  <c:v>46013</c:v>
                </c:pt>
                <c:pt idx="134">
                  <c:v>46044</c:v>
                </c:pt>
                <c:pt idx="135">
                  <c:v>46076</c:v>
                </c:pt>
                <c:pt idx="136">
                  <c:v>46104</c:v>
                </c:pt>
                <c:pt idx="137">
                  <c:v>46135</c:v>
                </c:pt>
                <c:pt idx="138">
                  <c:v>46167</c:v>
                </c:pt>
                <c:pt idx="139">
                  <c:v>46198</c:v>
                </c:pt>
                <c:pt idx="140">
                  <c:v>46230</c:v>
                </c:pt>
                <c:pt idx="141">
                  <c:v>46261</c:v>
                </c:pt>
                <c:pt idx="142">
                  <c:v>46293</c:v>
                </c:pt>
                <c:pt idx="143">
                  <c:v>46323</c:v>
                </c:pt>
                <c:pt idx="144">
                  <c:v>46356</c:v>
                </c:pt>
                <c:pt idx="145">
                  <c:v>46386</c:v>
                </c:pt>
                <c:pt idx="146">
                  <c:v>46419</c:v>
                </c:pt>
                <c:pt idx="147">
                  <c:v>46447</c:v>
                </c:pt>
                <c:pt idx="148">
                  <c:v>46478</c:v>
                </c:pt>
                <c:pt idx="149">
                  <c:v>46510</c:v>
                </c:pt>
                <c:pt idx="150">
                  <c:v>46541</c:v>
                </c:pt>
                <c:pt idx="151">
                  <c:v>46573</c:v>
                </c:pt>
                <c:pt idx="152">
                  <c:v>46604</c:v>
                </c:pt>
                <c:pt idx="153">
                  <c:v>46636</c:v>
                </c:pt>
                <c:pt idx="154">
                  <c:v>46666</c:v>
                </c:pt>
                <c:pt idx="155">
                  <c:v>46699</c:v>
                </c:pt>
                <c:pt idx="156">
                  <c:v>46729</c:v>
                </c:pt>
                <c:pt idx="157">
                  <c:v>46762</c:v>
                </c:pt>
                <c:pt idx="158">
                  <c:v>46793</c:v>
                </c:pt>
                <c:pt idx="159">
                  <c:v>46822</c:v>
                </c:pt>
                <c:pt idx="160">
                  <c:v>46853</c:v>
                </c:pt>
                <c:pt idx="161">
                  <c:v>46883</c:v>
                </c:pt>
                <c:pt idx="162">
                  <c:v>46916</c:v>
                </c:pt>
                <c:pt idx="163">
                  <c:v>46946</c:v>
                </c:pt>
                <c:pt idx="164">
                  <c:v>46979</c:v>
                </c:pt>
                <c:pt idx="165">
                  <c:v>47010</c:v>
                </c:pt>
                <c:pt idx="166">
                  <c:v>47042</c:v>
                </c:pt>
                <c:pt idx="167">
                  <c:v>47073</c:v>
                </c:pt>
                <c:pt idx="168">
                  <c:v>47105</c:v>
                </c:pt>
                <c:pt idx="169">
                  <c:v>47136</c:v>
                </c:pt>
                <c:pt idx="170">
                  <c:v>47168</c:v>
                </c:pt>
                <c:pt idx="171">
                  <c:v>47196</c:v>
                </c:pt>
                <c:pt idx="172">
                  <c:v>47227</c:v>
                </c:pt>
                <c:pt idx="173">
                  <c:v>47259</c:v>
                </c:pt>
                <c:pt idx="174">
                  <c:v>47290</c:v>
                </c:pt>
                <c:pt idx="175">
                  <c:v>47322</c:v>
                </c:pt>
                <c:pt idx="176">
                  <c:v>47353</c:v>
                </c:pt>
                <c:pt idx="177">
                  <c:v>47385</c:v>
                </c:pt>
                <c:pt idx="178">
                  <c:v>47415</c:v>
                </c:pt>
                <c:pt idx="179">
                  <c:v>47448</c:v>
                </c:pt>
                <c:pt idx="180">
                  <c:v>47479</c:v>
                </c:pt>
                <c:pt idx="181">
                  <c:v>47511</c:v>
                </c:pt>
                <c:pt idx="182">
                  <c:v>47542</c:v>
                </c:pt>
                <c:pt idx="183">
                  <c:v>47570</c:v>
                </c:pt>
                <c:pt idx="184">
                  <c:v>47602</c:v>
                </c:pt>
                <c:pt idx="185">
                  <c:v>47632</c:v>
                </c:pt>
                <c:pt idx="186">
                  <c:v>47665</c:v>
                </c:pt>
                <c:pt idx="187">
                  <c:v>47696</c:v>
                </c:pt>
                <c:pt idx="188">
                  <c:v>47728</c:v>
                </c:pt>
                <c:pt idx="189">
                  <c:v>47758</c:v>
                </c:pt>
                <c:pt idx="190">
                  <c:v>47791</c:v>
                </c:pt>
                <c:pt idx="191">
                  <c:v>47821</c:v>
                </c:pt>
                <c:pt idx="192">
                  <c:v>47854</c:v>
                </c:pt>
                <c:pt idx="193">
                  <c:v>47885</c:v>
                </c:pt>
                <c:pt idx="194">
                  <c:v>47913</c:v>
                </c:pt>
                <c:pt idx="195">
                  <c:v>47945</c:v>
                </c:pt>
                <c:pt idx="196">
                  <c:v>47975</c:v>
                </c:pt>
                <c:pt idx="197">
                  <c:v>48008</c:v>
                </c:pt>
                <c:pt idx="198">
                  <c:v>48038</c:v>
                </c:pt>
                <c:pt idx="199">
                  <c:v>48071</c:v>
                </c:pt>
                <c:pt idx="200">
                  <c:v>48102</c:v>
                </c:pt>
                <c:pt idx="201">
                  <c:v>48134</c:v>
                </c:pt>
                <c:pt idx="202">
                  <c:v>48165</c:v>
                </c:pt>
                <c:pt idx="203">
                  <c:v>48197</c:v>
                </c:pt>
                <c:pt idx="204">
                  <c:v>48228</c:v>
                </c:pt>
                <c:pt idx="205">
                  <c:v>48260</c:v>
                </c:pt>
                <c:pt idx="206">
                  <c:v>48289</c:v>
                </c:pt>
                <c:pt idx="207">
                  <c:v>48320</c:v>
                </c:pt>
                <c:pt idx="208">
                  <c:v>48351</c:v>
                </c:pt>
                <c:pt idx="209">
                  <c:v>48382</c:v>
                </c:pt>
                <c:pt idx="210">
                  <c:v>48414</c:v>
                </c:pt>
                <c:pt idx="211">
                  <c:v>48445</c:v>
                </c:pt>
                <c:pt idx="212">
                  <c:v>48477</c:v>
                </c:pt>
                <c:pt idx="213">
                  <c:v>48507</c:v>
                </c:pt>
                <c:pt idx="214">
                  <c:v>48540</c:v>
                </c:pt>
                <c:pt idx="215">
                  <c:v>48570</c:v>
                </c:pt>
                <c:pt idx="216">
                  <c:v>48603</c:v>
                </c:pt>
                <c:pt idx="217">
                  <c:v>48634</c:v>
                </c:pt>
                <c:pt idx="218">
                  <c:v>48662</c:v>
                </c:pt>
                <c:pt idx="219">
                  <c:v>48694</c:v>
                </c:pt>
                <c:pt idx="220">
                  <c:v>48724</c:v>
                </c:pt>
                <c:pt idx="221">
                  <c:v>48757</c:v>
                </c:pt>
                <c:pt idx="222">
                  <c:v>48787</c:v>
                </c:pt>
                <c:pt idx="223">
                  <c:v>48820</c:v>
                </c:pt>
                <c:pt idx="224">
                  <c:v>48851</c:v>
                </c:pt>
                <c:pt idx="225">
                  <c:v>48883</c:v>
                </c:pt>
                <c:pt idx="226">
                  <c:v>48913</c:v>
                </c:pt>
                <c:pt idx="227">
                  <c:v>48943</c:v>
                </c:pt>
                <c:pt idx="228">
                  <c:v>48974</c:v>
                </c:pt>
                <c:pt idx="229">
                  <c:v>49003</c:v>
                </c:pt>
                <c:pt idx="230">
                  <c:v>49031</c:v>
                </c:pt>
                <c:pt idx="231">
                  <c:v>49062</c:v>
                </c:pt>
                <c:pt idx="232">
                  <c:v>49093</c:v>
                </c:pt>
                <c:pt idx="233">
                  <c:v>49124</c:v>
                </c:pt>
                <c:pt idx="234">
                  <c:v>49156</c:v>
                </c:pt>
                <c:pt idx="235">
                  <c:v>49187</c:v>
                </c:pt>
                <c:pt idx="236">
                  <c:v>49219</c:v>
                </c:pt>
                <c:pt idx="237">
                  <c:v>49250</c:v>
                </c:pt>
                <c:pt idx="238">
                  <c:v>49282</c:v>
                </c:pt>
                <c:pt idx="239">
                  <c:v>49313</c:v>
                </c:pt>
                <c:pt idx="240">
                  <c:v>49345</c:v>
                </c:pt>
                <c:pt idx="241">
                  <c:v>49373</c:v>
                </c:pt>
                <c:pt idx="242">
                  <c:v>49404</c:v>
                </c:pt>
                <c:pt idx="243">
                  <c:v>49436</c:v>
                </c:pt>
                <c:pt idx="244">
                  <c:v>49467</c:v>
                </c:pt>
                <c:pt idx="245">
                  <c:v>49499</c:v>
                </c:pt>
                <c:pt idx="246">
                  <c:v>49530</c:v>
                </c:pt>
                <c:pt idx="247">
                  <c:v>49562</c:v>
                </c:pt>
                <c:pt idx="248">
                  <c:v>49592</c:v>
                </c:pt>
                <c:pt idx="249">
                  <c:v>49625</c:v>
                </c:pt>
                <c:pt idx="250">
                  <c:v>49655</c:v>
                </c:pt>
                <c:pt idx="251">
                  <c:v>49688</c:v>
                </c:pt>
                <c:pt idx="252">
                  <c:v>49719</c:v>
                </c:pt>
                <c:pt idx="253">
                  <c:v>49748</c:v>
                </c:pt>
                <c:pt idx="254">
                  <c:v>49780</c:v>
                </c:pt>
                <c:pt idx="255">
                  <c:v>49810</c:v>
                </c:pt>
                <c:pt idx="256">
                  <c:v>49842</c:v>
                </c:pt>
                <c:pt idx="257">
                  <c:v>49872</c:v>
                </c:pt>
                <c:pt idx="258">
                  <c:v>49905</c:v>
                </c:pt>
                <c:pt idx="259">
                  <c:v>49936</c:v>
                </c:pt>
                <c:pt idx="260">
                  <c:v>49968</c:v>
                </c:pt>
                <c:pt idx="261">
                  <c:v>49999</c:v>
                </c:pt>
                <c:pt idx="262">
                  <c:v>50031</c:v>
                </c:pt>
                <c:pt idx="263">
                  <c:v>50062</c:v>
                </c:pt>
                <c:pt idx="264">
                  <c:v>50094</c:v>
                </c:pt>
                <c:pt idx="265">
                  <c:v>50122</c:v>
                </c:pt>
                <c:pt idx="266">
                  <c:v>50153</c:v>
                </c:pt>
                <c:pt idx="267">
                  <c:v>50185</c:v>
                </c:pt>
                <c:pt idx="268">
                  <c:v>50216</c:v>
                </c:pt>
                <c:pt idx="269">
                  <c:v>50248</c:v>
                </c:pt>
                <c:pt idx="270">
                  <c:v>50279</c:v>
                </c:pt>
                <c:pt idx="271">
                  <c:v>50311</c:v>
                </c:pt>
                <c:pt idx="272">
                  <c:v>50341</c:v>
                </c:pt>
                <c:pt idx="273">
                  <c:v>50374</c:v>
                </c:pt>
                <c:pt idx="274">
                  <c:v>50404</c:v>
                </c:pt>
                <c:pt idx="275">
                  <c:v>50437</c:v>
                </c:pt>
                <c:pt idx="276">
                  <c:v>50465</c:v>
                </c:pt>
                <c:pt idx="277">
                  <c:v>50496</c:v>
                </c:pt>
                <c:pt idx="278">
                  <c:v>50528</c:v>
                </c:pt>
                <c:pt idx="279">
                  <c:v>50559</c:v>
                </c:pt>
                <c:pt idx="280">
                  <c:v>50591</c:v>
                </c:pt>
                <c:pt idx="281">
                  <c:v>50622</c:v>
                </c:pt>
                <c:pt idx="282">
                  <c:v>50654</c:v>
                </c:pt>
                <c:pt idx="283">
                  <c:v>50684</c:v>
                </c:pt>
                <c:pt idx="284">
                  <c:v>50717</c:v>
                </c:pt>
                <c:pt idx="285">
                  <c:v>50747</c:v>
                </c:pt>
                <c:pt idx="286">
                  <c:v>50780</c:v>
                </c:pt>
                <c:pt idx="287">
                  <c:v>50811</c:v>
                </c:pt>
                <c:pt idx="288">
                  <c:v>50839</c:v>
                </c:pt>
                <c:pt idx="289">
                  <c:v>50872</c:v>
                </c:pt>
                <c:pt idx="290">
                  <c:v>50902</c:v>
                </c:pt>
                <c:pt idx="291">
                  <c:v>50934</c:v>
                </c:pt>
                <c:pt idx="292">
                  <c:v>50964</c:v>
                </c:pt>
                <c:pt idx="293">
                  <c:v>50997</c:v>
                </c:pt>
                <c:pt idx="294">
                  <c:v>51028</c:v>
                </c:pt>
                <c:pt idx="295">
                  <c:v>51060</c:v>
                </c:pt>
                <c:pt idx="296">
                  <c:v>51091</c:v>
                </c:pt>
                <c:pt idx="297">
                  <c:v>51123</c:v>
                </c:pt>
                <c:pt idx="298">
                  <c:v>51154</c:v>
                </c:pt>
                <c:pt idx="299">
                  <c:v>51186</c:v>
                </c:pt>
                <c:pt idx="300">
                  <c:v>51215</c:v>
                </c:pt>
                <c:pt idx="301">
                  <c:v>51246</c:v>
                </c:pt>
                <c:pt idx="302">
                  <c:v>51277</c:v>
                </c:pt>
                <c:pt idx="303">
                  <c:v>51308</c:v>
                </c:pt>
                <c:pt idx="304">
                  <c:v>51340</c:v>
                </c:pt>
                <c:pt idx="305">
                  <c:v>51371</c:v>
                </c:pt>
                <c:pt idx="306">
                  <c:v>51403</c:v>
                </c:pt>
                <c:pt idx="307">
                  <c:v>51433</c:v>
                </c:pt>
                <c:pt idx="308">
                  <c:v>51466</c:v>
                </c:pt>
                <c:pt idx="309">
                  <c:v>51497</c:v>
                </c:pt>
                <c:pt idx="310">
                  <c:v>51529</c:v>
                </c:pt>
                <c:pt idx="311">
                  <c:v>51560</c:v>
                </c:pt>
                <c:pt idx="312">
                  <c:v>51588</c:v>
                </c:pt>
                <c:pt idx="313">
                  <c:v>51620</c:v>
                </c:pt>
                <c:pt idx="314">
                  <c:v>51650</c:v>
                </c:pt>
                <c:pt idx="315">
                  <c:v>51683</c:v>
                </c:pt>
                <c:pt idx="316">
                  <c:v>51714</c:v>
                </c:pt>
                <c:pt idx="317">
                  <c:v>51746</c:v>
                </c:pt>
                <c:pt idx="318">
                  <c:v>51776</c:v>
                </c:pt>
                <c:pt idx="319">
                  <c:v>51809</c:v>
                </c:pt>
                <c:pt idx="320">
                  <c:v>51839</c:v>
                </c:pt>
                <c:pt idx="321">
                  <c:v>51872</c:v>
                </c:pt>
                <c:pt idx="322">
                  <c:v>51903</c:v>
                </c:pt>
                <c:pt idx="323">
                  <c:v>51931</c:v>
                </c:pt>
                <c:pt idx="324">
                  <c:v>51964</c:v>
                </c:pt>
                <c:pt idx="325">
                  <c:v>51994</c:v>
                </c:pt>
                <c:pt idx="326">
                  <c:v>52026</c:v>
                </c:pt>
                <c:pt idx="327">
                  <c:v>52056</c:v>
                </c:pt>
                <c:pt idx="328">
                  <c:v>52089</c:v>
                </c:pt>
                <c:pt idx="329">
                  <c:v>52120</c:v>
                </c:pt>
                <c:pt idx="330">
                  <c:v>52152</c:v>
                </c:pt>
                <c:pt idx="331">
                  <c:v>52183</c:v>
                </c:pt>
                <c:pt idx="332">
                  <c:v>52215</c:v>
                </c:pt>
                <c:pt idx="333">
                  <c:v>52246</c:v>
                </c:pt>
                <c:pt idx="334">
                  <c:v>52278</c:v>
                </c:pt>
                <c:pt idx="335">
                  <c:v>52306</c:v>
                </c:pt>
                <c:pt idx="336">
                  <c:v>52337</c:v>
                </c:pt>
                <c:pt idx="337">
                  <c:v>52369</c:v>
                </c:pt>
                <c:pt idx="338">
                  <c:v>52400</c:v>
                </c:pt>
                <c:pt idx="339">
                  <c:v>52432</c:v>
                </c:pt>
                <c:pt idx="340">
                  <c:v>52463</c:v>
                </c:pt>
                <c:pt idx="341">
                  <c:v>52495</c:v>
                </c:pt>
                <c:pt idx="342">
                  <c:v>52525</c:v>
                </c:pt>
                <c:pt idx="343">
                  <c:v>52558</c:v>
                </c:pt>
                <c:pt idx="344">
                  <c:v>52588</c:v>
                </c:pt>
                <c:pt idx="345">
                  <c:v>52621</c:v>
                </c:pt>
                <c:pt idx="346">
                  <c:v>52652</c:v>
                </c:pt>
                <c:pt idx="347">
                  <c:v>52681</c:v>
                </c:pt>
                <c:pt idx="348">
                  <c:v>52712</c:v>
                </c:pt>
                <c:pt idx="349">
                  <c:v>52742</c:v>
                </c:pt>
                <c:pt idx="350">
                  <c:v>52775</c:v>
                </c:pt>
                <c:pt idx="351">
                  <c:v>52805</c:v>
                </c:pt>
                <c:pt idx="352">
                  <c:v>52838</c:v>
                </c:pt>
                <c:pt idx="353">
                  <c:v>52869</c:v>
                </c:pt>
                <c:pt idx="354">
                  <c:v>52901</c:v>
                </c:pt>
                <c:pt idx="355">
                  <c:v>52931</c:v>
                </c:pt>
                <c:pt idx="356">
                  <c:v>52961</c:v>
                </c:pt>
                <c:pt idx="357">
                  <c:v>52992</c:v>
                </c:pt>
                <c:pt idx="358">
                  <c:v>53021</c:v>
                </c:pt>
                <c:pt idx="359">
                  <c:v>53049</c:v>
                </c:pt>
                <c:pt idx="360">
                  <c:v>53080</c:v>
                </c:pt>
                <c:pt idx="361">
                  <c:v>53111</c:v>
                </c:pt>
                <c:pt idx="362">
                  <c:v>53142</c:v>
                </c:pt>
                <c:pt idx="363">
                  <c:v>53174</c:v>
                </c:pt>
                <c:pt idx="364">
                  <c:v>53205</c:v>
                </c:pt>
                <c:pt idx="365">
                  <c:v>53237</c:v>
                </c:pt>
                <c:pt idx="366">
                  <c:v>53268</c:v>
                </c:pt>
                <c:pt idx="367">
                  <c:v>53300</c:v>
                </c:pt>
                <c:pt idx="368">
                  <c:v>53331</c:v>
                </c:pt>
                <c:pt idx="369">
                  <c:v>53363</c:v>
                </c:pt>
                <c:pt idx="370">
                  <c:v>53391</c:v>
                </c:pt>
                <c:pt idx="371">
                  <c:v>53422</c:v>
                </c:pt>
                <c:pt idx="372">
                  <c:v>53454</c:v>
                </c:pt>
                <c:pt idx="373">
                  <c:v>53485</c:v>
                </c:pt>
                <c:pt idx="374">
                  <c:v>53517</c:v>
                </c:pt>
                <c:pt idx="375">
                  <c:v>53548</c:v>
                </c:pt>
                <c:pt idx="376">
                  <c:v>53580</c:v>
                </c:pt>
                <c:pt idx="377">
                  <c:v>53610</c:v>
                </c:pt>
                <c:pt idx="378">
                  <c:v>53643</c:v>
                </c:pt>
                <c:pt idx="379">
                  <c:v>53673</c:v>
                </c:pt>
                <c:pt idx="380">
                  <c:v>53706</c:v>
                </c:pt>
                <c:pt idx="381">
                  <c:v>53737</c:v>
                </c:pt>
                <c:pt idx="382">
                  <c:v>53765</c:v>
                </c:pt>
                <c:pt idx="383">
                  <c:v>53798</c:v>
                </c:pt>
                <c:pt idx="384">
                  <c:v>53828</c:v>
                </c:pt>
                <c:pt idx="385">
                  <c:v>53860</c:v>
                </c:pt>
                <c:pt idx="386">
                  <c:v>53890</c:v>
                </c:pt>
                <c:pt idx="387">
                  <c:v>53923</c:v>
                </c:pt>
                <c:pt idx="388">
                  <c:v>53954</c:v>
                </c:pt>
                <c:pt idx="389">
                  <c:v>53986</c:v>
                </c:pt>
                <c:pt idx="390">
                  <c:v>54017</c:v>
                </c:pt>
                <c:pt idx="391">
                  <c:v>54049</c:v>
                </c:pt>
                <c:pt idx="392">
                  <c:v>54080</c:v>
                </c:pt>
                <c:pt idx="393">
                  <c:v>54112</c:v>
                </c:pt>
                <c:pt idx="394">
                  <c:v>54141</c:v>
                </c:pt>
                <c:pt idx="395">
                  <c:v>54172</c:v>
                </c:pt>
                <c:pt idx="396">
                  <c:v>54203</c:v>
                </c:pt>
                <c:pt idx="397">
                  <c:v>54234</c:v>
                </c:pt>
                <c:pt idx="398">
                  <c:v>54266</c:v>
                </c:pt>
                <c:pt idx="399">
                  <c:v>54297</c:v>
                </c:pt>
                <c:pt idx="400">
                  <c:v>54329</c:v>
                </c:pt>
                <c:pt idx="401">
                  <c:v>54359</c:v>
                </c:pt>
                <c:pt idx="402">
                  <c:v>54392</c:v>
                </c:pt>
                <c:pt idx="403">
                  <c:v>54422</c:v>
                </c:pt>
                <c:pt idx="404">
                  <c:v>54455</c:v>
                </c:pt>
                <c:pt idx="405">
                  <c:v>54483</c:v>
                </c:pt>
                <c:pt idx="406">
                  <c:v>54514</c:v>
                </c:pt>
                <c:pt idx="407">
                  <c:v>54546</c:v>
                </c:pt>
                <c:pt idx="408">
                  <c:v>54577</c:v>
                </c:pt>
                <c:pt idx="409">
                  <c:v>54609</c:v>
                </c:pt>
                <c:pt idx="410">
                  <c:v>54640</c:v>
                </c:pt>
                <c:pt idx="411">
                  <c:v>54672</c:v>
                </c:pt>
                <c:pt idx="412">
                  <c:v>54702</c:v>
                </c:pt>
                <c:pt idx="413">
                  <c:v>54735</c:v>
                </c:pt>
                <c:pt idx="414">
                  <c:v>54765</c:v>
                </c:pt>
                <c:pt idx="415">
                  <c:v>54798</c:v>
                </c:pt>
                <c:pt idx="416">
                  <c:v>54829</c:v>
                </c:pt>
                <c:pt idx="417">
                  <c:v>54857</c:v>
                </c:pt>
                <c:pt idx="418">
                  <c:v>54890</c:v>
                </c:pt>
                <c:pt idx="419">
                  <c:v>54920</c:v>
                </c:pt>
                <c:pt idx="420">
                  <c:v>54952</c:v>
                </c:pt>
                <c:pt idx="421">
                  <c:v>54982</c:v>
                </c:pt>
                <c:pt idx="422">
                  <c:v>55015</c:v>
                </c:pt>
                <c:pt idx="423">
                  <c:v>55046</c:v>
                </c:pt>
                <c:pt idx="424">
                  <c:v>55078</c:v>
                </c:pt>
                <c:pt idx="425">
                  <c:v>55109</c:v>
                </c:pt>
                <c:pt idx="426">
                  <c:v>55141</c:v>
                </c:pt>
                <c:pt idx="427">
                  <c:v>55172</c:v>
                </c:pt>
                <c:pt idx="428">
                  <c:v>55204</c:v>
                </c:pt>
                <c:pt idx="429">
                  <c:v>55232</c:v>
                </c:pt>
                <c:pt idx="430">
                  <c:v>55263</c:v>
                </c:pt>
                <c:pt idx="431">
                  <c:v>55295</c:v>
                </c:pt>
                <c:pt idx="432">
                  <c:v>55326</c:v>
                </c:pt>
                <c:pt idx="433">
                  <c:v>55358</c:v>
                </c:pt>
                <c:pt idx="434">
                  <c:v>55389</c:v>
                </c:pt>
                <c:pt idx="435">
                  <c:v>55421</c:v>
                </c:pt>
                <c:pt idx="436">
                  <c:v>55451</c:v>
                </c:pt>
                <c:pt idx="437">
                  <c:v>55484</c:v>
                </c:pt>
                <c:pt idx="438">
                  <c:v>55514</c:v>
                </c:pt>
                <c:pt idx="439">
                  <c:v>55547</c:v>
                </c:pt>
                <c:pt idx="440">
                  <c:v>55578</c:v>
                </c:pt>
                <c:pt idx="441">
                  <c:v>55607</c:v>
                </c:pt>
                <c:pt idx="442">
                  <c:v>55638</c:v>
                </c:pt>
                <c:pt idx="443">
                  <c:v>55668</c:v>
                </c:pt>
                <c:pt idx="444">
                  <c:v>55701</c:v>
                </c:pt>
                <c:pt idx="445">
                  <c:v>55732</c:v>
                </c:pt>
                <c:pt idx="446">
                  <c:v>55764</c:v>
                </c:pt>
                <c:pt idx="447">
                  <c:v>55794</c:v>
                </c:pt>
                <c:pt idx="448">
                  <c:v>55827</c:v>
                </c:pt>
                <c:pt idx="449">
                  <c:v>55857</c:v>
                </c:pt>
                <c:pt idx="450">
                  <c:v>55890</c:v>
                </c:pt>
                <c:pt idx="451">
                  <c:v>55921</c:v>
                </c:pt>
                <c:pt idx="452">
                  <c:v>55949</c:v>
                </c:pt>
                <c:pt idx="453">
                  <c:v>55982</c:v>
                </c:pt>
                <c:pt idx="454">
                  <c:v>56012</c:v>
                </c:pt>
                <c:pt idx="455">
                  <c:v>56044</c:v>
                </c:pt>
                <c:pt idx="456">
                  <c:v>56074</c:v>
                </c:pt>
                <c:pt idx="457">
                  <c:v>56107</c:v>
                </c:pt>
                <c:pt idx="458">
                  <c:v>56138</c:v>
                </c:pt>
                <c:pt idx="459">
                  <c:v>56170</c:v>
                </c:pt>
                <c:pt idx="460">
                  <c:v>56201</c:v>
                </c:pt>
                <c:pt idx="461">
                  <c:v>56233</c:v>
                </c:pt>
                <c:pt idx="462">
                  <c:v>56264</c:v>
                </c:pt>
                <c:pt idx="463">
                  <c:v>56296</c:v>
                </c:pt>
                <c:pt idx="464">
                  <c:v>56324</c:v>
                </c:pt>
                <c:pt idx="465">
                  <c:v>56355</c:v>
                </c:pt>
                <c:pt idx="466">
                  <c:v>56387</c:v>
                </c:pt>
                <c:pt idx="467">
                  <c:v>56418</c:v>
                </c:pt>
                <c:pt idx="468">
                  <c:v>56450</c:v>
                </c:pt>
                <c:pt idx="469">
                  <c:v>56481</c:v>
                </c:pt>
                <c:pt idx="470">
                  <c:v>56513</c:v>
                </c:pt>
                <c:pt idx="471">
                  <c:v>56543</c:v>
                </c:pt>
                <c:pt idx="472">
                  <c:v>56576</c:v>
                </c:pt>
                <c:pt idx="473">
                  <c:v>56606</c:v>
                </c:pt>
                <c:pt idx="474">
                  <c:v>56639</c:v>
                </c:pt>
                <c:pt idx="475">
                  <c:v>56670</c:v>
                </c:pt>
                <c:pt idx="476">
                  <c:v>56698</c:v>
                </c:pt>
                <c:pt idx="477">
                  <c:v>56730</c:v>
                </c:pt>
                <c:pt idx="478">
                  <c:v>56760</c:v>
                </c:pt>
                <c:pt idx="479">
                  <c:v>56793</c:v>
                </c:pt>
                <c:pt idx="480">
                  <c:v>56823</c:v>
                </c:pt>
                <c:pt idx="481">
                  <c:v>56856</c:v>
                </c:pt>
                <c:pt idx="482">
                  <c:v>56887</c:v>
                </c:pt>
                <c:pt idx="483">
                  <c:v>56919</c:v>
                </c:pt>
                <c:pt idx="484">
                  <c:v>56949</c:v>
                </c:pt>
                <c:pt idx="485">
                  <c:v>56982</c:v>
                </c:pt>
                <c:pt idx="486">
                  <c:v>57013</c:v>
                </c:pt>
                <c:pt idx="487">
                  <c:v>57042</c:v>
                </c:pt>
                <c:pt idx="488">
                  <c:v>57074</c:v>
                </c:pt>
                <c:pt idx="489">
                  <c:v>57104</c:v>
                </c:pt>
                <c:pt idx="490">
                  <c:v>57136</c:v>
                </c:pt>
                <c:pt idx="491">
                  <c:v>57166</c:v>
                </c:pt>
                <c:pt idx="492">
                  <c:v>57199</c:v>
                </c:pt>
                <c:pt idx="493">
                  <c:v>57230</c:v>
                </c:pt>
                <c:pt idx="494">
                  <c:v>57262</c:v>
                </c:pt>
                <c:pt idx="495">
                  <c:v>57293</c:v>
                </c:pt>
                <c:pt idx="496">
                  <c:v>57325</c:v>
                </c:pt>
                <c:pt idx="497">
                  <c:v>57356</c:v>
                </c:pt>
                <c:pt idx="498">
                  <c:v>57388</c:v>
                </c:pt>
                <c:pt idx="499">
                  <c:v>57416</c:v>
                </c:pt>
                <c:pt idx="500">
                  <c:v>57447</c:v>
                </c:pt>
                <c:pt idx="501">
                  <c:v>57479</c:v>
                </c:pt>
                <c:pt idx="502">
                  <c:v>57510</c:v>
                </c:pt>
                <c:pt idx="503">
                  <c:v>57542</c:v>
                </c:pt>
                <c:pt idx="504">
                  <c:v>57573</c:v>
                </c:pt>
                <c:pt idx="505">
                  <c:v>57605</c:v>
                </c:pt>
                <c:pt idx="506">
                  <c:v>57635</c:v>
                </c:pt>
                <c:pt idx="507">
                  <c:v>57668</c:v>
                </c:pt>
                <c:pt idx="508">
                  <c:v>57698</c:v>
                </c:pt>
                <c:pt idx="509">
                  <c:v>57731</c:v>
                </c:pt>
                <c:pt idx="510">
                  <c:v>57762</c:v>
                </c:pt>
                <c:pt idx="511">
                  <c:v>57790</c:v>
                </c:pt>
                <c:pt idx="512">
                  <c:v>57822</c:v>
                </c:pt>
                <c:pt idx="513">
                  <c:v>57852</c:v>
                </c:pt>
                <c:pt idx="514">
                  <c:v>57885</c:v>
                </c:pt>
                <c:pt idx="515">
                  <c:v>57915</c:v>
                </c:pt>
                <c:pt idx="516">
                  <c:v>57948</c:v>
                </c:pt>
                <c:pt idx="517">
                  <c:v>57979</c:v>
                </c:pt>
                <c:pt idx="518">
                  <c:v>58011</c:v>
                </c:pt>
                <c:pt idx="519">
                  <c:v>58042</c:v>
                </c:pt>
                <c:pt idx="520">
                  <c:v>58074</c:v>
                </c:pt>
                <c:pt idx="521">
                  <c:v>58105</c:v>
                </c:pt>
                <c:pt idx="522">
                  <c:v>58134</c:v>
                </c:pt>
                <c:pt idx="523">
                  <c:v>58166</c:v>
                </c:pt>
                <c:pt idx="524">
                  <c:v>58197</c:v>
                </c:pt>
                <c:pt idx="525">
                  <c:v>58228</c:v>
                </c:pt>
                <c:pt idx="526">
                  <c:v>58258</c:v>
                </c:pt>
                <c:pt idx="527">
                  <c:v>58291</c:v>
                </c:pt>
                <c:pt idx="528">
                  <c:v>58322</c:v>
                </c:pt>
                <c:pt idx="529">
                  <c:v>58354</c:v>
                </c:pt>
                <c:pt idx="530">
                  <c:v>58385</c:v>
                </c:pt>
                <c:pt idx="531">
                  <c:v>58417</c:v>
                </c:pt>
                <c:pt idx="532">
                  <c:v>58448</c:v>
                </c:pt>
                <c:pt idx="533">
                  <c:v>58480</c:v>
                </c:pt>
                <c:pt idx="534">
                  <c:v>58509</c:v>
                </c:pt>
                <c:pt idx="535">
                  <c:v>58540</c:v>
                </c:pt>
                <c:pt idx="536">
                  <c:v>58571</c:v>
                </c:pt>
                <c:pt idx="537">
                  <c:v>58602</c:v>
                </c:pt>
                <c:pt idx="538">
                  <c:v>58634</c:v>
                </c:pt>
                <c:pt idx="539">
                  <c:v>58665</c:v>
                </c:pt>
                <c:pt idx="540">
                  <c:v>58697</c:v>
                </c:pt>
                <c:pt idx="541">
                  <c:v>58727</c:v>
                </c:pt>
                <c:pt idx="542">
                  <c:v>58760</c:v>
                </c:pt>
                <c:pt idx="543">
                  <c:v>58790</c:v>
                </c:pt>
                <c:pt idx="544">
                  <c:v>58823</c:v>
                </c:pt>
                <c:pt idx="545">
                  <c:v>58854</c:v>
                </c:pt>
                <c:pt idx="546">
                  <c:v>58882</c:v>
                </c:pt>
                <c:pt idx="547">
                  <c:v>58914</c:v>
                </c:pt>
                <c:pt idx="548">
                  <c:v>58944</c:v>
                </c:pt>
                <c:pt idx="549">
                  <c:v>58977</c:v>
                </c:pt>
                <c:pt idx="550">
                  <c:v>59007</c:v>
                </c:pt>
                <c:pt idx="551">
                  <c:v>59040</c:v>
                </c:pt>
                <c:pt idx="552">
                  <c:v>59071</c:v>
                </c:pt>
                <c:pt idx="553">
                  <c:v>59103</c:v>
                </c:pt>
                <c:pt idx="554">
                  <c:v>59134</c:v>
                </c:pt>
                <c:pt idx="555">
                  <c:v>59167</c:v>
                </c:pt>
                <c:pt idx="556">
                  <c:v>59198</c:v>
                </c:pt>
                <c:pt idx="557">
                  <c:v>59229</c:v>
                </c:pt>
                <c:pt idx="558">
                  <c:v>59258</c:v>
                </c:pt>
                <c:pt idx="559">
                  <c:v>59289</c:v>
                </c:pt>
                <c:pt idx="560">
                  <c:v>59320</c:v>
                </c:pt>
                <c:pt idx="561">
                  <c:v>59351</c:v>
                </c:pt>
                <c:pt idx="562">
                  <c:v>59383</c:v>
                </c:pt>
                <c:pt idx="563">
                  <c:v>59414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59540</c:v>
                </c:pt>
                <c:pt idx="568">
                  <c:v>59572</c:v>
                </c:pt>
                <c:pt idx="569">
                  <c:v>59600</c:v>
                </c:pt>
                <c:pt idx="570">
                  <c:v>59631</c:v>
                </c:pt>
                <c:pt idx="571">
                  <c:v>59663</c:v>
                </c:pt>
                <c:pt idx="572">
                  <c:v>59694</c:v>
                </c:pt>
                <c:pt idx="573">
                  <c:v>59726</c:v>
                </c:pt>
                <c:pt idx="574">
                  <c:v>59757</c:v>
                </c:pt>
                <c:pt idx="575">
                  <c:v>59789</c:v>
                </c:pt>
                <c:pt idx="576">
                  <c:v>59819</c:v>
                </c:pt>
                <c:pt idx="577">
                  <c:v>59852</c:v>
                </c:pt>
                <c:pt idx="578">
                  <c:v>59882</c:v>
                </c:pt>
                <c:pt idx="579">
                  <c:v>59915</c:v>
                </c:pt>
              </c:numCache>
            </c:numRef>
          </c:cat>
          <c:val>
            <c:numRef>
              <c:f>'basis 3M'!$P$2:$P$581</c:f>
              <c:numCache>
                <c:formatCode>0.0000%</c:formatCode>
                <c:ptCount val="580"/>
                <c:pt idx="0">
                  <c:v>5.1204465057381218E-4</c:v>
                </c:pt>
                <c:pt idx="1">
                  <c:v>5.010103952770976E-4</c:v>
                </c:pt>
                <c:pt idx="2">
                  <c:v>4.8306097056242654E-4</c:v>
                </c:pt>
                <c:pt idx="3">
                  <c:v>5.3197613612482081E-4</c:v>
                </c:pt>
                <c:pt idx="4">
                  <c:v>5.5068527577439852E-4</c:v>
                </c:pt>
                <c:pt idx="5">
                  <c:v>5.013343786666643E-4</c:v>
                </c:pt>
                <c:pt idx="6">
                  <c:v>3.7520501215364472E-4</c:v>
                </c:pt>
                <c:pt idx="7">
                  <c:v>2.556185164676281E-4</c:v>
                </c:pt>
                <c:pt idx="8">
                  <c:v>2.116780217105201E-4</c:v>
                </c:pt>
                <c:pt idx="9">
                  <c:v>2.0618739458148121E-4</c:v>
                </c:pt>
                <c:pt idx="10">
                  <c:v>1.9320138834071258E-4</c:v>
                </c:pt>
                <c:pt idx="11">
                  <c:v>1.7223458510884842E-4</c:v>
                </c:pt>
                <c:pt idx="12">
                  <c:v>1.7587570496316925E-4</c:v>
                </c:pt>
                <c:pt idx="13">
                  <c:v>2.4253682550587203E-4</c:v>
                </c:pt>
                <c:pt idx="14">
                  <c:v>3.1394368155743621E-4</c:v>
                </c:pt>
                <c:pt idx="15">
                  <c:v>3.8518928024417647E-4</c:v>
                </c:pt>
                <c:pt idx="16">
                  <c:v>4.5856288031384898E-4</c:v>
                </c:pt>
                <c:pt idx="17">
                  <c:v>5.2919092026229E-4</c:v>
                </c:pt>
                <c:pt idx="18">
                  <c:v>6.0485480678820541E-4</c:v>
                </c:pt>
                <c:pt idx="19">
                  <c:v>6.7641791002121215E-4</c:v>
                </c:pt>
                <c:pt idx="20">
                  <c:v>7.5029976640452844E-4</c:v>
                </c:pt>
                <c:pt idx="21">
                  <c:v>9.3989788626243646E-4</c:v>
                </c:pt>
                <c:pt idx="22">
                  <c:v>1.2465819174868188E-3</c:v>
                </c:pt>
                <c:pt idx="23">
                  <c:v>1.5631841877968796E-3</c:v>
                </c:pt>
                <c:pt idx="24">
                  <c:v>1.7017017120812949E-3</c:v>
                </c:pt>
                <c:pt idx="25">
                  <c:v>1.7017057334404221E-3</c:v>
                </c:pt>
                <c:pt idx="26">
                  <c:v>1.7017057334395534E-3</c:v>
                </c:pt>
                <c:pt idx="27">
                  <c:v>1.7017017120821733E-3</c:v>
                </c:pt>
                <c:pt idx="28">
                  <c:v>1.7016976907360259E-3</c:v>
                </c:pt>
                <c:pt idx="29">
                  <c:v>1.7017017120821733E-3</c:v>
                </c:pt>
                <c:pt idx="30">
                  <c:v>1.7017057334404223E-3</c:v>
                </c:pt>
                <c:pt idx="31">
                  <c:v>1.7017017120812951E-3</c:v>
                </c:pt>
                <c:pt idx="32">
                  <c:v>1.7017057334404223E-3</c:v>
                </c:pt>
                <c:pt idx="33">
                  <c:v>2.2458157296280433E-3</c:v>
                </c:pt>
                <c:pt idx="34">
                  <c:v>2.9714133664767188E-3</c:v>
                </c:pt>
                <c:pt idx="35">
                  <c:v>3.6744643100295395E-3</c:v>
                </c:pt>
                <c:pt idx="36">
                  <c:v>3.787851522514775E-3</c:v>
                </c:pt>
                <c:pt idx="37">
                  <c:v>3.7878714437542828E-3</c:v>
                </c:pt>
                <c:pt idx="38">
                  <c:v>3.7878714437534142E-3</c:v>
                </c:pt>
                <c:pt idx="39">
                  <c:v>3.7878316014143816E-3</c:v>
                </c:pt>
                <c:pt idx="40">
                  <c:v>3.7878515225138972E-3</c:v>
                </c:pt>
                <c:pt idx="41">
                  <c:v>3.7878116804541998E-3</c:v>
                </c:pt>
                <c:pt idx="42">
                  <c:v>3.7878714437534142E-3</c:v>
                </c:pt>
                <c:pt idx="43">
                  <c:v>3.7878515225138968E-3</c:v>
                </c:pt>
                <c:pt idx="44">
                  <c:v>3.8191772231717684E-3</c:v>
                </c:pt>
                <c:pt idx="45">
                  <c:v>4.8524083268219409E-3</c:v>
                </c:pt>
                <c:pt idx="46">
                  <c:v>5.7919458442513422E-3</c:v>
                </c:pt>
                <c:pt idx="47">
                  <c:v>6.6690508034010203E-3</c:v>
                </c:pt>
                <c:pt idx="48">
                  <c:v>6.6689890662919981E-3</c:v>
                </c:pt>
                <c:pt idx="49">
                  <c:v>6.6690508034018894E-3</c:v>
                </c:pt>
                <c:pt idx="50">
                  <c:v>6.6690508034018886E-3</c:v>
                </c:pt>
                <c:pt idx="51">
                  <c:v>6.6689890662919972E-3</c:v>
                </c:pt>
                <c:pt idx="52">
                  <c:v>6.6689273299447285E-3</c:v>
                </c:pt>
                <c:pt idx="53">
                  <c:v>6.6689890662919972E-3</c:v>
                </c:pt>
                <c:pt idx="54">
                  <c:v>6.6690508034010212E-3</c:v>
                </c:pt>
                <c:pt idx="55">
                  <c:v>6.6689890662919972E-3</c:v>
                </c:pt>
                <c:pt idx="56">
                  <c:v>7.1756325189664197E-3</c:v>
                </c:pt>
                <c:pt idx="57">
                  <c:v>8.4846049993084326E-3</c:v>
                </c:pt>
                <c:pt idx="58">
                  <c:v>9.8362608456442867E-3</c:v>
                </c:pt>
                <c:pt idx="59">
                  <c:v>1.0554517496283614E-2</c:v>
                </c:pt>
                <c:pt idx="60">
                  <c:v>1.0554362917490522E-2</c:v>
                </c:pt>
                <c:pt idx="61">
                  <c:v>1.0554517496283614E-2</c:v>
                </c:pt>
                <c:pt idx="62">
                  <c:v>1.0554362917490522E-2</c:v>
                </c:pt>
                <c:pt idx="63">
                  <c:v>1.0554362917489644E-2</c:v>
                </c:pt>
                <c:pt idx="64">
                  <c:v>1.0554362917490522E-2</c:v>
                </c:pt>
                <c:pt idx="65">
                  <c:v>1.0554517496284483E-2</c:v>
                </c:pt>
                <c:pt idx="66">
                  <c:v>1.0554362917490524E-2</c:v>
                </c:pt>
                <c:pt idx="67">
                  <c:v>1.0554517496283614E-2</c:v>
                </c:pt>
                <c:pt idx="68">
                  <c:v>1.1259500971200065E-2</c:v>
                </c:pt>
                <c:pt idx="69">
                  <c:v>1.2513117706319654E-2</c:v>
                </c:pt>
                <c:pt idx="70">
                  <c:v>1.3727940808108324E-2</c:v>
                </c:pt>
                <c:pt idx="71">
                  <c:v>1.415881932614084E-2</c:v>
                </c:pt>
                <c:pt idx="72">
                  <c:v>1.415909743176243E-2</c:v>
                </c:pt>
                <c:pt idx="73">
                  <c:v>1.415909743176243E-2</c:v>
                </c:pt>
                <c:pt idx="74">
                  <c:v>1.415854122780047E-2</c:v>
                </c:pt>
                <c:pt idx="75">
                  <c:v>1.4158819326141719E-2</c:v>
                </c:pt>
                <c:pt idx="76">
                  <c:v>1.4158263136741555E-2</c:v>
                </c:pt>
                <c:pt idx="77">
                  <c:v>1.415909743176243E-2</c:v>
                </c:pt>
                <c:pt idx="78">
                  <c:v>1.415881932614084E-2</c:v>
                </c:pt>
                <c:pt idx="79">
                  <c:v>1.4159097431762432E-2</c:v>
                </c:pt>
                <c:pt idx="80">
                  <c:v>1.5184548801882171E-2</c:v>
                </c:pt>
                <c:pt idx="81">
                  <c:v>1.6245642334504182E-2</c:v>
                </c:pt>
                <c:pt idx="82">
                  <c:v>1.7413176272634882E-2</c:v>
                </c:pt>
                <c:pt idx="83">
                  <c:v>1.7412755765612797E-2</c:v>
                </c:pt>
                <c:pt idx="84">
                  <c:v>1.7413176272634882E-2</c:v>
                </c:pt>
                <c:pt idx="85">
                  <c:v>1.7413176272634882E-2</c:v>
                </c:pt>
                <c:pt idx="86">
                  <c:v>1.7412755765613675E-2</c:v>
                </c:pt>
                <c:pt idx="87">
                  <c:v>1.7412335272126711E-2</c:v>
                </c:pt>
                <c:pt idx="88">
                  <c:v>1.7412755765613679E-2</c:v>
                </c:pt>
                <c:pt idx="89">
                  <c:v>1.7413176272634886E-2</c:v>
                </c:pt>
                <c:pt idx="90">
                  <c:v>1.7412755765613675E-2</c:v>
                </c:pt>
                <c:pt idx="91">
                  <c:v>1.7608316586555688E-2</c:v>
                </c:pt>
                <c:pt idx="92">
                  <c:v>1.8364576817089348E-2</c:v>
                </c:pt>
                <c:pt idx="93">
                  <c:v>1.914538516052804E-2</c:v>
                </c:pt>
                <c:pt idx="94">
                  <c:v>1.9657874910393485E-2</c:v>
                </c:pt>
                <c:pt idx="95">
                  <c:v>1.9657874910393485E-2</c:v>
                </c:pt>
                <c:pt idx="96">
                  <c:v>1.9657874910393485E-2</c:v>
                </c:pt>
                <c:pt idx="97">
                  <c:v>1.9657874910393485E-2</c:v>
                </c:pt>
                <c:pt idx="98">
                  <c:v>1.9656803319980654E-2</c:v>
                </c:pt>
                <c:pt idx="99">
                  <c:v>1.9655731807420258E-2</c:v>
                </c:pt>
                <c:pt idx="100">
                  <c:v>1.9656803319980654E-2</c:v>
                </c:pt>
                <c:pt idx="101">
                  <c:v>1.9657874910393489E-2</c:v>
                </c:pt>
                <c:pt idx="102">
                  <c:v>1.9657339105455054E-2</c:v>
                </c:pt>
                <c:pt idx="103">
                  <c:v>1.9929804097025175E-2</c:v>
                </c:pt>
                <c:pt idx="104">
                  <c:v>2.0531999924895596E-2</c:v>
                </c:pt>
                <c:pt idx="105">
                  <c:v>2.1153718139300334E-2</c:v>
                </c:pt>
                <c:pt idx="106">
                  <c:v>2.1444544810073164E-2</c:v>
                </c:pt>
                <c:pt idx="107">
                  <c:v>2.1445182377995833E-2</c:v>
                </c:pt>
                <c:pt idx="108">
                  <c:v>2.1445182377995833E-2</c:v>
                </c:pt>
                <c:pt idx="109">
                  <c:v>2.1444544810073157E-2</c:v>
                </c:pt>
                <c:pt idx="110">
                  <c:v>2.1444544810073161E-2</c:v>
                </c:pt>
                <c:pt idx="111">
                  <c:v>2.1444544810073161E-2</c:v>
                </c:pt>
                <c:pt idx="112">
                  <c:v>2.1445182377995829E-2</c:v>
                </c:pt>
                <c:pt idx="113">
                  <c:v>2.1444544810073161E-2</c:v>
                </c:pt>
                <c:pt idx="114">
                  <c:v>2.1445182377995829E-2</c:v>
                </c:pt>
                <c:pt idx="115">
                  <c:v>2.1783521961816817E-2</c:v>
                </c:pt>
                <c:pt idx="116">
                  <c:v>2.2275704204290057E-2</c:v>
                </c:pt>
                <c:pt idx="117">
                  <c:v>2.2752564459778912E-2</c:v>
                </c:pt>
                <c:pt idx="118">
                  <c:v>2.2859526182500117E-2</c:v>
                </c:pt>
                <c:pt idx="119">
                  <c:v>2.2860250578798199E-2</c:v>
                </c:pt>
                <c:pt idx="120">
                  <c:v>2.2860250578799073E-2</c:v>
                </c:pt>
                <c:pt idx="121">
                  <c:v>2.2858801816791896E-2</c:v>
                </c:pt>
                <c:pt idx="122">
                  <c:v>2.2859526182500121E-2</c:v>
                </c:pt>
                <c:pt idx="123">
                  <c:v>2.285807748167357E-2</c:v>
                </c:pt>
                <c:pt idx="124">
                  <c:v>2.2860250578799066E-2</c:v>
                </c:pt>
                <c:pt idx="125">
                  <c:v>2.2859526182500121E-2</c:v>
                </c:pt>
                <c:pt idx="126">
                  <c:v>2.2860250578799073E-2</c:v>
                </c:pt>
                <c:pt idx="127">
                  <c:v>2.3232185133807599E-2</c:v>
                </c:pt>
                <c:pt idx="128">
                  <c:v>2.358090569970514E-2</c:v>
                </c:pt>
                <c:pt idx="129">
                  <c:v>2.3929657159279864E-2</c:v>
                </c:pt>
                <c:pt idx="130">
                  <c:v>2.3928863475749042E-2</c:v>
                </c:pt>
                <c:pt idx="131">
                  <c:v>2.3929657159279864E-2</c:v>
                </c:pt>
                <c:pt idx="132">
                  <c:v>2.3929657159279867E-2</c:v>
                </c:pt>
                <c:pt idx="133">
                  <c:v>2.3928863475749046E-2</c:v>
                </c:pt>
                <c:pt idx="134">
                  <c:v>2.3928069827299225E-2</c:v>
                </c:pt>
                <c:pt idx="135">
                  <c:v>2.3928863475749042E-2</c:v>
                </c:pt>
                <c:pt idx="136">
                  <c:v>2.3929657159279867E-2</c:v>
                </c:pt>
                <c:pt idx="137">
                  <c:v>2.3928863475749042E-2</c:v>
                </c:pt>
                <c:pt idx="138">
                  <c:v>2.4011328316282391E-2</c:v>
                </c:pt>
                <c:pt idx="139">
                  <c:v>2.4327820052610485E-2</c:v>
                </c:pt>
                <c:pt idx="140">
                  <c:v>2.4654547886239657E-2</c:v>
                </c:pt>
                <c:pt idx="141">
                  <c:v>2.4868977761272355E-2</c:v>
                </c:pt>
                <c:pt idx="142">
                  <c:v>2.4868120614288707E-2</c:v>
                </c:pt>
                <c:pt idx="143">
                  <c:v>2.4868977761272348E-2</c:v>
                </c:pt>
                <c:pt idx="144">
                  <c:v>2.4865549409547431E-2</c:v>
                </c:pt>
                <c:pt idx="145">
                  <c:v>2.4867263506675563E-2</c:v>
                </c:pt>
                <c:pt idx="146">
                  <c:v>2.4868120614289585E-2</c:v>
                </c:pt>
                <c:pt idx="147">
                  <c:v>2.4868977761272348E-2</c:v>
                </c:pt>
                <c:pt idx="148">
                  <c:v>2.4868120614289582E-2</c:v>
                </c:pt>
                <c:pt idx="149">
                  <c:v>2.4868977761272351E-2</c:v>
                </c:pt>
                <c:pt idx="150">
                  <c:v>2.4868977761272355E-2</c:v>
                </c:pt>
                <c:pt idx="151">
                  <c:v>2.4868977761272351E-2</c:v>
                </c:pt>
                <c:pt idx="152">
                  <c:v>2.4868977761273222E-2</c:v>
                </c:pt>
                <c:pt idx="153">
                  <c:v>2.4868120614289585E-2</c:v>
                </c:pt>
                <c:pt idx="154">
                  <c:v>2.4868977761272351E-2</c:v>
                </c:pt>
                <c:pt idx="155">
                  <c:v>2.4868977761272351E-2</c:v>
                </c:pt>
                <c:pt idx="156">
                  <c:v>2.4868120614289585E-2</c:v>
                </c:pt>
                <c:pt idx="157">
                  <c:v>2.4868120614289582E-2</c:v>
                </c:pt>
                <c:pt idx="158">
                  <c:v>2.4867263506675563E-2</c:v>
                </c:pt>
                <c:pt idx="159">
                  <c:v>2.4870692173355989E-2</c:v>
                </c:pt>
                <c:pt idx="160">
                  <c:v>2.4868120614289588E-2</c:v>
                </c:pt>
                <c:pt idx="161">
                  <c:v>2.4868977761272348E-2</c:v>
                </c:pt>
                <c:pt idx="162">
                  <c:v>2.4868977761273219E-2</c:v>
                </c:pt>
                <c:pt idx="163">
                  <c:v>2.4868977761272351E-2</c:v>
                </c:pt>
                <c:pt idx="164">
                  <c:v>2.4868977761273222E-2</c:v>
                </c:pt>
                <c:pt idx="165">
                  <c:v>2.4868120614288707E-2</c:v>
                </c:pt>
                <c:pt idx="166">
                  <c:v>2.4868977761273222E-2</c:v>
                </c:pt>
                <c:pt idx="167">
                  <c:v>2.4868977761273222E-2</c:v>
                </c:pt>
                <c:pt idx="168">
                  <c:v>2.4868120614288704E-2</c:v>
                </c:pt>
                <c:pt idx="169">
                  <c:v>2.4867263506675563E-2</c:v>
                </c:pt>
                <c:pt idx="170">
                  <c:v>2.4868120614288711E-2</c:v>
                </c:pt>
                <c:pt idx="171">
                  <c:v>2.4868977761272351E-2</c:v>
                </c:pt>
                <c:pt idx="172">
                  <c:v>2.4868120614289585E-2</c:v>
                </c:pt>
                <c:pt idx="173">
                  <c:v>2.4805826102281478E-2</c:v>
                </c:pt>
                <c:pt idx="174">
                  <c:v>2.4479558664180966E-2</c:v>
                </c:pt>
                <c:pt idx="175">
                  <c:v>2.4142794824717581E-2</c:v>
                </c:pt>
                <c:pt idx="176">
                  <c:v>2.390076360575533E-2</c:v>
                </c:pt>
                <c:pt idx="177">
                  <c:v>2.3899971835749944E-2</c:v>
                </c:pt>
                <c:pt idx="178">
                  <c:v>2.3900763605754462E-2</c:v>
                </c:pt>
                <c:pt idx="179">
                  <c:v>2.3900763605754455E-2</c:v>
                </c:pt>
                <c:pt idx="180">
                  <c:v>2.3899180100700693E-2</c:v>
                </c:pt>
                <c:pt idx="181">
                  <c:v>2.3899971835750825E-2</c:v>
                </c:pt>
                <c:pt idx="182">
                  <c:v>2.3898388400602988E-2</c:v>
                </c:pt>
                <c:pt idx="183">
                  <c:v>2.3900763605754455E-2</c:v>
                </c:pt>
                <c:pt idx="184">
                  <c:v>2.3899971835750818E-2</c:v>
                </c:pt>
                <c:pt idx="185">
                  <c:v>2.3900763605754459E-2</c:v>
                </c:pt>
                <c:pt idx="186">
                  <c:v>2.3900763605754459E-2</c:v>
                </c:pt>
                <c:pt idx="187">
                  <c:v>2.3900763605754455E-2</c:v>
                </c:pt>
                <c:pt idx="188">
                  <c:v>2.3899971835750822E-2</c:v>
                </c:pt>
                <c:pt idx="189">
                  <c:v>2.3900763605754459E-2</c:v>
                </c:pt>
                <c:pt idx="190">
                  <c:v>2.3900763605755326E-2</c:v>
                </c:pt>
                <c:pt idx="191">
                  <c:v>2.389918010070069E-2</c:v>
                </c:pt>
                <c:pt idx="192">
                  <c:v>2.3899971835749944E-2</c:v>
                </c:pt>
                <c:pt idx="193">
                  <c:v>2.3898388400602988E-2</c:v>
                </c:pt>
                <c:pt idx="194">
                  <c:v>2.3900763605754459E-2</c:v>
                </c:pt>
                <c:pt idx="195">
                  <c:v>2.3899971835750822E-2</c:v>
                </c:pt>
                <c:pt idx="196">
                  <c:v>2.3900763605754455E-2</c:v>
                </c:pt>
                <c:pt idx="197">
                  <c:v>2.3900763605754466E-2</c:v>
                </c:pt>
                <c:pt idx="198">
                  <c:v>2.3900763605755326E-2</c:v>
                </c:pt>
                <c:pt idx="199">
                  <c:v>2.3900763605755333E-2</c:v>
                </c:pt>
                <c:pt idx="200">
                  <c:v>2.3899971835750825E-2</c:v>
                </c:pt>
                <c:pt idx="201">
                  <c:v>2.3900763605754455E-2</c:v>
                </c:pt>
                <c:pt idx="202">
                  <c:v>2.3900763605755326E-2</c:v>
                </c:pt>
                <c:pt idx="203">
                  <c:v>2.3899971835750818E-2</c:v>
                </c:pt>
                <c:pt idx="204">
                  <c:v>2.389997183574994E-2</c:v>
                </c:pt>
                <c:pt idx="205">
                  <c:v>2.3899971835750822E-2</c:v>
                </c:pt>
                <c:pt idx="206">
                  <c:v>2.3900763605754455E-2</c:v>
                </c:pt>
                <c:pt idx="207">
                  <c:v>2.3899971835749944E-2</c:v>
                </c:pt>
                <c:pt idx="208">
                  <c:v>2.3900763605754459E-2</c:v>
                </c:pt>
                <c:pt idx="209">
                  <c:v>2.3900763605754455E-2</c:v>
                </c:pt>
                <c:pt idx="210">
                  <c:v>2.3900763605754459E-2</c:v>
                </c:pt>
                <c:pt idx="211">
                  <c:v>2.390076360575533E-2</c:v>
                </c:pt>
                <c:pt idx="212">
                  <c:v>2.3899971835750822E-2</c:v>
                </c:pt>
                <c:pt idx="213">
                  <c:v>2.3900763605755326E-2</c:v>
                </c:pt>
                <c:pt idx="214">
                  <c:v>2.3900763605754459E-2</c:v>
                </c:pt>
                <c:pt idx="215">
                  <c:v>2.3899180100700683E-2</c:v>
                </c:pt>
                <c:pt idx="216">
                  <c:v>2.3899971835750822E-2</c:v>
                </c:pt>
                <c:pt idx="217">
                  <c:v>2.3898388400602984E-2</c:v>
                </c:pt>
                <c:pt idx="218">
                  <c:v>2.3900763605754459E-2</c:v>
                </c:pt>
                <c:pt idx="219">
                  <c:v>2.3899971835750822E-2</c:v>
                </c:pt>
                <c:pt idx="220">
                  <c:v>2.3900763605754459E-2</c:v>
                </c:pt>
                <c:pt idx="221">
                  <c:v>2.3900763605754455E-2</c:v>
                </c:pt>
                <c:pt idx="222">
                  <c:v>2.390076360575533E-2</c:v>
                </c:pt>
                <c:pt idx="223">
                  <c:v>2.3900763605754459E-2</c:v>
                </c:pt>
                <c:pt idx="224">
                  <c:v>2.3899971835749944E-2</c:v>
                </c:pt>
                <c:pt idx="225">
                  <c:v>2.3900763605755333E-2</c:v>
                </c:pt>
                <c:pt idx="226">
                  <c:v>2.3899180100700686E-2</c:v>
                </c:pt>
                <c:pt idx="227">
                  <c:v>2.389918010070069E-2</c:v>
                </c:pt>
                <c:pt idx="228">
                  <c:v>2.3897596735456602E-2</c:v>
                </c:pt>
                <c:pt idx="229">
                  <c:v>2.3899180100699798E-2</c:v>
                </c:pt>
                <c:pt idx="230">
                  <c:v>2.3900763605755333E-2</c:v>
                </c:pt>
                <c:pt idx="231">
                  <c:v>2.3899971835750825E-2</c:v>
                </c:pt>
                <c:pt idx="232">
                  <c:v>2.3564930185036605E-2</c:v>
                </c:pt>
                <c:pt idx="233">
                  <c:v>2.2821400983169007E-2</c:v>
                </c:pt>
                <c:pt idx="234">
                  <c:v>2.2054034270834143E-2</c:v>
                </c:pt>
                <c:pt idx="235">
                  <c:v>2.1693730170726507E-2</c:v>
                </c:pt>
                <c:pt idx="236">
                  <c:v>2.1694382628300566E-2</c:v>
                </c:pt>
                <c:pt idx="237">
                  <c:v>2.1694382628299699E-2</c:v>
                </c:pt>
                <c:pt idx="238">
                  <c:v>2.1693730170726514E-2</c:v>
                </c:pt>
                <c:pt idx="239">
                  <c:v>2.1693077739304734E-2</c:v>
                </c:pt>
                <c:pt idx="240">
                  <c:v>2.1693730170726514E-2</c:v>
                </c:pt>
                <c:pt idx="241">
                  <c:v>2.1694382628300566E-2</c:v>
                </c:pt>
                <c:pt idx="242">
                  <c:v>2.1693730170726514E-2</c:v>
                </c:pt>
                <c:pt idx="243">
                  <c:v>2.1694382628300573E-2</c:v>
                </c:pt>
                <c:pt idx="244">
                  <c:v>2.1694382628300569E-2</c:v>
                </c:pt>
                <c:pt idx="245">
                  <c:v>2.1694382628300569E-2</c:v>
                </c:pt>
                <c:pt idx="246">
                  <c:v>2.1694382628300569E-2</c:v>
                </c:pt>
                <c:pt idx="247">
                  <c:v>2.1693730170726514E-2</c:v>
                </c:pt>
                <c:pt idx="248">
                  <c:v>2.1694382628299699E-2</c:v>
                </c:pt>
                <c:pt idx="249">
                  <c:v>2.1694382628300569E-2</c:v>
                </c:pt>
                <c:pt idx="250">
                  <c:v>2.1693730170726511E-2</c:v>
                </c:pt>
                <c:pt idx="251">
                  <c:v>2.1694382628299699E-2</c:v>
                </c:pt>
                <c:pt idx="252">
                  <c:v>2.1693077739304734E-2</c:v>
                </c:pt>
                <c:pt idx="253">
                  <c:v>2.1695687621905529E-2</c:v>
                </c:pt>
                <c:pt idx="254">
                  <c:v>2.1693730170726511E-2</c:v>
                </c:pt>
                <c:pt idx="255">
                  <c:v>2.1694382628299699E-2</c:v>
                </c:pt>
                <c:pt idx="256">
                  <c:v>2.1694382628300569E-2</c:v>
                </c:pt>
                <c:pt idx="257">
                  <c:v>2.1694382628300566E-2</c:v>
                </c:pt>
                <c:pt idx="258">
                  <c:v>2.1694382628299699E-2</c:v>
                </c:pt>
                <c:pt idx="259">
                  <c:v>2.1693730170727392E-2</c:v>
                </c:pt>
                <c:pt idx="260">
                  <c:v>2.1694382628300569E-2</c:v>
                </c:pt>
                <c:pt idx="261">
                  <c:v>2.1694382628300569E-2</c:v>
                </c:pt>
                <c:pt idx="262">
                  <c:v>2.1693730170727392E-2</c:v>
                </c:pt>
                <c:pt idx="263">
                  <c:v>2.1693077739304734E-2</c:v>
                </c:pt>
                <c:pt idx="264">
                  <c:v>2.1693730170727388E-2</c:v>
                </c:pt>
                <c:pt idx="265">
                  <c:v>2.1694382628300569E-2</c:v>
                </c:pt>
                <c:pt idx="266">
                  <c:v>2.1693730170726511E-2</c:v>
                </c:pt>
                <c:pt idx="267">
                  <c:v>2.1694382628299699E-2</c:v>
                </c:pt>
                <c:pt idx="268">
                  <c:v>2.1694382628300569E-2</c:v>
                </c:pt>
                <c:pt idx="269">
                  <c:v>2.1694382628299699E-2</c:v>
                </c:pt>
                <c:pt idx="270">
                  <c:v>2.1694382628300569E-2</c:v>
                </c:pt>
                <c:pt idx="271">
                  <c:v>2.1693730170726514E-2</c:v>
                </c:pt>
                <c:pt idx="272">
                  <c:v>2.1694382628300569E-2</c:v>
                </c:pt>
                <c:pt idx="273">
                  <c:v>2.1691772954909819E-2</c:v>
                </c:pt>
                <c:pt idx="274">
                  <c:v>2.1693077739304734E-2</c:v>
                </c:pt>
                <c:pt idx="275">
                  <c:v>2.1693730170726511E-2</c:v>
                </c:pt>
                <c:pt idx="276">
                  <c:v>2.1694382628300573E-2</c:v>
                </c:pt>
                <c:pt idx="277">
                  <c:v>2.1693730170726504E-2</c:v>
                </c:pt>
                <c:pt idx="278">
                  <c:v>2.1694382628299699E-2</c:v>
                </c:pt>
                <c:pt idx="279">
                  <c:v>2.1694382628300563E-2</c:v>
                </c:pt>
                <c:pt idx="280">
                  <c:v>2.1694382628299695E-2</c:v>
                </c:pt>
                <c:pt idx="281">
                  <c:v>2.1694382628299699E-2</c:v>
                </c:pt>
                <c:pt idx="282">
                  <c:v>2.1693730170726511E-2</c:v>
                </c:pt>
                <c:pt idx="283">
                  <c:v>2.1694382628300569E-2</c:v>
                </c:pt>
                <c:pt idx="284">
                  <c:v>2.1694382628299699E-2</c:v>
                </c:pt>
                <c:pt idx="285">
                  <c:v>2.1693077739304737E-2</c:v>
                </c:pt>
                <c:pt idx="286">
                  <c:v>2.1694382628300566E-2</c:v>
                </c:pt>
                <c:pt idx="287">
                  <c:v>2.1692425334032085E-2</c:v>
                </c:pt>
                <c:pt idx="288">
                  <c:v>2.1694382628299695E-2</c:v>
                </c:pt>
                <c:pt idx="289">
                  <c:v>2.1693730170726511E-2</c:v>
                </c:pt>
                <c:pt idx="290">
                  <c:v>2.1694382628300566E-2</c:v>
                </c:pt>
                <c:pt idx="291">
                  <c:v>2.1189811867077347E-2</c:v>
                </c:pt>
                <c:pt idx="292">
                  <c:v>2.0667910202780596E-2</c:v>
                </c:pt>
                <c:pt idx="293">
                  <c:v>2.0093898336570319E-2</c:v>
                </c:pt>
                <c:pt idx="294">
                  <c:v>2.0093338520027888E-2</c:v>
                </c:pt>
                <c:pt idx="295">
                  <c:v>2.0093898336569445E-2</c:v>
                </c:pt>
                <c:pt idx="296">
                  <c:v>2.0093898336570316E-2</c:v>
                </c:pt>
                <c:pt idx="297">
                  <c:v>2.0093338520027006E-2</c:v>
                </c:pt>
                <c:pt idx="298">
                  <c:v>2.0093338520027006E-2</c:v>
                </c:pt>
                <c:pt idx="299">
                  <c:v>2.0093338520027003E-2</c:v>
                </c:pt>
                <c:pt idx="300">
                  <c:v>2.0093898336570316E-2</c:v>
                </c:pt>
                <c:pt idx="301">
                  <c:v>2.0093338520027006E-2</c:v>
                </c:pt>
                <c:pt idx="302">
                  <c:v>2.0093898336570316E-2</c:v>
                </c:pt>
                <c:pt idx="303">
                  <c:v>2.0093898336570316E-2</c:v>
                </c:pt>
                <c:pt idx="304">
                  <c:v>2.0093898336570316E-2</c:v>
                </c:pt>
                <c:pt idx="305">
                  <c:v>2.0093898336570316E-2</c:v>
                </c:pt>
                <c:pt idx="306">
                  <c:v>2.0093338520027006E-2</c:v>
                </c:pt>
                <c:pt idx="307">
                  <c:v>2.0093898336570316E-2</c:v>
                </c:pt>
                <c:pt idx="308">
                  <c:v>2.0093898336569448E-2</c:v>
                </c:pt>
                <c:pt idx="309">
                  <c:v>2.0092778724270843E-2</c:v>
                </c:pt>
                <c:pt idx="310">
                  <c:v>2.0093338520027006E-2</c:v>
                </c:pt>
                <c:pt idx="311">
                  <c:v>2.0092218949299256E-2</c:v>
                </c:pt>
                <c:pt idx="312">
                  <c:v>2.0093898336569448E-2</c:v>
                </c:pt>
                <c:pt idx="313">
                  <c:v>2.0093338520027006E-2</c:v>
                </c:pt>
                <c:pt idx="314">
                  <c:v>2.009389833657119E-2</c:v>
                </c:pt>
                <c:pt idx="315">
                  <c:v>2.0093898336569445E-2</c:v>
                </c:pt>
                <c:pt idx="316">
                  <c:v>2.0093898336570316E-2</c:v>
                </c:pt>
                <c:pt idx="317">
                  <c:v>2.0093338520026132E-2</c:v>
                </c:pt>
                <c:pt idx="318">
                  <c:v>2.0093898336569448E-2</c:v>
                </c:pt>
                <c:pt idx="319">
                  <c:v>2.0093898336570319E-2</c:v>
                </c:pt>
                <c:pt idx="320">
                  <c:v>2.0092778724269955E-2</c:v>
                </c:pt>
                <c:pt idx="321">
                  <c:v>2.0093898336569445E-2</c:v>
                </c:pt>
                <c:pt idx="322">
                  <c:v>2.0092218949299259E-2</c:v>
                </c:pt>
                <c:pt idx="323">
                  <c:v>2.0093898336570316E-2</c:v>
                </c:pt>
                <c:pt idx="324">
                  <c:v>2.0093338520027006E-2</c:v>
                </c:pt>
                <c:pt idx="325">
                  <c:v>2.0093898336570316E-2</c:v>
                </c:pt>
                <c:pt idx="326">
                  <c:v>2.0093898336569448E-2</c:v>
                </c:pt>
                <c:pt idx="327">
                  <c:v>2.0093898336570319E-2</c:v>
                </c:pt>
                <c:pt idx="328">
                  <c:v>2.0093898336570316E-2</c:v>
                </c:pt>
                <c:pt idx="329">
                  <c:v>2.0093338520027006E-2</c:v>
                </c:pt>
                <c:pt idx="330">
                  <c:v>2.0093898336569448E-2</c:v>
                </c:pt>
                <c:pt idx="331">
                  <c:v>2.0093898336569445E-2</c:v>
                </c:pt>
                <c:pt idx="332">
                  <c:v>2.0093338520027006E-2</c:v>
                </c:pt>
                <c:pt idx="333">
                  <c:v>2.0092778724270843E-2</c:v>
                </c:pt>
                <c:pt idx="334">
                  <c:v>2.009333852002701E-2</c:v>
                </c:pt>
                <c:pt idx="335">
                  <c:v>2.0093898336570316E-2</c:v>
                </c:pt>
                <c:pt idx="336">
                  <c:v>2.0093338520027006E-2</c:v>
                </c:pt>
                <c:pt idx="337">
                  <c:v>2.0093898336570319E-2</c:v>
                </c:pt>
                <c:pt idx="338">
                  <c:v>2.0093898336570316E-2</c:v>
                </c:pt>
                <c:pt idx="339">
                  <c:v>2.0093898336570316E-2</c:v>
                </c:pt>
                <c:pt idx="340">
                  <c:v>2.0093898336570316E-2</c:v>
                </c:pt>
                <c:pt idx="341">
                  <c:v>2.0093338520027006E-2</c:v>
                </c:pt>
                <c:pt idx="342">
                  <c:v>2.0093898336569448E-2</c:v>
                </c:pt>
                <c:pt idx="343">
                  <c:v>2.0093898336571183E-2</c:v>
                </c:pt>
                <c:pt idx="344">
                  <c:v>2.0093338520027003E-2</c:v>
                </c:pt>
                <c:pt idx="345">
                  <c:v>2.009333852002701E-2</c:v>
                </c:pt>
                <c:pt idx="346">
                  <c:v>2.0092778724270843E-2</c:v>
                </c:pt>
                <c:pt idx="347">
                  <c:v>2.0095018032019588E-2</c:v>
                </c:pt>
                <c:pt idx="348">
                  <c:v>2.0093338520027006E-2</c:v>
                </c:pt>
                <c:pt idx="349">
                  <c:v>2.0195200066178556E-2</c:v>
                </c:pt>
                <c:pt idx="350">
                  <c:v>2.0529514285984377E-2</c:v>
                </c:pt>
                <c:pt idx="351">
                  <c:v>2.0833460962237375E-2</c:v>
                </c:pt>
                <c:pt idx="352">
                  <c:v>2.1025972671188834E-2</c:v>
                </c:pt>
                <c:pt idx="353">
                  <c:v>2.1025359763904319E-2</c:v>
                </c:pt>
                <c:pt idx="354">
                  <c:v>2.1025972671189705E-2</c:v>
                </c:pt>
                <c:pt idx="355">
                  <c:v>2.1024746880431877E-2</c:v>
                </c:pt>
                <c:pt idx="356">
                  <c:v>2.1024746880430989E-2</c:v>
                </c:pt>
                <c:pt idx="357">
                  <c:v>2.1023521184914736E-2</c:v>
                </c:pt>
                <c:pt idx="358">
                  <c:v>2.1024746880431877E-2</c:v>
                </c:pt>
                <c:pt idx="359">
                  <c:v>2.1025972671188834E-2</c:v>
                </c:pt>
                <c:pt idx="360">
                  <c:v>2.1025359763905196E-2</c:v>
                </c:pt>
                <c:pt idx="361">
                  <c:v>2.1025972671187967E-2</c:v>
                </c:pt>
                <c:pt idx="362">
                  <c:v>2.1025972671187963E-2</c:v>
                </c:pt>
                <c:pt idx="363">
                  <c:v>2.1025972671187963E-2</c:v>
                </c:pt>
                <c:pt idx="364">
                  <c:v>2.1025359763904319E-2</c:v>
                </c:pt>
                <c:pt idx="365">
                  <c:v>2.1025972671188834E-2</c:v>
                </c:pt>
                <c:pt idx="366">
                  <c:v>2.1025972671187967E-2</c:v>
                </c:pt>
                <c:pt idx="367">
                  <c:v>2.1025359763905196E-2</c:v>
                </c:pt>
                <c:pt idx="368">
                  <c:v>2.1024746880432765E-2</c:v>
                </c:pt>
                <c:pt idx="369">
                  <c:v>2.1025359763904319E-2</c:v>
                </c:pt>
                <c:pt idx="370">
                  <c:v>2.1025972671187967E-2</c:v>
                </c:pt>
                <c:pt idx="371">
                  <c:v>2.1025359763904319E-2</c:v>
                </c:pt>
                <c:pt idx="372">
                  <c:v>2.1025972671187967E-2</c:v>
                </c:pt>
                <c:pt idx="373">
                  <c:v>2.1025972671187967E-2</c:v>
                </c:pt>
                <c:pt idx="374">
                  <c:v>2.1025972671188834E-2</c:v>
                </c:pt>
                <c:pt idx="375">
                  <c:v>2.1025972671189701E-2</c:v>
                </c:pt>
                <c:pt idx="376">
                  <c:v>2.1025359763905196E-2</c:v>
                </c:pt>
                <c:pt idx="377">
                  <c:v>2.1025972671188834E-2</c:v>
                </c:pt>
                <c:pt idx="378">
                  <c:v>2.1025972671189705E-2</c:v>
                </c:pt>
                <c:pt idx="379">
                  <c:v>2.1024746880431877E-2</c:v>
                </c:pt>
                <c:pt idx="380">
                  <c:v>2.1025972671187967E-2</c:v>
                </c:pt>
                <c:pt idx="381">
                  <c:v>2.1024134020768515E-2</c:v>
                </c:pt>
                <c:pt idx="382">
                  <c:v>2.1025972671187963E-2</c:v>
                </c:pt>
                <c:pt idx="383">
                  <c:v>2.1025359763904319E-2</c:v>
                </c:pt>
                <c:pt idx="384">
                  <c:v>2.1025972671188838E-2</c:v>
                </c:pt>
                <c:pt idx="385">
                  <c:v>2.1025972671187963E-2</c:v>
                </c:pt>
                <c:pt idx="386">
                  <c:v>2.1025972671188834E-2</c:v>
                </c:pt>
                <c:pt idx="387">
                  <c:v>2.1025972671187967E-2</c:v>
                </c:pt>
                <c:pt idx="388">
                  <c:v>2.1025359763904322E-2</c:v>
                </c:pt>
                <c:pt idx="389">
                  <c:v>2.1025972671187967E-2</c:v>
                </c:pt>
                <c:pt idx="390">
                  <c:v>2.1025972671188834E-2</c:v>
                </c:pt>
                <c:pt idx="391">
                  <c:v>2.1025359763903441E-2</c:v>
                </c:pt>
                <c:pt idx="392">
                  <c:v>2.10253597639052E-2</c:v>
                </c:pt>
                <c:pt idx="393">
                  <c:v>2.10253597639052E-2</c:v>
                </c:pt>
                <c:pt idx="394">
                  <c:v>2.1025972671188834E-2</c:v>
                </c:pt>
                <c:pt idx="395">
                  <c:v>2.1025359763903437E-2</c:v>
                </c:pt>
                <c:pt idx="396">
                  <c:v>2.1025972671188838E-2</c:v>
                </c:pt>
                <c:pt idx="397">
                  <c:v>2.1025972671187963E-2</c:v>
                </c:pt>
                <c:pt idx="398">
                  <c:v>2.1025972671188838E-2</c:v>
                </c:pt>
                <c:pt idx="399">
                  <c:v>2.1025972671188838E-2</c:v>
                </c:pt>
                <c:pt idx="400">
                  <c:v>2.1025359763904319E-2</c:v>
                </c:pt>
                <c:pt idx="401">
                  <c:v>2.1025972671187963E-2</c:v>
                </c:pt>
                <c:pt idx="402">
                  <c:v>2.1023521184914736E-2</c:v>
                </c:pt>
                <c:pt idx="403">
                  <c:v>2.1024746880431877E-2</c:v>
                </c:pt>
                <c:pt idx="404">
                  <c:v>2.1025359763904319E-2</c:v>
                </c:pt>
                <c:pt idx="405">
                  <c:v>2.1025972671187967E-2</c:v>
                </c:pt>
                <c:pt idx="406">
                  <c:v>2.1025359763904319E-2</c:v>
                </c:pt>
                <c:pt idx="407">
                  <c:v>2.1025972671188838E-2</c:v>
                </c:pt>
                <c:pt idx="408">
                  <c:v>2.1025972671187963E-2</c:v>
                </c:pt>
                <c:pt idx="409">
                  <c:v>2.1025972671187963E-2</c:v>
                </c:pt>
                <c:pt idx="410">
                  <c:v>2.1025972671188834E-2</c:v>
                </c:pt>
                <c:pt idx="411">
                  <c:v>2.1025359763904319E-2</c:v>
                </c:pt>
                <c:pt idx="412">
                  <c:v>2.1025972671188834E-2</c:v>
                </c:pt>
                <c:pt idx="413">
                  <c:v>2.1025972671187963E-2</c:v>
                </c:pt>
                <c:pt idx="414">
                  <c:v>2.1024746880430989E-2</c:v>
                </c:pt>
                <c:pt idx="415">
                  <c:v>2.1025972671187963E-2</c:v>
                </c:pt>
                <c:pt idx="416">
                  <c:v>2.1024134020768515E-2</c:v>
                </c:pt>
                <c:pt idx="417">
                  <c:v>2.1025972671187963E-2</c:v>
                </c:pt>
                <c:pt idx="418">
                  <c:v>2.1025359763904319E-2</c:v>
                </c:pt>
                <c:pt idx="419">
                  <c:v>2.1025972671188834E-2</c:v>
                </c:pt>
                <c:pt idx="420">
                  <c:v>2.1025972671187963E-2</c:v>
                </c:pt>
                <c:pt idx="421">
                  <c:v>2.1025972671188834E-2</c:v>
                </c:pt>
                <c:pt idx="422">
                  <c:v>2.1025972671188834E-2</c:v>
                </c:pt>
                <c:pt idx="423">
                  <c:v>2.1025359763903437E-2</c:v>
                </c:pt>
                <c:pt idx="424">
                  <c:v>2.1025972671187967E-2</c:v>
                </c:pt>
                <c:pt idx="425">
                  <c:v>2.1025972671188838E-2</c:v>
                </c:pt>
                <c:pt idx="426">
                  <c:v>2.10253597639052E-2</c:v>
                </c:pt>
                <c:pt idx="427">
                  <c:v>2.1024746880430989E-2</c:v>
                </c:pt>
                <c:pt idx="428">
                  <c:v>2.1025359763904315E-2</c:v>
                </c:pt>
                <c:pt idx="429">
                  <c:v>2.1025972671188834E-2</c:v>
                </c:pt>
                <c:pt idx="430">
                  <c:v>2.1025359763905196E-2</c:v>
                </c:pt>
                <c:pt idx="431">
                  <c:v>2.1025972671188834E-2</c:v>
                </c:pt>
                <c:pt idx="432">
                  <c:v>2.102597267118797E-2</c:v>
                </c:pt>
                <c:pt idx="433">
                  <c:v>2.1025972671187967E-2</c:v>
                </c:pt>
                <c:pt idx="434">
                  <c:v>2.1025972671188838E-2</c:v>
                </c:pt>
                <c:pt idx="435">
                  <c:v>2.1026585602284844E-2</c:v>
                </c:pt>
                <c:pt idx="436">
                  <c:v>2.1025972671188838E-2</c:v>
                </c:pt>
                <c:pt idx="437">
                  <c:v>2.1025972671187967E-2</c:v>
                </c:pt>
                <c:pt idx="438">
                  <c:v>2.1025359763904322E-2</c:v>
                </c:pt>
                <c:pt idx="439">
                  <c:v>2.1025359763903437E-2</c:v>
                </c:pt>
                <c:pt idx="440">
                  <c:v>2.1024746880431877E-2</c:v>
                </c:pt>
                <c:pt idx="441">
                  <c:v>2.1025359763905196E-2</c:v>
                </c:pt>
                <c:pt idx="442">
                  <c:v>2.10253597639052E-2</c:v>
                </c:pt>
                <c:pt idx="443">
                  <c:v>2.1025972671188834E-2</c:v>
                </c:pt>
                <c:pt idx="444">
                  <c:v>2.1025972671187967E-2</c:v>
                </c:pt>
                <c:pt idx="445">
                  <c:v>2.1025972671188838E-2</c:v>
                </c:pt>
                <c:pt idx="446">
                  <c:v>2.10253597639052E-2</c:v>
                </c:pt>
                <c:pt idx="447">
                  <c:v>2.1025972671188838E-2</c:v>
                </c:pt>
                <c:pt idx="448">
                  <c:v>2.1025972671187967E-2</c:v>
                </c:pt>
                <c:pt idx="449">
                  <c:v>2.1024746880431877E-2</c:v>
                </c:pt>
                <c:pt idx="450">
                  <c:v>2.1025972671188834E-2</c:v>
                </c:pt>
                <c:pt idx="451">
                  <c:v>2.1024134020769414E-2</c:v>
                </c:pt>
                <c:pt idx="452">
                  <c:v>2.1025972671188834E-2</c:v>
                </c:pt>
                <c:pt idx="453">
                  <c:v>2.1025359763904319E-2</c:v>
                </c:pt>
                <c:pt idx="454">
                  <c:v>2.1025972671188838E-2</c:v>
                </c:pt>
                <c:pt idx="455">
                  <c:v>2.1025972671188834E-2</c:v>
                </c:pt>
                <c:pt idx="456">
                  <c:v>2.1025972671187967E-2</c:v>
                </c:pt>
                <c:pt idx="457">
                  <c:v>2.1025972671187963E-2</c:v>
                </c:pt>
                <c:pt idx="458">
                  <c:v>2.1025359763904319E-2</c:v>
                </c:pt>
                <c:pt idx="459">
                  <c:v>2.1025972671188834E-2</c:v>
                </c:pt>
                <c:pt idx="460">
                  <c:v>2.1025972671188834E-2</c:v>
                </c:pt>
                <c:pt idx="461">
                  <c:v>2.1025359763904319E-2</c:v>
                </c:pt>
                <c:pt idx="462">
                  <c:v>2.1024746880431877E-2</c:v>
                </c:pt>
                <c:pt idx="463">
                  <c:v>2.1025359763905196E-2</c:v>
                </c:pt>
                <c:pt idx="464">
                  <c:v>2.1025972671188834E-2</c:v>
                </c:pt>
                <c:pt idx="465">
                  <c:v>2.1025359763904319E-2</c:v>
                </c:pt>
                <c:pt idx="466">
                  <c:v>2.1015187139212608E-2</c:v>
                </c:pt>
                <c:pt idx="467">
                  <c:v>2.0680850313924078E-2</c:v>
                </c:pt>
                <c:pt idx="468">
                  <c:v>2.0335758233056365E-2</c:v>
                </c:pt>
                <c:pt idx="469">
                  <c:v>2.003382749631348E-2</c:v>
                </c:pt>
                <c:pt idx="470">
                  <c:v>2.0033271019048528E-2</c:v>
                </c:pt>
                <c:pt idx="471">
                  <c:v>2.0033827496312606E-2</c:v>
                </c:pt>
                <c:pt idx="472">
                  <c:v>2.0033827496313484E-2</c:v>
                </c:pt>
                <c:pt idx="473">
                  <c:v>2.0032714562384868E-2</c:v>
                </c:pt>
                <c:pt idx="474">
                  <c:v>2.0033271019048532E-2</c:v>
                </c:pt>
                <c:pt idx="475">
                  <c:v>2.0032158126319938E-2</c:v>
                </c:pt>
                <c:pt idx="476">
                  <c:v>2.003382749631261E-2</c:v>
                </c:pt>
                <c:pt idx="477">
                  <c:v>2.0033271019048532E-2</c:v>
                </c:pt>
                <c:pt idx="478">
                  <c:v>2.003382749631261E-2</c:v>
                </c:pt>
                <c:pt idx="479">
                  <c:v>2.003382749631261E-2</c:v>
                </c:pt>
                <c:pt idx="480">
                  <c:v>2.003382749631348E-2</c:v>
                </c:pt>
                <c:pt idx="481">
                  <c:v>2.003382749631348E-2</c:v>
                </c:pt>
                <c:pt idx="482">
                  <c:v>2.0033271019048532E-2</c:v>
                </c:pt>
                <c:pt idx="483">
                  <c:v>2.003382749631348E-2</c:v>
                </c:pt>
                <c:pt idx="484">
                  <c:v>2.0033271019048532E-2</c:v>
                </c:pt>
                <c:pt idx="485">
                  <c:v>2.003382749631261E-2</c:v>
                </c:pt>
                <c:pt idx="486">
                  <c:v>2.003271456238398E-2</c:v>
                </c:pt>
                <c:pt idx="487">
                  <c:v>2.0034940512647505E-2</c:v>
                </c:pt>
                <c:pt idx="488">
                  <c:v>2.0033271019047654E-2</c:v>
                </c:pt>
                <c:pt idx="489">
                  <c:v>2.003382749631261E-2</c:v>
                </c:pt>
                <c:pt idx="490">
                  <c:v>2.003382749631261E-2</c:v>
                </c:pt>
                <c:pt idx="491">
                  <c:v>2.003382749631261E-2</c:v>
                </c:pt>
                <c:pt idx="492">
                  <c:v>2.003382749631261E-2</c:v>
                </c:pt>
                <c:pt idx="493">
                  <c:v>2.0033271019048532E-2</c:v>
                </c:pt>
                <c:pt idx="494">
                  <c:v>2.0033827496313477E-2</c:v>
                </c:pt>
                <c:pt idx="495">
                  <c:v>2.0033827496313477E-2</c:v>
                </c:pt>
                <c:pt idx="496">
                  <c:v>2.0033271019048525E-2</c:v>
                </c:pt>
                <c:pt idx="497">
                  <c:v>2.003271456238398E-2</c:v>
                </c:pt>
                <c:pt idx="498">
                  <c:v>2.0033271019047654E-2</c:v>
                </c:pt>
                <c:pt idx="499">
                  <c:v>2.003382749631261E-2</c:v>
                </c:pt>
                <c:pt idx="500">
                  <c:v>2.0033271019047654E-2</c:v>
                </c:pt>
                <c:pt idx="501">
                  <c:v>2.0033827496312613E-2</c:v>
                </c:pt>
                <c:pt idx="502">
                  <c:v>2.003382749631261E-2</c:v>
                </c:pt>
                <c:pt idx="503">
                  <c:v>2.003382749631348E-2</c:v>
                </c:pt>
                <c:pt idx="504">
                  <c:v>2.003382749631261E-2</c:v>
                </c:pt>
                <c:pt idx="505">
                  <c:v>2.0033271019048528E-2</c:v>
                </c:pt>
                <c:pt idx="506">
                  <c:v>2.003382749631348E-2</c:v>
                </c:pt>
                <c:pt idx="507">
                  <c:v>2.0033827496312613E-2</c:v>
                </c:pt>
                <c:pt idx="508">
                  <c:v>2.0032714562384868E-2</c:v>
                </c:pt>
                <c:pt idx="509">
                  <c:v>2.0033271019048532E-2</c:v>
                </c:pt>
                <c:pt idx="510">
                  <c:v>2.0032158126320841E-2</c:v>
                </c:pt>
                <c:pt idx="511">
                  <c:v>2.0033827496311742E-2</c:v>
                </c:pt>
                <c:pt idx="512">
                  <c:v>2.0033271019047654E-2</c:v>
                </c:pt>
                <c:pt idx="513">
                  <c:v>2.003382749631261E-2</c:v>
                </c:pt>
                <c:pt idx="514">
                  <c:v>2.0033827496312613E-2</c:v>
                </c:pt>
                <c:pt idx="515">
                  <c:v>2.003382749631261E-2</c:v>
                </c:pt>
                <c:pt idx="516">
                  <c:v>2.003382749631261E-2</c:v>
                </c:pt>
                <c:pt idx="517">
                  <c:v>2.0033827496312613E-2</c:v>
                </c:pt>
                <c:pt idx="518">
                  <c:v>2.003382749631261E-2</c:v>
                </c:pt>
                <c:pt idx="519">
                  <c:v>2.003382749631261E-2</c:v>
                </c:pt>
                <c:pt idx="520">
                  <c:v>2.0031045315989326E-2</c:v>
                </c:pt>
                <c:pt idx="521">
                  <c:v>2.003271456238398E-2</c:v>
                </c:pt>
                <c:pt idx="522">
                  <c:v>2.0032158126320837E-2</c:v>
                </c:pt>
                <c:pt idx="523">
                  <c:v>2.0033271019047651E-2</c:v>
                </c:pt>
                <c:pt idx="524">
                  <c:v>2.0034940512646655E-2</c:v>
                </c:pt>
                <c:pt idx="525">
                  <c:v>2.0033827496312613E-2</c:v>
                </c:pt>
                <c:pt idx="526">
                  <c:v>2.003382749631261E-2</c:v>
                </c:pt>
                <c:pt idx="527">
                  <c:v>2.003382749631261E-2</c:v>
                </c:pt>
                <c:pt idx="528">
                  <c:v>2.0033271019048528E-2</c:v>
                </c:pt>
                <c:pt idx="529">
                  <c:v>2.003382749631348E-2</c:v>
                </c:pt>
                <c:pt idx="530">
                  <c:v>2.003382749631261E-2</c:v>
                </c:pt>
                <c:pt idx="531">
                  <c:v>2.0033271019048535E-2</c:v>
                </c:pt>
                <c:pt idx="532">
                  <c:v>2.0033271019048535E-2</c:v>
                </c:pt>
                <c:pt idx="533">
                  <c:v>2.0033271019047651E-2</c:v>
                </c:pt>
                <c:pt idx="534">
                  <c:v>2.003382749631348E-2</c:v>
                </c:pt>
                <c:pt idx="535">
                  <c:v>2.0033271019048528E-2</c:v>
                </c:pt>
                <c:pt idx="536">
                  <c:v>2.003382749631261E-2</c:v>
                </c:pt>
                <c:pt idx="537">
                  <c:v>2.003382749631261E-2</c:v>
                </c:pt>
                <c:pt idx="538">
                  <c:v>2.003382749631261E-2</c:v>
                </c:pt>
                <c:pt idx="539">
                  <c:v>2.0033827496312606E-2</c:v>
                </c:pt>
                <c:pt idx="540">
                  <c:v>2.0033271019048532E-2</c:v>
                </c:pt>
                <c:pt idx="541">
                  <c:v>2.0033827496312613E-2</c:v>
                </c:pt>
                <c:pt idx="542">
                  <c:v>2.003382749631261E-2</c:v>
                </c:pt>
                <c:pt idx="543">
                  <c:v>2.0032714562384868E-2</c:v>
                </c:pt>
                <c:pt idx="544">
                  <c:v>2.0033271019048532E-2</c:v>
                </c:pt>
                <c:pt idx="545">
                  <c:v>2.0032158126321739E-2</c:v>
                </c:pt>
                <c:pt idx="546">
                  <c:v>2.003382749631261E-2</c:v>
                </c:pt>
                <c:pt idx="547">
                  <c:v>2.0033271019047654E-2</c:v>
                </c:pt>
                <c:pt idx="548">
                  <c:v>2.003382749631261E-2</c:v>
                </c:pt>
                <c:pt idx="549">
                  <c:v>2.003382749631348E-2</c:v>
                </c:pt>
                <c:pt idx="550">
                  <c:v>2.0033827496312613E-2</c:v>
                </c:pt>
                <c:pt idx="551">
                  <c:v>2.003382749631261E-2</c:v>
                </c:pt>
                <c:pt idx="552">
                  <c:v>2.0033271019047654E-2</c:v>
                </c:pt>
                <c:pt idx="553">
                  <c:v>2.0033827496313477E-2</c:v>
                </c:pt>
                <c:pt idx="554">
                  <c:v>2.0033827496311746E-2</c:v>
                </c:pt>
                <c:pt idx="555">
                  <c:v>2.0033271019048532E-2</c:v>
                </c:pt>
                <c:pt idx="556">
                  <c:v>2.003271456238398E-2</c:v>
                </c:pt>
                <c:pt idx="557">
                  <c:v>2.0033271019048532E-2</c:v>
                </c:pt>
                <c:pt idx="558">
                  <c:v>2.003382749631261E-2</c:v>
                </c:pt>
                <c:pt idx="559">
                  <c:v>2.0033271019048535E-2</c:v>
                </c:pt>
                <c:pt idx="560">
                  <c:v>2.0033827496312613E-2</c:v>
                </c:pt>
                <c:pt idx="561">
                  <c:v>2.003382749631261E-2</c:v>
                </c:pt>
                <c:pt idx="562">
                  <c:v>2.003382749631348E-2</c:v>
                </c:pt>
                <c:pt idx="563">
                  <c:v>2.0033271019048532E-2</c:v>
                </c:pt>
                <c:pt idx="564">
                  <c:v>2.003382749631261E-2</c:v>
                </c:pt>
                <c:pt idx="565">
                  <c:v>2.003382749631261E-2</c:v>
                </c:pt>
                <c:pt idx="566">
                  <c:v>2.0033271019048528E-2</c:v>
                </c:pt>
                <c:pt idx="567">
                  <c:v>2.0032714562384868E-2</c:v>
                </c:pt>
                <c:pt idx="568">
                  <c:v>2.0033271019047654E-2</c:v>
                </c:pt>
                <c:pt idx="569">
                  <c:v>2.0033827496312613E-2</c:v>
                </c:pt>
                <c:pt idx="570">
                  <c:v>2.0033271019048535E-2</c:v>
                </c:pt>
                <c:pt idx="571">
                  <c:v>2.0033827496313474E-2</c:v>
                </c:pt>
                <c:pt idx="572">
                  <c:v>2.003382749631348E-2</c:v>
                </c:pt>
                <c:pt idx="573">
                  <c:v>2.003382749631261E-2</c:v>
                </c:pt>
                <c:pt idx="574">
                  <c:v>2.0033827496313477E-2</c:v>
                </c:pt>
                <c:pt idx="575">
                  <c:v>2.0033271019048532E-2</c:v>
                </c:pt>
                <c:pt idx="576">
                  <c:v>2.0033827496312613E-2</c:v>
                </c:pt>
                <c:pt idx="577">
                  <c:v>2.003382749631261E-2</c:v>
                </c:pt>
                <c:pt idx="578">
                  <c:v>2.0033271019048528E-2</c:v>
                </c:pt>
                <c:pt idx="579">
                  <c:v>2.0033271019047654E-2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728256"/>
        <c:axId val="571729792"/>
      </c:lineChart>
      <c:dateAx>
        <c:axId val="5717282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71729792"/>
        <c:crosses val="autoZero"/>
        <c:auto val="1"/>
        <c:lblOffset val="100"/>
        <c:baseTimeUnit val="months"/>
      </c:dateAx>
      <c:valAx>
        <c:axId val="57172979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172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851930515264534"/>
          <c:y val="0.70796675797738839"/>
          <c:w val="0.18735788782981075"/>
          <c:h val="0.134507897293887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0"/>
          <c:order val="0"/>
          <c:tx>
            <c:v>6M Instruments Quotations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41988</c:v>
                </c:pt>
                <c:pt idx="5">
                  <c:v>42019</c:v>
                </c:pt>
                <c:pt idx="6">
                  <c:v>42051</c:v>
                </c:pt>
                <c:pt idx="7">
                  <c:v>42079</c:v>
                </c:pt>
                <c:pt idx="8">
                  <c:v>42109</c:v>
                </c:pt>
                <c:pt idx="9">
                  <c:v>42139</c:v>
                </c:pt>
                <c:pt idx="10">
                  <c:v>42170</c:v>
                </c:pt>
                <c:pt idx="11">
                  <c:v>42200</c:v>
                </c:pt>
                <c:pt idx="12">
                  <c:v>42233</c:v>
                </c:pt>
                <c:pt idx="13">
                  <c:v>42262</c:v>
                </c:pt>
                <c:pt idx="14">
                  <c:v>42292</c:v>
                </c:pt>
                <c:pt idx="15">
                  <c:v>42324</c:v>
                </c:pt>
                <c:pt idx="16">
                  <c:v>42353</c:v>
                </c:pt>
                <c:pt idx="17">
                  <c:v>42384</c:v>
                </c:pt>
                <c:pt idx="18">
                  <c:v>42415</c:v>
                </c:pt>
              </c:numCache>
            </c:numRef>
          </c:xVal>
          <c:yVal>
            <c:numRef>
              <c:f>'basis 6M '!$G$2:$G$20</c:f>
              <c:numCache>
                <c:formatCode>0.0000%</c:formatCode>
                <c:ptCount val="19"/>
                <c:pt idx="0">
                  <c:v>2.99E-3</c:v>
                </c:pt>
                <c:pt idx="1">
                  <c:v>2.9400000000000003E-3</c:v>
                </c:pt>
                <c:pt idx="2">
                  <c:v>2.9200000000000003E-3</c:v>
                </c:pt>
                <c:pt idx="3">
                  <c:v>2.9200000000000003E-3</c:v>
                </c:pt>
                <c:pt idx="4">
                  <c:v>2.8900000000000002E-3</c:v>
                </c:pt>
                <c:pt idx="5">
                  <c:v>2.8700000000000002E-3</c:v>
                </c:pt>
                <c:pt idx="6">
                  <c:v>2.8500000000000001E-3</c:v>
                </c:pt>
                <c:pt idx="7">
                  <c:v>2.8500000000000001E-3</c:v>
                </c:pt>
                <c:pt idx="8">
                  <c:v>2.8800000000000002E-3</c:v>
                </c:pt>
                <c:pt idx="9">
                  <c:v>2.9100000000000003E-3</c:v>
                </c:pt>
                <c:pt idx="10">
                  <c:v>2.9500000000000004E-3</c:v>
                </c:pt>
                <c:pt idx="11">
                  <c:v>3.0300000000000006E-3</c:v>
                </c:pt>
                <c:pt idx="12">
                  <c:v>3.1000000000000003E-3</c:v>
                </c:pt>
                <c:pt idx="13">
                  <c:v>3.16E-3</c:v>
                </c:pt>
                <c:pt idx="14">
                  <c:v>3.2600000000000003E-3</c:v>
                </c:pt>
                <c:pt idx="15">
                  <c:v>3.3599999999999997E-3</c:v>
                </c:pt>
                <c:pt idx="16">
                  <c:v>3.4599999999999995E-3</c:v>
                </c:pt>
                <c:pt idx="17">
                  <c:v>3.5699999999999998E-3</c:v>
                </c:pt>
                <c:pt idx="18">
                  <c:v>3.6900000000000001E-3</c:v>
                </c:pt>
              </c:numCache>
            </c:numRef>
          </c:yVal>
          <c:smooth val="0"/>
        </c:ser>
        <c:ser>
          <c:idx val="1"/>
          <c:order val="1"/>
          <c:tx>
            <c:v>OIS 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41988</c:v>
                </c:pt>
                <c:pt idx="5">
                  <c:v>42019</c:v>
                </c:pt>
                <c:pt idx="6">
                  <c:v>42051</c:v>
                </c:pt>
                <c:pt idx="7">
                  <c:v>42079</c:v>
                </c:pt>
                <c:pt idx="8">
                  <c:v>42109</c:v>
                </c:pt>
                <c:pt idx="9">
                  <c:v>42139</c:v>
                </c:pt>
                <c:pt idx="10">
                  <c:v>42170</c:v>
                </c:pt>
                <c:pt idx="11">
                  <c:v>42200</c:v>
                </c:pt>
                <c:pt idx="12">
                  <c:v>42233</c:v>
                </c:pt>
                <c:pt idx="13">
                  <c:v>42262</c:v>
                </c:pt>
                <c:pt idx="14">
                  <c:v>42292</c:v>
                </c:pt>
                <c:pt idx="15">
                  <c:v>42324</c:v>
                </c:pt>
                <c:pt idx="16">
                  <c:v>42353</c:v>
                </c:pt>
                <c:pt idx="17">
                  <c:v>42384</c:v>
                </c:pt>
                <c:pt idx="18">
                  <c:v>42415</c:v>
                </c:pt>
              </c:numCache>
            </c:numRef>
          </c:xVal>
          <c:yVal>
            <c:numRef>
              <c:f>'basis 6M '!$I$2:$I$20</c:f>
              <c:numCache>
                <c:formatCode>0.0000%</c:formatCode>
                <c:ptCount val="19"/>
                <c:pt idx="0">
                  <c:v>5.2124537933690329E-4</c:v>
                </c:pt>
                <c:pt idx="1">
                  <c:v>5.2620898370263575E-4</c:v>
                </c:pt>
                <c:pt idx="2">
                  <c:v>4.9581695188439785E-4</c:v>
                </c:pt>
                <c:pt idx="3">
                  <c:v>4.5853879297256346E-4</c:v>
                </c:pt>
                <c:pt idx="4">
                  <c:v>4.0567551764792483E-4</c:v>
                </c:pt>
                <c:pt idx="5">
                  <c:v>3.6336581168900213E-4</c:v>
                </c:pt>
                <c:pt idx="6">
                  <c:v>2.9684139302818882E-4</c:v>
                </c:pt>
                <c:pt idx="7">
                  <c:v>2.286649644686008E-4</c:v>
                </c:pt>
                <c:pt idx="8">
                  <c:v>1.9762730973060442E-4</c:v>
                </c:pt>
                <c:pt idx="9">
                  <c:v>1.8288093512601805E-4</c:v>
                </c:pt>
                <c:pt idx="10">
                  <c:v>2.1045989284957278E-4</c:v>
                </c:pt>
                <c:pt idx="11">
                  <c:v>2.3291186435384201E-4</c:v>
                </c:pt>
                <c:pt idx="12">
                  <c:v>2.6255163924351541E-4</c:v>
                </c:pt>
                <c:pt idx="13">
                  <c:v>3.2490620761607361E-4</c:v>
                </c:pt>
                <c:pt idx="14">
                  <c:v>3.9389219157660019E-4</c:v>
                </c:pt>
                <c:pt idx="15">
                  <c:v>4.654688053277386E-4</c:v>
                </c:pt>
                <c:pt idx="16">
                  <c:v>5.3564510003664548E-4</c:v>
                </c:pt>
                <c:pt idx="17">
                  <c:v>6.0775358359580812E-4</c:v>
                </c:pt>
                <c:pt idx="18">
                  <c:v>6.8127139482183679E-4</c:v>
                </c:pt>
              </c:numCache>
            </c:numRef>
          </c:yVal>
          <c:smooth val="0"/>
        </c:ser>
        <c:ser>
          <c:idx val="2"/>
          <c:order val="2"/>
          <c:tx>
            <c:v>diff OIS 6M, 6M instruments quotations</c:v>
          </c:tx>
          <c:spPr>
            <a:ln w="28575">
              <a:noFill/>
            </a:ln>
          </c:spP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41988</c:v>
                </c:pt>
                <c:pt idx="5">
                  <c:v>42019</c:v>
                </c:pt>
                <c:pt idx="6">
                  <c:v>42051</c:v>
                </c:pt>
                <c:pt idx="7">
                  <c:v>42079</c:v>
                </c:pt>
                <c:pt idx="8">
                  <c:v>42109</c:v>
                </c:pt>
                <c:pt idx="9">
                  <c:v>42139</c:v>
                </c:pt>
                <c:pt idx="10">
                  <c:v>42170</c:v>
                </c:pt>
                <c:pt idx="11">
                  <c:v>42200</c:v>
                </c:pt>
                <c:pt idx="12">
                  <c:v>42233</c:v>
                </c:pt>
                <c:pt idx="13">
                  <c:v>42262</c:v>
                </c:pt>
                <c:pt idx="14">
                  <c:v>42292</c:v>
                </c:pt>
                <c:pt idx="15">
                  <c:v>42324</c:v>
                </c:pt>
                <c:pt idx="16">
                  <c:v>42353</c:v>
                </c:pt>
                <c:pt idx="17">
                  <c:v>42384</c:v>
                </c:pt>
                <c:pt idx="18">
                  <c:v>42415</c:v>
                </c:pt>
              </c:numCache>
            </c:numRef>
          </c:xVal>
          <c:yVal>
            <c:numRef>
              <c:f>'basis 6M '!$J$2:$J$20</c:f>
              <c:numCache>
                <c:formatCode>0.0000%</c:formatCode>
                <c:ptCount val="19"/>
                <c:pt idx="0">
                  <c:v>2.4687546206630965E-3</c:v>
                </c:pt>
                <c:pt idx="1">
                  <c:v>2.4137910162973647E-3</c:v>
                </c:pt>
                <c:pt idx="2">
                  <c:v>2.4241830481156025E-3</c:v>
                </c:pt>
                <c:pt idx="3">
                  <c:v>2.4614612070274367E-3</c:v>
                </c:pt>
                <c:pt idx="4">
                  <c:v>2.4843244823520754E-3</c:v>
                </c:pt>
                <c:pt idx="5">
                  <c:v>2.5066341883109981E-3</c:v>
                </c:pt>
                <c:pt idx="6">
                  <c:v>2.5531586069718112E-3</c:v>
                </c:pt>
                <c:pt idx="7">
                  <c:v>2.6213350355313992E-3</c:v>
                </c:pt>
                <c:pt idx="8">
                  <c:v>2.6823726902693956E-3</c:v>
                </c:pt>
                <c:pt idx="9">
                  <c:v>2.7271190648739821E-3</c:v>
                </c:pt>
                <c:pt idx="10">
                  <c:v>2.7395401071504278E-3</c:v>
                </c:pt>
                <c:pt idx="11">
                  <c:v>2.7970881356461585E-3</c:v>
                </c:pt>
                <c:pt idx="12">
                  <c:v>2.8374483607564848E-3</c:v>
                </c:pt>
                <c:pt idx="13">
                  <c:v>2.8350937923839266E-3</c:v>
                </c:pt>
                <c:pt idx="14">
                  <c:v>2.8661078084234E-3</c:v>
                </c:pt>
                <c:pt idx="15">
                  <c:v>2.8945311946722611E-3</c:v>
                </c:pt>
                <c:pt idx="16">
                  <c:v>2.9243548999633539E-3</c:v>
                </c:pt>
                <c:pt idx="17">
                  <c:v>2.9622464164041915E-3</c:v>
                </c:pt>
                <c:pt idx="18">
                  <c:v>3.0087286051781632E-3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476800"/>
        <c:axId val="572789888"/>
      </c:scatterChart>
      <c:valAx>
        <c:axId val="5724768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89888"/>
        <c:crosses val="autoZero"/>
        <c:crossBetween val="midCat"/>
      </c:valAx>
      <c:valAx>
        <c:axId val="5727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7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15443902845474"/>
          <c:y val="0.38120838598878842"/>
          <c:w val="0.27973519976669581"/>
          <c:h val="0.251843556592462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66741958863721"/>
          <c:y val="1.9925277594156087E-2"/>
          <c:w val="0.86686523609468946"/>
          <c:h val="0.83802344384104965"/>
        </c:manualLayout>
      </c:layout>
      <c:lineChart>
        <c:grouping val="standard"/>
        <c:varyColors val="0"/>
        <c:ser>
          <c:idx val="0"/>
          <c:order val="0"/>
          <c:tx>
            <c:v>6M Yield Curve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'basis 6M '!$L$2:$L$585</c:f>
              <c:numCache>
                <c:formatCode>ddd\,\ dd\-mmm\-yyyy</c:formatCode>
                <c:ptCount val="584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41990</c:v>
                </c:pt>
                <c:pt idx="5">
                  <c:v>42023</c:v>
                </c:pt>
                <c:pt idx="6">
                  <c:v>42054</c:v>
                </c:pt>
                <c:pt idx="7">
                  <c:v>42082</c:v>
                </c:pt>
                <c:pt idx="8">
                  <c:v>42114</c:v>
                </c:pt>
                <c:pt idx="9">
                  <c:v>42144</c:v>
                </c:pt>
                <c:pt idx="10">
                  <c:v>42177</c:v>
                </c:pt>
                <c:pt idx="11">
                  <c:v>42207</c:v>
                </c:pt>
                <c:pt idx="12">
                  <c:v>42240</c:v>
                </c:pt>
                <c:pt idx="13">
                  <c:v>42271</c:v>
                </c:pt>
                <c:pt idx="14">
                  <c:v>42303</c:v>
                </c:pt>
                <c:pt idx="15">
                  <c:v>42334</c:v>
                </c:pt>
                <c:pt idx="16">
                  <c:v>42366</c:v>
                </c:pt>
                <c:pt idx="17">
                  <c:v>42397</c:v>
                </c:pt>
                <c:pt idx="18">
                  <c:v>42429</c:v>
                </c:pt>
                <c:pt idx="19">
                  <c:v>42458</c:v>
                </c:pt>
                <c:pt idx="20">
                  <c:v>42489</c:v>
                </c:pt>
                <c:pt idx="21">
                  <c:v>42520</c:v>
                </c:pt>
                <c:pt idx="22">
                  <c:v>42551</c:v>
                </c:pt>
                <c:pt idx="23">
                  <c:v>42583</c:v>
                </c:pt>
                <c:pt idx="24">
                  <c:v>42614</c:v>
                </c:pt>
                <c:pt idx="25">
                  <c:v>42646</c:v>
                </c:pt>
                <c:pt idx="26">
                  <c:v>42677</c:v>
                </c:pt>
                <c:pt idx="27">
                  <c:v>42709</c:v>
                </c:pt>
                <c:pt idx="28">
                  <c:v>42740</c:v>
                </c:pt>
                <c:pt idx="29">
                  <c:v>42772</c:v>
                </c:pt>
                <c:pt idx="30">
                  <c:v>42800</c:v>
                </c:pt>
                <c:pt idx="31">
                  <c:v>42831</c:v>
                </c:pt>
                <c:pt idx="32">
                  <c:v>42863</c:v>
                </c:pt>
                <c:pt idx="33">
                  <c:v>42894</c:v>
                </c:pt>
                <c:pt idx="34">
                  <c:v>42926</c:v>
                </c:pt>
                <c:pt idx="35">
                  <c:v>42957</c:v>
                </c:pt>
                <c:pt idx="36">
                  <c:v>42989</c:v>
                </c:pt>
                <c:pt idx="37">
                  <c:v>43019</c:v>
                </c:pt>
                <c:pt idx="38">
                  <c:v>43052</c:v>
                </c:pt>
                <c:pt idx="39">
                  <c:v>43082</c:v>
                </c:pt>
                <c:pt idx="40">
                  <c:v>43115</c:v>
                </c:pt>
                <c:pt idx="41">
                  <c:v>43146</c:v>
                </c:pt>
                <c:pt idx="42">
                  <c:v>43174</c:v>
                </c:pt>
                <c:pt idx="43">
                  <c:v>43206</c:v>
                </c:pt>
                <c:pt idx="44">
                  <c:v>43236</c:v>
                </c:pt>
                <c:pt idx="45">
                  <c:v>43269</c:v>
                </c:pt>
                <c:pt idx="46">
                  <c:v>43299</c:v>
                </c:pt>
                <c:pt idx="47">
                  <c:v>43332</c:v>
                </c:pt>
                <c:pt idx="48">
                  <c:v>43363</c:v>
                </c:pt>
                <c:pt idx="49">
                  <c:v>43395</c:v>
                </c:pt>
                <c:pt idx="50">
                  <c:v>43426</c:v>
                </c:pt>
                <c:pt idx="51">
                  <c:v>43458</c:v>
                </c:pt>
                <c:pt idx="52">
                  <c:v>43489</c:v>
                </c:pt>
                <c:pt idx="53">
                  <c:v>43521</c:v>
                </c:pt>
                <c:pt idx="54">
                  <c:v>43549</c:v>
                </c:pt>
                <c:pt idx="55">
                  <c:v>43580</c:v>
                </c:pt>
                <c:pt idx="56">
                  <c:v>43612</c:v>
                </c:pt>
                <c:pt idx="57">
                  <c:v>43643</c:v>
                </c:pt>
                <c:pt idx="58">
                  <c:v>43675</c:v>
                </c:pt>
                <c:pt idx="59">
                  <c:v>43706</c:v>
                </c:pt>
                <c:pt idx="60">
                  <c:v>43738</c:v>
                </c:pt>
                <c:pt idx="61">
                  <c:v>43768</c:v>
                </c:pt>
                <c:pt idx="62">
                  <c:v>43801</c:v>
                </c:pt>
                <c:pt idx="63">
                  <c:v>43832</c:v>
                </c:pt>
                <c:pt idx="64">
                  <c:v>43864</c:v>
                </c:pt>
                <c:pt idx="65">
                  <c:v>43893</c:v>
                </c:pt>
                <c:pt idx="66">
                  <c:v>43924</c:v>
                </c:pt>
                <c:pt idx="67">
                  <c:v>43955</c:v>
                </c:pt>
                <c:pt idx="68">
                  <c:v>43986</c:v>
                </c:pt>
                <c:pt idx="69">
                  <c:v>44018</c:v>
                </c:pt>
                <c:pt idx="70">
                  <c:v>44049</c:v>
                </c:pt>
                <c:pt idx="71">
                  <c:v>44081</c:v>
                </c:pt>
                <c:pt idx="72">
                  <c:v>44111</c:v>
                </c:pt>
                <c:pt idx="73">
                  <c:v>44144</c:v>
                </c:pt>
                <c:pt idx="74">
                  <c:v>44174</c:v>
                </c:pt>
                <c:pt idx="75">
                  <c:v>44207</c:v>
                </c:pt>
                <c:pt idx="76">
                  <c:v>44238</c:v>
                </c:pt>
                <c:pt idx="77">
                  <c:v>44266</c:v>
                </c:pt>
                <c:pt idx="78">
                  <c:v>44298</c:v>
                </c:pt>
                <c:pt idx="79">
                  <c:v>44328</c:v>
                </c:pt>
                <c:pt idx="80">
                  <c:v>44361</c:v>
                </c:pt>
                <c:pt idx="81">
                  <c:v>44391</c:v>
                </c:pt>
                <c:pt idx="82">
                  <c:v>44424</c:v>
                </c:pt>
                <c:pt idx="83">
                  <c:v>44455</c:v>
                </c:pt>
                <c:pt idx="84">
                  <c:v>44487</c:v>
                </c:pt>
                <c:pt idx="85">
                  <c:v>44518</c:v>
                </c:pt>
                <c:pt idx="86">
                  <c:v>44550</c:v>
                </c:pt>
                <c:pt idx="87">
                  <c:v>44581</c:v>
                </c:pt>
                <c:pt idx="88">
                  <c:v>44613</c:v>
                </c:pt>
                <c:pt idx="89">
                  <c:v>44641</c:v>
                </c:pt>
                <c:pt idx="90">
                  <c:v>44672</c:v>
                </c:pt>
                <c:pt idx="91">
                  <c:v>44704</c:v>
                </c:pt>
                <c:pt idx="92">
                  <c:v>44735</c:v>
                </c:pt>
                <c:pt idx="93">
                  <c:v>44767</c:v>
                </c:pt>
                <c:pt idx="94">
                  <c:v>44798</c:v>
                </c:pt>
                <c:pt idx="95">
                  <c:v>44830</c:v>
                </c:pt>
                <c:pt idx="96">
                  <c:v>44860</c:v>
                </c:pt>
                <c:pt idx="97">
                  <c:v>44893</c:v>
                </c:pt>
                <c:pt idx="98">
                  <c:v>44923</c:v>
                </c:pt>
                <c:pt idx="99">
                  <c:v>44956</c:v>
                </c:pt>
                <c:pt idx="100">
                  <c:v>44985</c:v>
                </c:pt>
                <c:pt idx="101">
                  <c:v>45013</c:v>
                </c:pt>
                <c:pt idx="102">
                  <c:v>45044</c:v>
                </c:pt>
                <c:pt idx="103">
                  <c:v>45075</c:v>
                </c:pt>
                <c:pt idx="104">
                  <c:v>45106</c:v>
                </c:pt>
                <c:pt idx="105">
                  <c:v>45138</c:v>
                </c:pt>
                <c:pt idx="106">
                  <c:v>45169</c:v>
                </c:pt>
                <c:pt idx="107">
                  <c:v>45201</c:v>
                </c:pt>
                <c:pt idx="108">
                  <c:v>45232</c:v>
                </c:pt>
                <c:pt idx="109">
                  <c:v>45264</c:v>
                </c:pt>
                <c:pt idx="110">
                  <c:v>45295</c:v>
                </c:pt>
                <c:pt idx="111">
                  <c:v>45327</c:v>
                </c:pt>
                <c:pt idx="112">
                  <c:v>45356</c:v>
                </c:pt>
                <c:pt idx="113">
                  <c:v>45387</c:v>
                </c:pt>
                <c:pt idx="114">
                  <c:v>45418</c:v>
                </c:pt>
                <c:pt idx="115">
                  <c:v>45449</c:v>
                </c:pt>
                <c:pt idx="116">
                  <c:v>45481</c:v>
                </c:pt>
                <c:pt idx="117">
                  <c:v>45512</c:v>
                </c:pt>
                <c:pt idx="118">
                  <c:v>45544</c:v>
                </c:pt>
                <c:pt idx="119">
                  <c:v>45574</c:v>
                </c:pt>
                <c:pt idx="120">
                  <c:v>45607</c:v>
                </c:pt>
                <c:pt idx="121">
                  <c:v>45637</c:v>
                </c:pt>
                <c:pt idx="122">
                  <c:v>45670</c:v>
                </c:pt>
                <c:pt idx="123">
                  <c:v>45701</c:v>
                </c:pt>
                <c:pt idx="124">
                  <c:v>45729</c:v>
                </c:pt>
                <c:pt idx="125">
                  <c:v>45761</c:v>
                </c:pt>
                <c:pt idx="126">
                  <c:v>45791</c:v>
                </c:pt>
                <c:pt idx="127">
                  <c:v>45824</c:v>
                </c:pt>
                <c:pt idx="128">
                  <c:v>45854</c:v>
                </c:pt>
                <c:pt idx="129">
                  <c:v>45887</c:v>
                </c:pt>
                <c:pt idx="130">
                  <c:v>45918</c:v>
                </c:pt>
                <c:pt idx="131">
                  <c:v>45950</c:v>
                </c:pt>
                <c:pt idx="132">
                  <c:v>45981</c:v>
                </c:pt>
                <c:pt idx="133">
                  <c:v>46013</c:v>
                </c:pt>
                <c:pt idx="134">
                  <c:v>46044</c:v>
                </c:pt>
                <c:pt idx="135">
                  <c:v>46076</c:v>
                </c:pt>
                <c:pt idx="136">
                  <c:v>46104</c:v>
                </c:pt>
                <c:pt idx="137">
                  <c:v>46135</c:v>
                </c:pt>
                <c:pt idx="138">
                  <c:v>46167</c:v>
                </c:pt>
                <c:pt idx="139">
                  <c:v>46198</c:v>
                </c:pt>
                <c:pt idx="140">
                  <c:v>46230</c:v>
                </c:pt>
                <c:pt idx="141">
                  <c:v>46261</c:v>
                </c:pt>
                <c:pt idx="142">
                  <c:v>46293</c:v>
                </c:pt>
                <c:pt idx="143">
                  <c:v>46323</c:v>
                </c:pt>
                <c:pt idx="144">
                  <c:v>46356</c:v>
                </c:pt>
                <c:pt idx="145">
                  <c:v>46386</c:v>
                </c:pt>
                <c:pt idx="146">
                  <c:v>46419</c:v>
                </c:pt>
                <c:pt idx="147">
                  <c:v>46447</c:v>
                </c:pt>
                <c:pt idx="148">
                  <c:v>46478</c:v>
                </c:pt>
                <c:pt idx="149">
                  <c:v>46510</c:v>
                </c:pt>
                <c:pt idx="150">
                  <c:v>46541</c:v>
                </c:pt>
                <c:pt idx="151">
                  <c:v>46573</c:v>
                </c:pt>
                <c:pt idx="152">
                  <c:v>46604</c:v>
                </c:pt>
                <c:pt idx="153">
                  <c:v>46636</c:v>
                </c:pt>
                <c:pt idx="154">
                  <c:v>46666</c:v>
                </c:pt>
                <c:pt idx="155">
                  <c:v>46699</c:v>
                </c:pt>
                <c:pt idx="156">
                  <c:v>46729</c:v>
                </c:pt>
                <c:pt idx="157">
                  <c:v>46762</c:v>
                </c:pt>
                <c:pt idx="158">
                  <c:v>46793</c:v>
                </c:pt>
                <c:pt idx="159">
                  <c:v>46822</c:v>
                </c:pt>
                <c:pt idx="160">
                  <c:v>46853</c:v>
                </c:pt>
                <c:pt idx="161">
                  <c:v>46883</c:v>
                </c:pt>
                <c:pt idx="162">
                  <c:v>46916</c:v>
                </c:pt>
                <c:pt idx="163">
                  <c:v>46946</c:v>
                </c:pt>
                <c:pt idx="164">
                  <c:v>46979</c:v>
                </c:pt>
                <c:pt idx="165">
                  <c:v>47010</c:v>
                </c:pt>
                <c:pt idx="166">
                  <c:v>47042</c:v>
                </c:pt>
                <c:pt idx="167">
                  <c:v>47073</c:v>
                </c:pt>
                <c:pt idx="168">
                  <c:v>47105</c:v>
                </c:pt>
                <c:pt idx="169">
                  <c:v>47136</c:v>
                </c:pt>
                <c:pt idx="170">
                  <c:v>47168</c:v>
                </c:pt>
                <c:pt idx="171">
                  <c:v>47196</c:v>
                </c:pt>
                <c:pt idx="172">
                  <c:v>47227</c:v>
                </c:pt>
                <c:pt idx="173">
                  <c:v>47259</c:v>
                </c:pt>
                <c:pt idx="174">
                  <c:v>47290</c:v>
                </c:pt>
                <c:pt idx="175">
                  <c:v>47322</c:v>
                </c:pt>
                <c:pt idx="176">
                  <c:v>47353</c:v>
                </c:pt>
                <c:pt idx="177">
                  <c:v>47385</c:v>
                </c:pt>
                <c:pt idx="178">
                  <c:v>47415</c:v>
                </c:pt>
                <c:pt idx="179">
                  <c:v>47448</c:v>
                </c:pt>
                <c:pt idx="180">
                  <c:v>47479</c:v>
                </c:pt>
                <c:pt idx="181">
                  <c:v>47511</c:v>
                </c:pt>
                <c:pt idx="182">
                  <c:v>47542</c:v>
                </c:pt>
                <c:pt idx="183">
                  <c:v>47570</c:v>
                </c:pt>
                <c:pt idx="184">
                  <c:v>47602</c:v>
                </c:pt>
                <c:pt idx="185">
                  <c:v>47632</c:v>
                </c:pt>
                <c:pt idx="186">
                  <c:v>47665</c:v>
                </c:pt>
                <c:pt idx="187">
                  <c:v>47696</c:v>
                </c:pt>
                <c:pt idx="188">
                  <c:v>47728</c:v>
                </c:pt>
                <c:pt idx="189">
                  <c:v>47758</c:v>
                </c:pt>
                <c:pt idx="190">
                  <c:v>47791</c:v>
                </c:pt>
                <c:pt idx="191">
                  <c:v>47821</c:v>
                </c:pt>
                <c:pt idx="192">
                  <c:v>47854</c:v>
                </c:pt>
                <c:pt idx="193">
                  <c:v>47885</c:v>
                </c:pt>
                <c:pt idx="194">
                  <c:v>47913</c:v>
                </c:pt>
                <c:pt idx="195">
                  <c:v>47945</c:v>
                </c:pt>
                <c:pt idx="196">
                  <c:v>47975</c:v>
                </c:pt>
                <c:pt idx="197">
                  <c:v>48008</c:v>
                </c:pt>
                <c:pt idx="198">
                  <c:v>48038</c:v>
                </c:pt>
                <c:pt idx="199">
                  <c:v>48071</c:v>
                </c:pt>
                <c:pt idx="200">
                  <c:v>48102</c:v>
                </c:pt>
                <c:pt idx="201">
                  <c:v>48134</c:v>
                </c:pt>
                <c:pt idx="202">
                  <c:v>48165</c:v>
                </c:pt>
                <c:pt idx="203">
                  <c:v>48197</c:v>
                </c:pt>
                <c:pt idx="204">
                  <c:v>48228</c:v>
                </c:pt>
                <c:pt idx="205">
                  <c:v>48260</c:v>
                </c:pt>
                <c:pt idx="206">
                  <c:v>48289</c:v>
                </c:pt>
                <c:pt idx="207">
                  <c:v>48320</c:v>
                </c:pt>
                <c:pt idx="208">
                  <c:v>48351</c:v>
                </c:pt>
                <c:pt idx="209">
                  <c:v>48382</c:v>
                </c:pt>
                <c:pt idx="210">
                  <c:v>48414</c:v>
                </c:pt>
                <c:pt idx="211">
                  <c:v>48445</c:v>
                </c:pt>
                <c:pt idx="212">
                  <c:v>48477</c:v>
                </c:pt>
                <c:pt idx="213">
                  <c:v>48507</c:v>
                </c:pt>
                <c:pt idx="214">
                  <c:v>48540</c:v>
                </c:pt>
                <c:pt idx="215">
                  <c:v>48570</c:v>
                </c:pt>
                <c:pt idx="216">
                  <c:v>48603</c:v>
                </c:pt>
                <c:pt idx="217">
                  <c:v>48634</c:v>
                </c:pt>
                <c:pt idx="218">
                  <c:v>48662</c:v>
                </c:pt>
                <c:pt idx="219">
                  <c:v>48694</c:v>
                </c:pt>
                <c:pt idx="220">
                  <c:v>48724</c:v>
                </c:pt>
                <c:pt idx="221">
                  <c:v>48757</c:v>
                </c:pt>
                <c:pt idx="222">
                  <c:v>48787</c:v>
                </c:pt>
                <c:pt idx="223">
                  <c:v>48820</c:v>
                </c:pt>
                <c:pt idx="224">
                  <c:v>48851</c:v>
                </c:pt>
                <c:pt idx="225">
                  <c:v>48883</c:v>
                </c:pt>
                <c:pt idx="226">
                  <c:v>48913</c:v>
                </c:pt>
                <c:pt idx="227">
                  <c:v>48943</c:v>
                </c:pt>
                <c:pt idx="228">
                  <c:v>48974</c:v>
                </c:pt>
                <c:pt idx="229">
                  <c:v>49003</c:v>
                </c:pt>
                <c:pt idx="230">
                  <c:v>49031</c:v>
                </c:pt>
                <c:pt idx="231">
                  <c:v>49062</c:v>
                </c:pt>
                <c:pt idx="232">
                  <c:v>49093</c:v>
                </c:pt>
                <c:pt idx="233">
                  <c:v>49124</c:v>
                </c:pt>
                <c:pt idx="234">
                  <c:v>49156</c:v>
                </c:pt>
                <c:pt idx="235">
                  <c:v>49187</c:v>
                </c:pt>
                <c:pt idx="236">
                  <c:v>49219</c:v>
                </c:pt>
                <c:pt idx="237">
                  <c:v>49250</c:v>
                </c:pt>
                <c:pt idx="238">
                  <c:v>49282</c:v>
                </c:pt>
                <c:pt idx="239">
                  <c:v>49313</c:v>
                </c:pt>
                <c:pt idx="240">
                  <c:v>49345</c:v>
                </c:pt>
                <c:pt idx="241">
                  <c:v>49373</c:v>
                </c:pt>
                <c:pt idx="242">
                  <c:v>49404</c:v>
                </c:pt>
                <c:pt idx="243">
                  <c:v>49436</c:v>
                </c:pt>
                <c:pt idx="244">
                  <c:v>49467</c:v>
                </c:pt>
                <c:pt idx="245">
                  <c:v>49499</c:v>
                </c:pt>
                <c:pt idx="246">
                  <c:v>49530</c:v>
                </c:pt>
                <c:pt idx="247">
                  <c:v>49562</c:v>
                </c:pt>
                <c:pt idx="248">
                  <c:v>49592</c:v>
                </c:pt>
                <c:pt idx="249">
                  <c:v>49625</c:v>
                </c:pt>
                <c:pt idx="250">
                  <c:v>49655</c:v>
                </c:pt>
                <c:pt idx="251">
                  <c:v>49688</c:v>
                </c:pt>
                <c:pt idx="252">
                  <c:v>49719</c:v>
                </c:pt>
                <c:pt idx="253">
                  <c:v>49748</c:v>
                </c:pt>
                <c:pt idx="254">
                  <c:v>49780</c:v>
                </c:pt>
                <c:pt idx="255">
                  <c:v>49810</c:v>
                </c:pt>
                <c:pt idx="256">
                  <c:v>49842</c:v>
                </c:pt>
                <c:pt idx="257">
                  <c:v>49872</c:v>
                </c:pt>
                <c:pt idx="258">
                  <c:v>49905</c:v>
                </c:pt>
                <c:pt idx="259">
                  <c:v>49936</c:v>
                </c:pt>
                <c:pt idx="260">
                  <c:v>49968</c:v>
                </c:pt>
                <c:pt idx="261">
                  <c:v>49999</c:v>
                </c:pt>
                <c:pt idx="262">
                  <c:v>50031</c:v>
                </c:pt>
                <c:pt idx="263">
                  <c:v>50062</c:v>
                </c:pt>
                <c:pt idx="264">
                  <c:v>50094</c:v>
                </c:pt>
                <c:pt idx="265">
                  <c:v>50122</c:v>
                </c:pt>
                <c:pt idx="266">
                  <c:v>50153</c:v>
                </c:pt>
                <c:pt idx="267">
                  <c:v>50185</c:v>
                </c:pt>
                <c:pt idx="268">
                  <c:v>50216</c:v>
                </c:pt>
                <c:pt idx="269">
                  <c:v>50248</c:v>
                </c:pt>
                <c:pt idx="270">
                  <c:v>50279</c:v>
                </c:pt>
                <c:pt idx="271">
                  <c:v>50311</c:v>
                </c:pt>
                <c:pt idx="272">
                  <c:v>50341</c:v>
                </c:pt>
                <c:pt idx="273">
                  <c:v>50374</c:v>
                </c:pt>
                <c:pt idx="274">
                  <c:v>50404</c:v>
                </c:pt>
                <c:pt idx="275">
                  <c:v>50437</c:v>
                </c:pt>
                <c:pt idx="276">
                  <c:v>50465</c:v>
                </c:pt>
                <c:pt idx="277">
                  <c:v>50496</c:v>
                </c:pt>
                <c:pt idx="278">
                  <c:v>50528</c:v>
                </c:pt>
                <c:pt idx="279">
                  <c:v>50559</c:v>
                </c:pt>
                <c:pt idx="280">
                  <c:v>50591</c:v>
                </c:pt>
                <c:pt idx="281">
                  <c:v>50622</c:v>
                </c:pt>
                <c:pt idx="282">
                  <c:v>50654</c:v>
                </c:pt>
                <c:pt idx="283">
                  <c:v>50684</c:v>
                </c:pt>
                <c:pt idx="284">
                  <c:v>50717</c:v>
                </c:pt>
                <c:pt idx="285">
                  <c:v>50747</c:v>
                </c:pt>
                <c:pt idx="286">
                  <c:v>50780</c:v>
                </c:pt>
                <c:pt idx="287">
                  <c:v>50811</c:v>
                </c:pt>
                <c:pt idx="288">
                  <c:v>50839</c:v>
                </c:pt>
                <c:pt idx="289">
                  <c:v>50872</c:v>
                </c:pt>
                <c:pt idx="290">
                  <c:v>50902</c:v>
                </c:pt>
                <c:pt idx="291">
                  <c:v>50934</c:v>
                </c:pt>
                <c:pt idx="292">
                  <c:v>50964</c:v>
                </c:pt>
                <c:pt idx="293">
                  <c:v>50997</c:v>
                </c:pt>
                <c:pt idx="294">
                  <c:v>51028</c:v>
                </c:pt>
                <c:pt idx="295">
                  <c:v>51060</c:v>
                </c:pt>
                <c:pt idx="296">
                  <c:v>51091</c:v>
                </c:pt>
                <c:pt idx="297">
                  <c:v>51123</c:v>
                </c:pt>
                <c:pt idx="298">
                  <c:v>51154</c:v>
                </c:pt>
                <c:pt idx="299">
                  <c:v>51186</c:v>
                </c:pt>
                <c:pt idx="300">
                  <c:v>51215</c:v>
                </c:pt>
                <c:pt idx="301">
                  <c:v>51246</c:v>
                </c:pt>
                <c:pt idx="302">
                  <c:v>51277</c:v>
                </c:pt>
                <c:pt idx="303">
                  <c:v>51308</c:v>
                </c:pt>
                <c:pt idx="304">
                  <c:v>51340</c:v>
                </c:pt>
                <c:pt idx="305">
                  <c:v>51371</c:v>
                </c:pt>
                <c:pt idx="306">
                  <c:v>51403</c:v>
                </c:pt>
                <c:pt idx="307">
                  <c:v>51433</c:v>
                </c:pt>
                <c:pt idx="308">
                  <c:v>51466</c:v>
                </c:pt>
                <c:pt idx="309">
                  <c:v>51497</c:v>
                </c:pt>
                <c:pt idx="310">
                  <c:v>51529</c:v>
                </c:pt>
                <c:pt idx="311">
                  <c:v>51560</c:v>
                </c:pt>
                <c:pt idx="312">
                  <c:v>51588</c:v>
                </c:pt>
                <c:pt idx="313">
                  <c:v>51620</c:v>
                </c:pt>
                <c:pt idx="314">
                  <c:v>51650</c:v>
                </c:pt>
                <c:pt idx="315">
                  <c:v>51683</c:v>
                </c:pt>
                <c:pt idx="316">
                  <c:v>51714</c:v>
                </c:pt>
                <c:pt idx="317">
                  <c:v>51746</c:v>
                </c:pt>
                <c:pt idx="318">
                  <c:v>51776</c:v>
                </c:pt>
                <c:pt idx="319">
                  <c:v>51809</c:v>
                </c:pt>
                <c:pt idx="320">
                  <c:v>51839</c:v>
                </c:pt>
                <c:pt idx="321">
                  <c:v>51872</c:v>
                </c:pt>
                <c:pt idx="322">
                  <c:v>51903</c:v>
                </c:pt>
                <c:pt idx="323">
                  <c:v>51931</c:v>
                </c:pt>
                <c:pt idx="324">
                  <c:v>51964</c:v>
                </c:pt>
                <c:pt idx="325">
                  <c:v>51994</c:v>
                </c:pt>
                <c:pt idx="326">
                  <c:v>52026</c:v>
                </c:pt>
                <c:pt idx="327">
                  <c:v>52056</c:v>
                </c:pt>
                <c:pt idx="328">
                  <c:v>52089</c:v>
                </c:pt>
                <c:pt idx="329">
                  <c:v>52120</c:v>
                </c:pt>
                <c:pt idx="330">
                  <c:v>52152</c:v>
                </c:pt>
                <c:pt idx="331">
                  <c:v>52183</c:v>
                </c:pt>
                <c:pt idx="332">
                  <c:v>52215</c:v>
                </c:pt>
                <c:pt idx="333">
                  <c:v>52246</c:v>
                </c:pt>
                <c:pt idx="334">
                  <c:v>52278</c:v>
                </c:pt>
                <c:pt idx="335">
                  <c:v>52306</c:v>
                </c:pt>
                <c:pt idx="336">
                  <c:v>52337</c:v>
                </c:pt>
                <c:pt idx="337">
                  <c:v>52369</c:v>
                </c:pt>
                <c:pt idx="338">
                  <c:v>52400</c:v>
                </c:pt>
                <c:pt idx="339">
                  <c:v>52432</c:v>
                </c:pt>
                <c:pt idx="340">
                  <c:v>52463</c:v>
                </c:pt>
                <c:pt idx="341">
                  <c:v>52495</c:v>
                </c:pt>
                <c:pt idx="342">
                  <c:v>52525</c:v>
                </c:pt>
                <c:pt idx="343">
                  <c:v>52558</c:v>
                </c:pt>
                <c:pt idx="344">
                  <c:v>52588</c:v>
                </c:pt>
                <c:pt idx="345">
                  <c:v>52621</c:v>
                </c:pt>
                <c:pt idx="346">
                  <c:v>52652</c:v>
                </c:pt>
                <c:pt idx="347">
                  <c:v>52681</c:v>
                </c:pt>
                <c:pt idx="348">
                  <c:v>52712</c:v>
                </c:pt>
                <c:pt idx="349">
                  <c:v>52742</c:v>
                </c:pt>
                <c:pt idx="350">
                  <c:v>52775</c:v>
                </c:pt>
                <c:pt idx="351">
                  <c:v>52805</c:v>
                </c:pt>
                <c:pt idx="352">
                  <c:v>52838</c:v>
                </c:pt>
                <c:pt idx="353">
                  <c:v>52869</c:v>
                </c:pt>
                <c:pt idx="354">
                  <c:v>52901</c:v>
                </c:pt>
                <c:pt idx="355">
                  <c:v>52931</c:v>
                </c:pt>
                <c:pt idx="356">
                  <c:v>52961</c:v>
                </c:pt>
                <c:pt idx="357">
                  <c:v>52992</c:v>
                </c:pt>
                <c:pt idx="358">
                  <c:v>53021</c:v>
                </c:pt>
                <c:pt idx="359">
                  <c:v>53049</c:v>
                </c:pt>
                <c:pt idx="360">
                  <c:v>53080</c:v>
                </c:pt>
                <c:pt idx="361">
                  <c:v>53111</c:v>
                </c:pt>
                <c:pt idx="362">
                  <c:v>53142</c:v>
                </c:pt>
                <c:pt idx="363">
                  <c:v>53174</c:v>
                </c:pt>
                <c:pt idx="364">
                  <c:v>53205</c:v>
                </c:pt>
                <c:pt idx="365">
                  <c:v>53237</c:v>
                </c:pt>
                <c:pt idx="366">
                  <c:v>53268</c:v>
                </c:pt>
                <c:pt idx="367">
                  <c:v>53300</c:v>
                </c:pt>
                <c:pt idx="368">
                  <c:v>53331</c:v>
                </c:pt>
                <c:pt idx="369">
                  <c:v>53363</c:v>
                </c:pt>
                <c:pt idx="370">
                  <c:v>53391</c:v>
                </c:pt>
                <c:pt idx="371">
                  <c:v>53422</c:v>
                </c:pt>
                <c:pt idx="372">
                  <c:v>53454</c:v>
                </c:pt>
                <c:pt idx="373">
                  <c:v>53485</c:v>
                </c:pt>
                <c:pt idx="374">
                  <c:v>53517</c:v>
                </c:pt>
                <c:pt idx="375">
                  <c:v>53548</c:v>
                </c:pt>
                <c:pt idx="376">
                  <c:v>53580</c:v>
                </c:pt>
                <c:pt idx="377">
                  <c:v>53610</c:v>
                </c:pt>
                <c:pt idx="378">
                  <c:v>53643</c:v>
                </c:pt>
                <c:pt idx="379">
                  <c:v>53673</c:v>
                </c:pt>
                <c:pt idx="380">
                  <c:v>53706</c:v>
                </c:pt>
                <c:pt idx="381">
                  <c:v>53737</c:v>
                </c:pt>
                <c:pt idx="382">
                  <c:v>53765</c:v>
                </c:pt>
                <c:pt idx="383">
                  <c:v>53798</c:v>
                </c:pt>
                <c:pt idx="384">
                  <c:v>53828</c:v>
                </c:pt>
                <c:pt idx="385">
                  <c:v>53860</c:v>
                </c:pt>
                <c:pt idx="386">
                  <c:v>53890</c:v>
                </c:pt>
                <c:pt idx="387">
                  <c:v>53923</c:v>
                </c:pt>
                <c:pt idx="388">
                  <c:v>53954</c:v>
                </c:pt>
                <c:pt idx="389">
                  <c:v>53986</c:v>
                </c:pt>
                <c:pt idx="390">
                  <c:v>54017</c:v>
                </c:pt>
                <c:pt idx="391">
                  <c:v>54049</c:v>
                </c:pt>
                <c:pt idx="392">
                  <c:v>54080</c:v>
                </c:pt>
                <c:pt idx="393">
                  <c:v>54112</c:v>
                </c:pt>
                <c:pt idx="394">
                  <c:v>54141</c:v>
                </c:pt>
                <c:pt idx="395">
                  <c:v>54172</c:v>
                </c:pt>
                <c:pt idx="396">
                  <c:v>54203</c:v>
                </c:pt>
                <c:pt idx="397">
                  <c:v>54234</c:v>
                </c:pt>
                <c:pt idx="398">
                  <c:v>54266</c:v>
                </c:pt>
                <c:pt idx="399">
                  <c:v>54297</c:v>
                </c:pt>
                <c:pt idx="400">
                  <c:v>54329</c:v>
                </c:pt>
                <c:pt idx="401">
                  <c:v>54359</c:v>
                </c:pt>
                <c:pt idx="402">
                  <c:v>54392</c:v>
                </c:pt>
                <c:pt idx="403">
                  <c:v>54422</c:v>
                </c:pt>
                <c:pt idx="404">
                  <c:v>54455</c:v>
                </c:pt>
                <c:pt idx="405">
                  <c:v>54483</c:v>
                </c:pt>
                <c:pt idx="406">
                  <c:v>54514</c:v>
                </c:pt>
                <c:pt idx="407">
                  <c:v>54546</c:v>
                </c:pt>
                <c:pt idx="408">
                  <c:v>54577</c:v>
                </c:pt>
                <c:pt idx="409">
                  <c:v>54609</c:v>
                </c:pt>
                <c:pt idx="410">
                  <c:v>54640</c:v>
                </c:pt>
                <c:pt idx="411">
                  <c:v>54672</c:v>
                </c:pt>
                <c:pt idx="412">
                  <c:v>54702</c:v>
                </c:pt>
                <c:pt idx="413">
                  <c:v>54735</c:v>
                </c:pt>
                <c:pt idx="414">
                  <c:v>54765</c:v>
                </c:pt>
                <c:pt idx="415">
                  <c:v>54798</c:v>
                </c:pt>
                <c:pt idx="416">
                  <c:v>54829</c:v>
                </c:pt>
                <c:pt idx="417">
                  <c:v>54857</c:v>
                </c:pt>
                <c:pt idx="418">
                  <c:v>54890</c:v>
                </c:pt>
                <c:pt idx="419">
                  <c:v>54920</c:v>
                </c:pt>
                <c:pt idx="420">
                  <c:v>54952</c:v>
                </c:pt>
                <c:pt idx="421">
                  <c:v>54982</c:v>
                </c:pt>
                <c:pt idx="422">
                  <c:v>55015</c:v>
                </c:pt>
                <c:pt idx="423">
                  <c:v>55046</c:v>
                </c:pt>
                <c:pt idx="424">
                  <c:v>55078</c:v>
                </c:pt>
                <c:pt idx="425">
                  <c:v>55109</c:v>
                </c:pt>
                <c:pt idx="426">
                  <c:v>55141</c:v>
                </c:pt>
                <c:pt idx="427">
                  <c:v>55172</c:v>
                </c:pt>
                <c:pt idx="428">
                  <c:v>55204</c:v>
                </c:pt>
                <c:pt idx="429">
                  <c:v>55232</c:v>
                </c:pt>
                <c:pt idx="430">
                  <c:v>55263</c:v>
                </c:pt>
                <c:pt idx="431">
                  <c:v>55295</c:v>
                </c:pt>
                <c:pt idx="432">
                  <c:v>55326</c:v>
                </c:pt>
                <c:pt idx="433">
                  <c:v>55358</c:v>
                </c:pt>
                <c:pt idx="434">
                  <c:v>55389</c:v>
                </c:pt>
                <c:pt idx="435">
                  <c:v>55421</c:v>
                </c:pt>
                <c:pt idx="436">
                  <c:v>55451</c:v>
                </c:pt>
                <c:pt idx="437">
                  <c:v>55484</c:v>
                </c:pt>
                <c:pt idx="438">
                  <c:v>55514</c:v>
                </c:pt>
                <c:pt idx="439">
                  <c:v>55547</c:v>
                </c:pt>
                <c:pt idx="440">
                  <c:v>55578</c:v>
                </c:pt>
                <c:pt idx="441">
                  <c:v>55607</c:v>
                </c:pt>
                <c:pt idx="442">
                  <c:v>55638</c:v>
                </c:pt>
                <c:pt idx="443">
                  <c:v>55668</c:v>
                </c:pt>
                <c:pt idx="444">
                  <c:v>55701</c:v>
                </c:pt>
                <c:pt idx="445">
                  <c:v>55732</c:v>
                </c:pt>
                <c:pt idx="446">
                  <c:v>55764</c:v>
                </c:pt>
                <c:pt idx="447">
                  <c:v>55794</c:v>
                </c:pt>
                <c:pt idx="448">
                  <c:v>55827</c:v>
                </c:pt>
                <c:pt idx="449">
                  <c:v>55857</c:v>
                </c:pt>
                <c:pt idx="450">
                  <c:v>55890</c:v>
                </c:pt>
                <c:pt idx="451">
                  <c:v>55921</c:v>
                </c:pt>
                <c:pt idx="452">
                  <c:v>55949</c:v>
                </c:pt>
                <c:pt idx="453">
                  <c:v>55982</c:v>
                </c:pt>
                <c:pt idx="454">
                  <c:v>56012</c:v>
                </c:pt>
                <c:pt idx="455">
                  <c:v>56044</c:v>
                </c:pt>
                <c:pt idx="456">
                  <c:v>56074</c:v>
                </c:pt>
                <c:pt idx="457">
                  <c:v>56107</c:v>
                </c:pt>
                <c:pt idx="458">
                  <c:v>56138</c:v>
                </c:pt>
                <c:pt idx="459">
                  <c:v>56170</c:v>
                </c:pt>
                <c:pt idx="460">
                  <c:v>56201</c:v>
                </c:pt>
                <c:pt idx="461">
                  <c:v>56233</c:v>
                </c:pt>
                <c:pt idx="462">
                  <c:v>56264</c:v>
                </c:pt>
                <c:pt idx="463">
                  <c:v>56296</c:v>
                </c:pt>
                <c:pt idx="464">
                  <c:v>56324</c:v>
                </c:pt>
                <c:pt idx="465">
                  <c:v>56355</c:v>
                </c:pt>
                <c:pt idx="466">
                  <c:v>56387</c:v>
                </c:pt>
                <c:pt idx="467">
                  <c:v>56418</c:v>
                </c:pt>
                <c:pt idx="468">
                  <c:v>56450</c:v>
                </c:pt>
                <c:pt idx="469">
                  <c:v>56481</c:v>
                </c:pt>
                <c:pt idx="470">
                  <c:v>56513</c:v>
                </c:pt>
                <c:pt idx="471">
                  <c:v>56543</c:v>
                </c:pt>
                <c:pt idx="472">
                  <c:v>56576</c:v>
                </c:pt>
                <c:pt idx="473">
                  <c:v>56606</c:v>
                </c:pt>
                <c:pt idx="474">
                  <c:v>56639</c:v>
                </c:pt>
                <c:pt idx="475">
                  <c:v>56670</c:v>
                </c:pt>
                <c:pt idx="476">
                  <c:v>56698</c:v>
                </c:pt>
                <c:pt idx="477">
                  <c:v>56730</c:v>
                </c:pt>
                <c:pt idx="478">
                  <c:v>56760</c:v>
                </c:pt>
                <c:pt idx="479">
                  <c:v>56793</c:v>
                </c:pt>
                <c:pt idx="480">
                  <c:v>56823</c:v>
                </c:pt>
                <c:pt idx="481">
                  <c:v>56856</c:v>
                </c:pt>
                <c:pt idx="482">
                  <c:v>56887</c:v>
                </c:pt>
                <c:pt idx="483">
                  <c:v>56919</c:v>
                </c:pt>
                <c:pt idx="484">
                  <c:v>56949</c:v>
                </c:pt>
                <c:pt idx="485">
                  <c:v>56982</c:v>
                </c:pt>
                <c:pt idx="486">
                  <c:v>57013</c:v>
                </c:pt>
                <c:pt idx="487">
                  <c:v>57042</c:v>
                </c:pt>
                <c:pt idx="488">
                  <c:v>57074</c:v>
                </c:pt>
                <c:pt idx="489">
                  <c:v>57104</c:v>
                </c:pt>
                <c:pt idx="490">
                  <c:v>57136</c:v>
                </c:pt>
                <c:pt idx="491">
                  <c:v>57166</c:v>
                </c:pt>
                <c:pt idx="492">
                  <c:v>57199</c:v>
                </c:pt>
                <c:pt idx="493">
                  <c:v>57230</c:v>
                </c:pt>
                <c:pt idx="494">
                  <c:v>57262</c:v>
                </c:pt>
                <c:pt idx="495">
                  <c:v>57293</c:v>
                </c:pt>
                <c:pt idx="496">
                  <c:v>57325</c:v>
                </c:pt>
                <c:pt idx="497">
                  <c:v>57356</c:v>
                </c:pt>
                <c:pt idx="498">
                  <c:v>57388</c:v>
                </c:pt>
                <c:pt idx="499">
                  <c:v>57416</c:v>
                </c:pt>
                <c:pt idx="500">
                  <c:v>57447</c:v>
                </c:pt>
                <c:pt idx="501">
                  <c:v>57479</c:v>
                </c:pt>
                <c:pt idx="502">
                  <c:v>57510</c:v>
                </c:pt>
                <c:pt idx="503">
                  <c:v>57542</c:v>
                </c:pt>
                <c:pt idx="504">
                  <c:v>57573</c:v>
                </c:pt>
                <c:pt idx="505">
                  <c:v>57605</c:v>
                </c:pt>
                <c:pt idx="506">
                  <c:v>57635</c:v>
                </c:pt>
                <c:pt idx="507">
                  <c:v>57668</c:v>
                </c:pt>
                <c:pt idx="508">
                  <c:v>57698</c:v>
                </c:pt>
                <c:pt idx="509">
                  <c:v>57731</c:v>
                </c:pt>
                <c:pt idx="510">
                  <c:v>57762</c:v>
                </c:pt>
                <c:pt idx="511">
                  <c:v>57790</c:v>
                </c:pt>
                <c:pt idx="512">
                  <c:v>57822</c:v>
                </c:pt>
                <c:pt idx="513">
                  <c:v>57852</c:v>
                </c:pt>
                <c:pt idx="514">
                  <c:v>57885</c:v>
                </c:pt>
                <c:pt idx="515">
                  <c:v>57915</c:v>
                </c:pt>
                <c:pt idx="516">
                  <c:v>57948</c:v>
                </c:pt>
                <c:pt idx="517">
                  <c:v>57979</c:v>
                </c:pt>
                <c:pt idx="518">
                  <c:v>58011</c:v>
                </c:pt>
                <c:pt idx="519">
                  <c:v>58042</c:v>
                </c:pt>
                <c:pt idx="520">
                  <c:v>58074</c:v>
                </c:pt>
                <c:pt idx="521">
                  <c:v>58105</c:v>
                </c:pt>
                <c:pt idx="522">
                  <c:v>58134</c:v>
                </c:pt>
                <c:pt idx="523">
                  <c:v>58166</c:v>
                </c:pt>
                <c:pt idx="524">
                  <c:v>58197</c:v>
                </c:pt>
                <c:pt idx="525">
                  <c:v>58228</c:v>
                </c:pt>
                <c:pt idx="526">
                  <c:v>58258</c:v>
                </c:pt>
                <c:pt idx="527">
                  <c:v>58291</c:v>
                </c:pt>
                <c:pt idx="528">
                  <c:v>58322</c:v>
                </c:pt>
                <c:pt idx="529">
                  <c:v>58354</c:v>
                </c:pt>
                <c:pt idx="530">
                  <c:v>58385</c:v>
                </c:pt>
                <c:pt idx="531">
                  <c:v>58417</c:v>
                </c:pt>
                <c:pt idx="532">
                  <c:v>58448</c:v>
                </c:pt>
                <c:pt idx="533">
                  <c:v>58480</c:v>
                </c:pt>
                <c:pt idx="534">
                  <c:v>58509</c:v>
                </c:pt>
                <c:pt idx="535">
                  <c:v>58540</c:v>
                </c:pt>
                <c:pt idx="536">
                  <c:v>58571</c:v>
                </c:pt>
                <c:pt idx="537">
                  <c:v>58602</c:v>
                </c:pt>
                <c:pt idx="538">
                  <c:v>58634</c:v>
                </c:pt>
                <c:pt idx="539">
                  <c:v>58665</c:v>
                </c:pt>
                <c:pt idx="540">
                  <c:v>58697</c:v>
                </c:pt>
                <c:pt idx="541">
                  <c:v>58727</c:v>
                </c:pt>
                <c:pt idx="542">
                  <c:v>58760</c:v>
                </c:pt>
                <c:pt idx="543">
                  <c:v>58790</c:v>
                </c:pt>
                <c:pt idx="544">
                  <c:v>58823</c:v>
                </c:pt>
                <c:pt idx="545">
                  <c:v>58854</c:v>
                </c:pt>
                <c:pt idx="546">
                  <c:v>58882</c:v>
                </c:pt>
                <c:pt idx="547">
                  <c:v>58914</c:v>
                </c:pt>
                <c:pt idx="548">
                  <c:v>58944</c:v>
                </c:pt>
                <c:pt idx="549">
                  <c:v>58977</c:v>
                </c:pt>
                <c:pt idx="550">
                  <c:v>59007</c:v>
                </c:pt>
                <c:pt idx="551">
                  <c:v>59040</c:v>
                </c:pt>
                <c:pt idx="552">
                  <c:v>59071</c:v>
                </c:pt>
                <c:pt idx="553">
                  <c:v>59103</c:v>
                </c:pt>
                <c:pt idx="554">
                  <c:v>59134</c:v>
                </c:pt>
                <c:pt idx="555">
                  <c:v>59167</c:v>
                </c:pt>
                <c:pt idx="556">
                  <c:v>59198</c:v>
                </c:pt>
                <c:pt idx="557">
                  <c:v>59229</c:v>
                </c:pt>
                <c:pt idx="558">
                  <c:v>59258</c:v>
                </c:pt>
                <c:pt idx="559">
                  <c:v>59289</c:v>
                </c:pt>
                <c:pt idx="560">
                  <c:v>59320</c:v>
                </c:pt>
                <c:pt idx="561">
                  <c:v>59351</c:v>
                </c:pt>
                <c:pt idx="562">
                  <c:v>59383</c:v>
                </c:pt>
                <c:pt idx="563">
                  <c:v>59414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59540</c:v>
                </c:pt>
                <c:pt idx="568">
                  <c:v>59572</c:v>
                </c:pt>
                <c:pt idx="569">
                  <c:v>59600</c:v>
                </c:pt>
                <c:pt idx="570">
                  <c:v>59631</c:v>
                </c:pt>
                <c:pt idx="571">
                  <c:v>59663</c:v>
                </c:pt>
                <c:pt idx="572">
                  <c:v>59694</c:v>
                </c:pt>
                <c:pt idx="573">
                  <c:v>59726</c:v>
                </c:pt>
                <c:pt idx="574">
                  <c:v>59757</c:v>
                </c:pt>
                <c:pt idx="575">
                  <c:v>59789</c:v>
                </c:pt>
                <c:pt idx="576">
                  <c:v>59819</c:v>
                </c:pt>
                <c:pt idx="577">
                  <c:v>59852</c:v>
                </c:pt>
                <c:pt idx="578">
                  <c:v>59882</c:v>
                </c:pt>
                <c:pt idx="579">
                  <c:v>59915</c:v>
                </c:pt>
                <c:pt idx="580" formatCode="General">
                  <c:v>59946</c:v>
                </c:pt>
                <c:pt idx="581" formatCode="General">
                  <c:v>59975</c:v>
                </c:pt>
                <c:pt idx="582" formatCode="General">
                  <c:v>60006</c:v>
                </c:pt>
                <c:pt idx="583" formatCode="General">
                  <c:v>60036</c:v>
                </c:pt>
              </c:numCache>
            </c:numRef>
          </c:cat>
          <c:val>
            <c:numRef>
              <c:f>'basis 6M '!$O$2:$O$585</c:f>
              <c:numCache>
                <c:formatCode>0.0000%</c:formatCode>
                <c:ptCount val="584"/>
                <c:pt idx="0">
                  <c:v>2.9908541140523858E-3</c:v>
                </c:pt>
                <c:pt idx="1">
                  <c:v>2.9300000000499838E-3</c:v>
                </c:pt>
                <c:pt idx="2">
                  <c:v>2.9200000004203034E-3</c:v>
                </c:pt>
                <c:pt idx="3">
                  <c:v>2.9100000000000462E-3</c:v>
                </c:pt>
                <c:pt idx="4">
                  <c:v>2.8878802534513396E-3</c:v>
                </c:pt>
                <c:pt idx="5">
                  <c:v>2.8572575854723826E-3</c:v>
                </c:pt>
                <c:pt idx="6">
                  <c:v>2.8478473256412433E-3</c:v>
                </c:pt>
                <c:pt idx="7">
                  <c:v>2.8454323017558197E-3</c:v>
                </c:pt>
                <c:pt idx="8">
                  <c:v>2.877235618295294E-3</c:v>
                </c:pt>
                <c:pt idx="9">
                  <c:v>2.91522930653661E-3</c:v>
                </c:pt>
                <c:pt idx="10">
                  <c:v>2.9662286332573381E-3</c:v>
                </c:pt>
                <c:pt idx="11">
                  <c:v>3.0466066354241433E-3</c:v>
                </c:pt>
                <c:pt idx="12">
                  <c:v>3.1161307177696648E-3</c:v>
                </c:pt>
                <c:pt idx="13">
                  <c:v>3.1951131888955341E-3</c:v>
                </c:pt>
                <c:pt idx="14">
                  <c:v>3.294383683154089E-3</c:v>
                </c:pt>
                <c:pt idx="15">
                  <c:v>3.3905979098139082E-3</c:v>
                </c:pt>
                <c:pt idx="16">
                  <c:v>3.4946816878595913E-3</c:v>
                </c:pt>
                <c:pt idx="17">
                  <c:v>3.6098993099465825E-3</c:v>
                </c:pt>
                <c:pt idx="18">
                  <c:v>3.7378998264410257E-3</c:v>
                </c:pt>
                <c:pt idx="19">
                  <c:v>3.8213101855993194E-3</c:v>
                </c:pt>
                <c:pt idx="20">
                  <c:v>3.9151381074001039E-3</c:v>
                </c:pt>
                <c:pt idx="21">
                  <c:v>4.0674658832319105E-3</c:v>
                </c:pt>
                <c:pt idx="22">
                  <c:v>4.2351692402570838E-3</c:v>
                </c:pt>
                <c:pt idx="23">
                  <c:v>4.391463767972832E-3</c:v>
                </c:pt>
                <c:pt idx="24">
                  <c:v>4.5262598139892618E-3</c:v>
                </c:pt>
                <c:pt idx="25">
                  <c:v>4.6821666871542673E-3</c:v>
                </c:pt>
                <c:pt idx="26">
                  <c:v>4.8351743397887703E-3</c:v>
                </c:pt>
                <c:pt idx="27">
                  <c:v>5.0059334936742306E-3</c:v>
                </c:pt>
                <c:pt idx="28">
                  <c:v>5.1728743586797535E-3</c:v>
                </c:pt>
                <c:pt idx="29">
                  <c:v>5.3584938932297772E-3</c:v>
                </c:pt>
                <c:pt idx="30">
                  <c:v>5.5307495403248471E-3</c:v>
                </c:pt>
                <c:pt idx="31">
                  <c:v>5.7177876519965776E-3</c:v>
                </c:pt>
                <c:pt idx="32">
                  <c:v>5.9241694011521904E-3</c:v>
                </c:pt>
                <c:pt idx="33">
                  <c:v>6.1235611980046348E-3</c:v>
                </c:pt>
                <c:pt idx="34">
                  <c:v>6.3423016427434434E-3</c:v>
                </c:pt>
                <c:pt idx="35">
                  <c:v>6.5634507162918897E-3</c:v>
                </c:pt>
                <c:pt idx="36">
                  <c:v>6.774727250933945E-3</c:v>
                </c:pt>
                <c:pt idx="37">
                  <c:v>6.9910705680687286E-3</c:v>
                </c:pt>
                <c:pt idx="38">
                  <c:v>7.2342717184308248E-3</c:v>
                </c:pt>
                <c:pt idx="39">
                  <c:v>7.4601139448849446E-3</c:v>
                </c:pt>
                <c:pt idx="40">
                  <c:v>7.7137675879289797E-3</c:v>
                </c:pt>
                <c:pt idx="41">
                  <c:v>7.9529129752484978E-3</c:v>
                </c:pt>
                <c:pt idx="42">
                  <c:v>8.1977524148011821E-3</c:v>
                </c:pt>
                <c:pt idx="43">
                  <c:v>8.4459582892018204E-3</c:v>
                </c:pt>
                <c:pt idx="44">
                  <c:v>8.6996071629224358E-3</c:v>
                </c:pt>
                <c:pt idx="45">
                  <c:v>8.9747743102989667E-3</c:v>
                </c:pt>
                <c:pt idx="46">
                  <c:v>9.2383525163843572E-3</c:v>
                </c:pt>
                <c:pt idx="47">
                  <c:v>9.5287940242589526E-3</c:v>
                </c:pt>
                <c:pt idx="48">
                  <c:v>9.7926287973852423E-3</c:v>
                </c:pt>
                <c:pt idx="49">
                  <c:v>1.0094307850419018E-2</c:v>
                </c:pt>
                <c:pt idx="50">
                  <c:v>1.0372682850072389E-2</c:v>
                </c:pt>
                <c:pt idx="51">
                  <c:v>1.0680305572668225E-2</c:v>
                </c:pt>
                <c:pt idx="52">
                  <c:v>1.0973587863382605E-2</c:v>
                </c:pt>
                <c:pt idx="53">
                  <c:v>1.129198447323923E-2</c:v>
                </c:pt>
                <c:pt idx="54">
                  <c:v>1.1580677372528861E-2</c:v>
                </c:pt>
                <c:pt idx="55">
                  <c:v>1.1886880227064613E-2</c:v>
                </c:pt>
                <c:pt idx="56">
                  <c:v>1.2216257306773391E-2</c:v>
                </c:pt>
                <c:pt idx="57">
                  <c:v>1.2526239406892079E-2</c:v>
                </c:pt>
                <c:pt idx="58">
                  <c:v>1.2857145587994688E-2</c:v>
                </c:pt>
                <c:pt idx="59">
                  <c:v>1.3166315451202948E-2</c:v>
                </c:pt>
                <c:pt idx="60">
                  <c:v>1.3489248862863585E-2</c:v>
                </c:pt>
                <c:pt idx="61">
                  <c:v>1.3790429765841612E-2</c:v>
                </c:pt>
                <c:pt idx="62">
                  <c:v>1.4119973969870853E-2</c:v>
                </c:pt>
                <c:pt idx="63">
                  <c:v>1.4422655435593386E-2</c:v>
                </c:pt>
                <c:pt idx="64">
                  <c:v>1.4738795009851749E-2</c:v>
                </c:pt>
                <c:pt idx="65">
                  <c:v>1.5034166714005936E-2</c:v>
                </c:pt>
                <c:pt idx="66">
                  <c:v>1.5342175702962695E-2</c:v>
                </c:pt>
                <c:pt idx="67">
                  <c:v>1.5637676923260527E-2</c:v>
                </c:pt>
                <c:pt idx="68">
                  <c:v>1.5930701981420561E-2</c:v>
                </c:pt>
                <c:pt idx="69">
                  <c:v>1.6240464865001927E-2</c:v>
                </c:pt>
                <c:pt idx="70">
                  <c:v>1.6542273909240054E-2</c:v>
                </c:pt>
                <c:pt idx="71">
                  <c:v>1.6819806823414628E-2</c:v>
                </c:pt>
                <c:pt idx="72">
                  <c:v>1.7095075926079988E-2</c:v>
                </c:pt>
                <c:pt idx="73">
                  <c:v>1.7393783103638132E-2</c:v>
                </c:pt>
                <c:pt idx="74">
                  <c:v>1.7661616380650697E-2</c:v>
                </c:pt>
                <c:pt idx="75">
                  <c:v>1.7952140643396713E-2</c:v>
                </c:pt>
                <c:pt idx="76">
                  <c:v>1.821644223742086E-2</c:v>
                </c:pt>
                <c:pt idx="77">
                  <c:v>1.8479483544747457E-2</c:v>
                </c:pt>
                <c:pt idx="78">
                  <c:v>1.8735322154413162E-2</c:v>
                </c:pt>
                <c:pt idx="79">
                  <c:v>1.8988544712877437E-2</c:v>
                </c:pt>
                <c:pt idx="80">
                  <c:v>1.9252436222499347E-2</c:v>
                </c:pt>
                <c:pt idx="81">
                  <c:v>1.9495831356052602E-2</c:v>
                </c:pt>
                <c:pt idx="82">
                  <c:v>1.9752782588880979E-2</c:v>
                </c:pt>
                <c:pt idx="83">
                  <c:v>1.9975607302293728E-2</c:v>
                </c:pt>
                <c:pt idx="84">
                  <c:v>2.022110638662182E-2</c:v>
                </c:pt>
                <c:pt idx="85">
                  <c:v>2.0436780698222183E-2</c:v>
                </c:pt>
                <c:pt idx="86">
                  <c:v>2.0665830412870023E-2</c:v>
                </c:pt>
                <c:pt idx="87">
                  <c:v>2.0874021285480091E-2</c:v>
                </c:pt>
                <c:pt idx="88">
                  <c:v>2.1090742995050486E-2</c:v>
                </c:pt>
                <c:pt idx="89">
                  <c:v>2.1279350801226608E-2</c:v>
                </c:pt>
                <c:pt idx="90">
                  <c:v>2.1470572966660502E-2</c:v>
                </c:pt>
                <c:pt idx="91">
                  <c:v>2.1669241962285916E-2</c:v>
                </c:pt>
                <c:pt idx="92">
                  <c:v>2.1848755457443539E-2</c:v>
                </c:pt>
                <c:pt idx="93">
                  <c:v>2.2034958040173382E-2</c:v>
                </c:pt>
                <c:pt idx="94">
                  <c:v>2.2212592334890258E-2</c:v>
                </c:pt>
                <c:pt idx="95">
                  <c:v>2.2369942600184361E-2</c:v>
                </c:pt>
                <c:pt idx="96">
                  <c:v>2.2524121680517026E-2</c:v>
                </c:pt>
                <c:pt idx="97">
                  <c:v>2.2687336509856722E-2</c:v>
                </c:pt>
                <c:pt idx="98">
                  <c:v>2.2829910328819907E-2</c:v>
                </c:pt>
                <c:pt idx="99">
                  <c:v>2.2980356443595681E-2</c:v>
                </c:pt>
                <c:pt idx="100">
                  <c:v>2.311262925469957E-2</c:v>
                </c:pt>
                <c:pt idx="101">
                  <c:v>2.3230266606182569E-2</c:v>
                </c:pt>
                <c:pt idx="102">
                  <c:v>2.336141023760183E-2</c:v>
                </c:pt>
                <c:pt idx="103">
                  <c:v>2.347793589220587E-2</c:v>
                </c:pt>
                <c:pt idx="104">
                  <c:v>2.359414305916514E-2</c:v>
                </c:pt>
                <c:pt idx="105">
                  <c:v>2.371715315906375E-2</c:v>
                </c:pt>
                <c:pt idx="106">
                  <c:v>2.3827123861896296E-2</c:v>
                </c:pt>
                <c:pt idx="107">
                  <c:v>2.3947677910835092E-2</c:v>
                </c:pt>
                <c:pt idx="108">
                  <c:v>2.4058362923967937E-2</c:v>
                </c:pt>
                <c:pt idx="109">
                  <c:v>2.4176925197692829E-2</c:v>
                </c:pt>
                <c:pt idx="110">
                  <c:v>2.4285711163164702E-2</c:v>
                </c:pt>
                <c:pt idx="111">
                  <c:v>2.4399699146029231E-2</c:v>
                </c:pt>
                <c:pt idx="112">
                  <c:v>2.4507261541165094E-2</c:v>
                </c:pt>
                <c:pt idx="113">
                  <c:v>2.4618092119747855E-2</c:v>
                </c:pt>
                <c:pt idx="114">
                  <c:v>2.4722218066348233E-2</c:v>
                </c:pt>
                <c:pt idx="115">
                  <c:v>2.4824411839401064E-2</c:v>
                </c:pt>
                <c:pt idx="116">
                  <c:v>2.4932431437642157E-2</c:v>
                </c:pt>
                <c:pt idx="117">
                  <c:v>2.503661097442374E-2</c:v>
                </c:pt>
                <c:pt idx="118">
                  <c:v>2.5126414813934145E-2</c:v>
                </c:pt>
                <c:pt idx="119">
                  <c:v>2.5216398830187357E-2</c:v>
                </c:pt>
                <c:pt idx="120">
                  <c:v>2.5311825990374827E-2</c:v>
                </c:pt>
                <c:pt idx="121">
                  <c:v>2.5395345467467356E-2</c:v>
                </c:pt>
                <c:pt idx="122">
                  <c:v>2.548366068213705E-2</c:v>
                </c:pt>
                <c:pt idx="123">
                  <c:v>2.556112023635175E-2</c:v>
                </c:pt>
                <c:pt idx="124">
                  <c:v>2.5640526159330403E-2</c:v>
                </c:pt>
                <c:pt idx="125">
                  <c:v>2.5709906676647087E-2</c:v>
                </c:pt>
                <c:pt idx="126">
                  <c:v>2.5779538751627879E-2</c:v>
                </c:pt>
                <c:pt idx="127">
                  <c:v>2.5848442272813393E-2</c:v>
                </c:pt>
                <c:pt idx="128">
                  <c:v>2.5911505626753328E-2</c:v>
                </c:pt>
                <c:pt idx="129">
                  <c:v>2.5975207417266277E-2</c:v>
                </c:pt>
                <c:pt idx="130">
                  <c:v>2.6026341987336915E-2</c:v>
                </c:pt>
                <c:pt idx="131">
                  <c:v>2.6083027030524966E-2</c:v>
                </c:pt>
                <c:pt idx="132">
                  <c:v>2.6131210663212626E-2</c:v>
                </c:pt>
                <c:pt idx="133">
                  <c:v>2.6180891147305003E-2</c:v>
                </c:pt>
                <c:pt idx="134">
                  <c:v>2.6222487115560418E-2</c:v>
                </c:pt>
                <c:pt idx="135">
                  <c:v>2.62651615471413E-2</c:v>
                </c:pt>
                <c:pt idx="136">
                  <c:v>2.6301257027665698E-2</c:v>
                </c:pt>
                <c:pt idx="137">
                  <c:v>2.6333567243348167E-2</c:v>
                </c:pt>
                <c:pt idx="138">
                  <c:v>2.636692170204627E-2</c:v>
                </c:pt>
                <c:pt idx="139">
                  <c:v>2.6397992233697723E-2</c:v>
                </c:pt>
                <c:pt idx="140">
                  <c:v>2.6422097605535013E-2</c:v>
                </c:pt>
                <c:pt idx="141">
                  <c:v>2.644468665535615E-2</c:v>
                </c:pt>
                <c:pt idx="142">
                  <c:v>2.6467370440668343E-2</c:v>
                </c:pt>
                <c:pt idx="143">
                  <c:v>2.6485542092889038E-2</c:v>
                </c:pt>
                <c:pt idx="144">
                  <c:v>2.6504873051804396E-2</c:v>
                </c:pt>
                <c:pt idx="145">
                  <c:v>2.6520571357613956E-2</c:v>
                </c:pt>
                <c:pt idx="146">
                  <c:v>2.6535776619780682E-2</c:v>
                </c:pt>
                <c:pt idx="147">
                  <c:v>2.6549243255941008E-2</c:v>
                </c:pt>
                <c:pt idx="148">
                  <c:v>2.6558676044226636E-2</c:v>
                </c:pt>
                <c:pt idx="149">
                  <c:v>2.6568647238681159E-2</c:v>
                </c:pt>
                <c:pt idx="150">
                  <c:v>2.6574264899501255E-2</c:v>
                </c:pt>
                <c:pt idx="151">
                  <c:v>2.6580173106438326E-2</c:v>
                </c:pt>
                <c:pt idx="152">
                  <c:v>2.6584903390040226E-2</c:v>
                </c:pt>
                <c:pt idx="153">
                  <c:v>2.6581930761096526E-2</c:v>
                </c:pt>
                <c:pt idx="154">
                  <c:v>2.658187384186006E-2</c:v>
                </c:pt>
                <c:pt idx="155">
                  <c:v>2.6577825734905029E-2</c:v>
                </c:pt>
                <c:pt idx="156">
                  <c:v>2.6573954710410227E-2</c:v>
                </c:pt>
                <c:pt idx="157">
                  <c:v>2.6565843616527533E-2</c:v>
                </c:pt>
                <c:pt idx="158">
                  <c:v>2.6557056051946915E-2</c:v>
                </c:pt>
                <c:pt idx="159">
                  <c:v>2.6549381352210053E-2</c:v>
                </c:pt>
                <c:pt idx="160">
                  <c:v>2.6535356424801648E-2</c:v>
                </c:pt>
                <c:pt idx="161">
                  <c:v>2.6522128493944891E-2</c:v>
                </c:pt>
                <c:pt idx="162">
                  <c:v>2.6504055173972332E-2</c:v>
                </c:pt>
                <c:pt idx="163">
                  <c:v>2.6487011259901144E-2</c:v>
                </c:pt>
                <c:pt idx="164">
                  <c:v>2.6465472775972585E-2</c:v>
                </c:pt>
                <c:pt idx="165">
                  <c:v>2.6441579133333094E-2</c:v>
                </c:pt>
                <c:pt idx="166">
                  <c:v>2.6417292415637342E-2</c:v>
                </c:pt>
                <c:pt idx="167">
                  <c:v>2.6390781745802731E-2</c:v>
                </c:pt>
                <c:pt idx="168">
                  <c:v>2.636242879768446E-2</c:v>
                </c:pt>
                <c:pt idx="169">
                  <c:v>2.6332110025096583E-2</c:v>
                </c:pt>
                <c:pt idx="170">
                  <c:v>2.6299690841601466E-2</c:v>
                </c:pt>
                <c:pt idx="171">
                  <c:v>2.6270085449546548E-2</c:v>
                </c:pt>
                <c:pt idx="172">
                  <c:v>2.6234599172728145E-2</c:v>
                </c:pt>
                <c:pt idx="173">
                  <c:v>2.6197366486497987E-2</c:v>
                </c:pt>
                <c:pt idx="174">
                  <c:v>2.6159662508695218E-2</c:v>
                </c:pt>
                <c:pt idx="175">
                  <c:v>2.6120743089299087E-2</c:v>
                </c:pt>
                <c:pt idx="176">
                  <c:v>2.6083021803310093E-2</c:v>
                </c:pt>
                <c:pt idx="177">
                  <c:v>2.6042029073810164E-2</c:v>
                </c:pt>
                <c:pt idx="178">
                  <c:v>2.6004696765553104E-2</c:v>
                </c:pt>
                <c:pt idx="179">
                  <c:v>2.5963521065492545E-2</c:v>
                </c:pt>
                <c:pt idx="180">
                  <c:v>2.5924735741421442E-2</c:v>
                </c:pt>
                <c:pt idx="181">
                  <c:v>2.5884592467813782E-2</c:v>
                </c:pt>
                <c:pt idx="182">
                  <c:v>2.584589257337995E-2</c:v>
                </c:pt>
                <c:pt idx="183">
                  <c:v>2.5811446854435201E-2</c:v>
                </c:pt>
                <c:pt idx="184">
                  <c:v>2.5770125866335647E-2</c:v>
                </c:pt>
                <c:pt idx="185">
                  <c:v>2.5732378910021236E-2</c:v>
                </c:pt>
                <c:pt idx="186">
                  <c:v>2.5690709666801113E-2</c:v>
                </c:pt>
                <c:pt idx="187">
                  <c:v>2.5651468427318878E-2</c:v>
                </c:pt>
                <c:pt idx="188">
                  <c:v>2.5609508668013783E-2</c:v>
                </c:pt>
                <c:pt idx="189">
                  <c:v>2.5571086198141673E-2</c:v>
                </c:pt>
                <c:pt idx="190">
                  <c:v>2.5528711392160622E-2</c:v>
                </c:pt>
                <c:pt idx="191">
                  <c:v>2.5490088766244687E-2</c:v>
                </c:pt>
                <c:pt idx="192">
                  <c:v>2.5447493802037043E-2</c:v>
                </c:pt>
                <c:pt idx="193">
                  <c:v>2.5407132018981926E-2</c:v>
                </c:pt>
                <c:pt idx="194">
                  <c:v>2.5372008008464633E-2</c:v>
                </c:pt>
                <c:pt idx="195">
                  <c:v>2.532967214725201E-2</c:v>
                </c:pt>
                <c:pt idx="196">
                  <c:v>2.5290786202001751E-2</c:v>
                </c:pt>
                <c:pt idx="197">
                  <c:v>2.524741826355131E-2</c:v>
                </c:pt>
                <c:pt idx="198">
                  <c:v>2.5208323161049075E-2</c:v>
                </c:pt>
                <c:pt idx="199">
                  <c:v>2.5164960559972707E-2</c:v>
                </c:pt>
                <c:pt idx="200">
                  <c:v>2.5123697205431516E-2</c:v>
                </c:pt>
                <c:pt idx="201">
                  <c:v>2.5081650109541269E-2</c:v>
                </c:pt>
                <c:pt idx="202">
                  <c:v>2.5040405488515424E-2</c:v>
                </c:pt>
                <c:pt idx="203">
                  <c:v>2.4998135944662787E-2</c:v>
                </c:pt>
                <c:pt idx="204">
                  <c:v>2.4956693766217643E-2</c:v>
                </c:pt>
                <c:pt idx="205">
                  <c:v>2.4914012694639977E-2</c:v>
                </c:pt>
                <c:pt idx="206">
                  <c:v>2.4875609101027926E-2</c:v>
                </c:pt>
                <c:pt idx="207">
                  <c:v>2.4834234638530305E-2</c:v>
                </c:pt>
                <c:pt idx="208">
                  <c:v>2.4792398046594097E-2</c:v>
                </c:pt>
                <c:pt idx="209">
                  <c:v>2.4750468693055055E-2</c:v>
                </c:pt>
                <c:pt idx="210">
                  <c:v>2.4707428345429848E-2</c:v>
                </c:pt>
                <c:pt idx="211">
                  <c:v>2.4665787857613614E-2</c:v>
                </c:pt>
                <c:pt idx="212">
                  <c:v>2.4621723652620033E-2</c:v>
                </c:pt>
                <c:pt idx="213">
                  <c:v>2.4580923158180772E-2</c:v>
                </c:pt>
                <c:pt idx="214">
                  <c:v>2.4535932689222082E-2</c:v>
                </c:pt>
                <c:pt idx="215">
                  <c:v>2.449493233737176E-2</c:v>
                </c:pt>
                <c:pt idx="216">
                  <c:v>2.4449722039504587E-2</c:v>
                </c:pt>
                <c:pt idx="217">
                  <c:v>2.4407011974543522E-2</c:v>
                </c:pt>
                <c:pt idx="218">
                  <c:v>2.4369126968487621E-2</c:v>
                </c:pt>
                <c:pt idx="219">
                  <c:v>2.4324580806446013E-2</c:v>
                </c:pt>
                <c:pt idx="220">
                  <c:v>2.4283209270905694E-2</c:v>
                </c:pt>
                <c:pt idx="221">
                  <c:v>2.4237335309162944E-2</c:v>
                </c:pt>
                <c:pt idx="222">
                  <c:v>2.4195754821413919E-2</c:v>
                </c:pt>
                <c:pt idx="223">
                  <c:v>2.4149670307817353E-2</c:v>
                </c:pt>
                <c:pt idx="224">
                  <c:v>2.4106173098702707E-2</c:v>
                </c:pt>
                <c:pt idx="225">
                  <c:v>2.4061191198400639E-2</c:v>
                </c:pt>
                <c:pt idx="226">
                  <c:v>2.4019399326586435E-2</c:v>
                </c:pt>
                <c:pt idx="227">
                  <c:v>2.3977216227406149E-2</c:v>
                </c:pt>
                <c:pt idx="228">
                  <c:v>2.3933527130966654E-2</c:v>
                </c:pt>
                <c:pt idx="229">
                  <c:v>2.389272735135383E-2</c:v>
                </c:pt>
                <c:pt idx="230">
                  <c:v>2.3853098178399333E-2</c:v>
                </c:pt>
                <c:pt idx="231">
                  <c:v>2.3809315654666929E-2</c:v>
                </c:pt>
                <c:pt idx="232">
                  <c:v>2.3765203601678549E-2</c:v>
                </c:pt>
                <c:pt idx="233">
                  <c:v>2.3721168350011864E-2</c:v>
                </c:pt>
                <c:pt idx="234">
                  <c:v>2.3675883485894018E-2</c:v>
                </c:pt>
                <c:pt idx="235">
                  <c:v>2.3631803002016231E-2</c:v>
                </c:pt>
                <c:pt idx="236">
                  <c:v>2.3586650364530417E-2</c:v>
                </c:pt>
                <c:pt idx="237">
                  <c:v>2.3542853111672264E-2</c:v>
                </c:pt>
                <c:pt idx="238">
                  <c:v>2.3497845479073728E-2</c:v>
                </c:pt>
                <c:pt idx="239">
                  <c:v>2.3454195489143109E-2</c:v>
                </c:pt>
                <c:pt idx="240">
                  <c:v>2.340933288220905E-2</c:v>
                </c:pt>
                <c:pt idx="241">
                  <c:v>2.3370200491899265E-2</c:v>
                </c:pt>
                <c:pt idx="242">
                  <c:v>2.3326759865407699E-2</c:v>
                </c:pt>
                <c:pt idx="243">
                  <c:v>2.3282103311832208E-2</c:v>
                </c:pt>
                <c:pt idx="244">
                  <c:v>2.3238809842993501E-2</c:v>
                </c:pt>
                <c:pt idx="245">
                  <c:v>2.3194298406081639E-2</c:v>
                </c:pt>
                <c:pt idx="246">
                  <c:v>2.3151296124329319E-2</c:v>
                </c:pt>
                <c:pt idx="247">
                  <c:v>2.3106692897640304E-2</c:v>
                </c:pt>
                <c:pt idx="248">
                  <c:v>2.3065170881221415E-2</c:v>
                </c:pt>
                <c:pt idx="249">
                  <c:v>2.3019478898015918E-2</c:v>
                </c:pt>
                <c:pt idx="250">
                  <c:v>2.2978092754471081E-2</c:v>
                </c:pt>
                <c:pt idx="251">
                  <c:v>2.2932556979305269E-2</c:v>
                </c:pt>
                <c:pt idx="252">
                  <c:v>2.2889893086375554E-2</c:v>
                </c:pt>
                <c:pt idx="253">
                  <c:v>2.2850156595736682E-2</c:v>
                </c:pt>
                <c:pt idx="254">
                  <c:v>2.2806183407866588E-2</c:v>
                </c:pt>
                <c:pt idx="255">
                  <c:v>2.2765197812644616E-2</c:v>
                </c:pt>
                <c:pt idx="256">
                  <c:v>2.2721342915858235E-2</c:v>
                </c:pt>
                <c:pt idx="257">
                  <c:v>2.2680423443532941E-2</c:v>
                </c:pt>
                <c:pt idx="258">
                  <c:v>2.2635452953913393E-2</c:v>
                </c:pt>
                <c:pt idx="259">
                  <c:v>2.2593197558233108E-2</c:v>
                </c:pt>
                <c:pt idx="260">
                  <c:v>2.2549770181242067E-2</c:v>
                </c:pt>
                <c:pt idx="261">
                  <c:v>2.2507719956767227E-2</c:v>
                </c:pt>
                <c:pt idx="262">
                  <c:v>2.2464437822206952E-2</c:v>
                </c:pt>
                <c:pt idx="263">
                  <c:v>2.2422534176236051E-2</c:v>
                </c:pt>
                <c:pt idx="264">
                  <c:v>2.2379397303160936E-2</c:v>
                </c:pt>
                <c:pt idx="265">
                  <c:v>2.2341733192313359E-2</c:v>
                </c:pt>
                <c:pt idx="266">
                  <c:v>2.2300038372423909E-2</c:v>
                </c:pt>
                <c:pt idx="267">
                  <c:v>2.2257108362067457E-2</c:v>
                </c:pt>
                <c:pt idx="268">
                  <c:v>2.2215603976017708E-2</c:v>
                </c:pt>
                <c:pt idx="269">
                  <c:v>2.2172775356308305E-2</c:v>
                </c:pt>
                <c:pt idx="270">
                  <c:v>2.2131373438404996E-2</c:v>
                </c:pt>
                <c:pt idx="271">
                  <c:v>2.2088713285100883E-2</c:v>
                </c:pt>
                <c:pt idx="272">
                  <c:v>2.2048798864101299E-2</c:v>
                </c:pt>
                <c:pt idx="273">
                  <c:v>2.2004969387887627E-2</c:v>
                </c:pt>
                <c:pt idx="274">
                  <c:v>2.1965193847880902E-2</c:v>
                </c:pt>
                <c:pt idx="275">
                  <c:v>2.1921517131256823E-2</c:v>
                </c:pt>
                <c:pt idx="276">
                  <c:v>2.1884528208494323E-2</c:v>
                </c:pt>
                <c:pt idx="277">
                  <c:v>2.1843630217400895E-2</c:v>
                </c:pt>
                <c:pt idx="278">
                  <c:v>2.1801491754543694E-2</c:v>
                </c:pt>
                <c:pt idx="279">
                  <c:v>2.1760739943874109E-2</c:v>
                </c:pt>
                <c:pt idx="280">
                  <c:v>2.1718746925176242E-2</c:v>
                </c:pt>
                <c:pt idx="281">
                  <c:v>2.1678132209469708E-2</c:v>
                </c:pt>
                <c:pt idx="282">
                  <c:v>2.1636302278179649E-2</c:v>
                </c:pt>
                <c:pt idx="283">
                  <c:v>2.1597143779035724E-2</c:v>
                </c:pt>
                <c:pt idx="284">
                  <c:v>2.1554145765535677E-2</c:v>
                </c:pt>
                <c:pt idx="285">
                  <c:v>2.1515126054142714E-2</c:v>
                </c:pt>
                <c:pt idx="286">
                  <c:v>2.1472280697849105E-2</c:v>
                </c:pt>
                <c:pt idx="287">
                  <c:v>2.1432115504252634E-2</c:v>
                </c:pt>
                <c:pt idx="288">
                  <c:v>2.1395849185801067E-2</c:v>
                </c:pt>
                <c:pt idx="289">
                  <c:v>2.1353412108509162E-2</c:v>
                </c:pt>
                <c:pt idx="290">
                  <c:v>2.1315165746535018E-2</c:v>
                </c:pt>
                <c:pt idx="291">
                  <c:v>2.1274882855842218E-2</c:v>
                </c:pt>
                <c:pt idx="292">
                  <c:v>2.1237801197941268E-2</c:v>
                </c:pt>
                <c:pt idx="293">
                  <c:v>2.1197893613319137E-2</c:v>
                </c:pt>
                <c:pt idx="294">
                  <c:v>2.1161288090197503E-2</c:v>
                </c:pt>
                <c:pt idx="295">
                  <c:v>2.1124692521286233E-2</c:v>
                </c:pt>
                <c:pt idx="296">
                  <c:v>2.1090110817863841E-2</c:v>
                </c:pt>
                <c:pt idx="297">
                  <c:v>2.105561954905558E-2</c:v>
                </c:pt>
                <c:pt idx="298">
                  <c:v>2.1023020350946022E-2</c:v>
                </c:pt>
                <c:pt idx="299">
                  <c:v>2.0990507636503113E-2</c:v>
                </c:pt>
                <c:pt idx="300">
                  <c:v>2.0962232027503466E-2</c:v>
                </c:pt>
                <c:pt idx="301">
                  <c:v>2.0932848595220935E-2</c:v>
                </c:pt>
                <c:pt idx="302">
                  <c:v>2.0904146713277175E-2</c:v>
                </c:pt>
                <c:pt idx="303">
                  <c:v>2.0876405837713108E-2</c:v>
                </c:pt>
                <c:pt idx="304">
                  <c:v>2.0849178255245331E-2</c:v>
                </c:pt>
                <c:pt idx="305">
                  <c:v>2.0824054467741573E-2</c:v>
                </c:pt>
                <c:pt idx="306">
                  <c:v>2.0797842583566917E-2</c:v>
                </c:pt>
                <c:pt idx="307">
                  <c:v>2.077502045425527E-2</c:v>
                </c:pt>
                <c:pt idx="308">
                  <c:v>2.0750985958318507E-2</c:v>
                </c:pt>
                <c:pt idx="309">
                  <c:v>2.0729429023177828E-2</c:v>
                </c:pt>
                <c:pt idx="310">
                  <c:v>2.0708214059583615E-2</c:v>
                </c:pt>
                <c:pt idx="311">
                  <c:v>2.0688967853518824E-2</c:v>
                </c:pt>
                <c:pt idx="312">
                  <c:v>2.0673120862010445E-2</c:v>
                </c:pt>
                <c:pt idx="313">
                  <c:v>2.0653972963492601E-2</c:v>
                </c:pt>
                <c:pt idx="314">
                  <c:v>2.063820937670725E-2</c:v>
                </c:pt>
                <c:pt idx="315">
                  <c:v>2.062193705857112E-2</c:v>
                </c:pt>
                <c:pt idx="316">
                  <c:v>2.0607724240891214E-2</c:v>
                </c:pt>
                <c:pt idx="317">
                  <c:v>2.0592151009018123E-2</c:v>
                </c:pt>
                <c:pt idx="318">
                  <c:v>2.0579917715396506E-2</c:v>
                </c:pt>
                <c:pt idx="319">
                  <c:v>2.0567530626067292E-2</c:v>
                </c:pt>
                <c:pt idx="320">
                  <c:v>2.0557241922108595E-2</c:v>
                </c:pt>
                <c:pt idx="321">
                  <c:v>2.0546993845110596E-2</c:v>
                </c:pt>
                <c:pt idx="322">
                  <c:v>2.0537919035700819E-2</c:v>
                </c:pt>
                <c:pt idx="323">
                  <c:v>2.053339712752348E-2</c:v>
                </c:pt>
                <c:pt idx="324">
                  <c:v>2.0524838619220859E-2</c:v>
                </c:pt>
                <c:pt idx="325">
                  <c:v>2.0520894731689165E-2</c:v>
                </c:pt>
                <c:pt idx="326">
                  <c:v>2.0514514238987498E-2</c:v>
                </c:pt>
                <c:pt idx="327">
                  <c:v>2.0511484659248014E-2</c:v>
                </c:pt>
                <c:pt idx="328">
                  <c:v>2.050863751944149E-2</c:v>
                </c:pt>
                <c:pt idx="329">
                  <c:v>2.0505247873345428E-2</c:v>
                </c:pt>
                <c:pt idx="330">
                  <c:v>2.0505123094310879E-2</c:v>
                </c:pt>
                <c:pt idx="331">
                  <c:v>2.0504836079644852E-2</c:v>
                </c:pt>
                <c:pt idx="332">
                  <c:v>2.0506817699733459E-2</c:v>
                </c:pt>
                <c:pt idx="333">
                  <c:v>2.0508507275895278E-2</c:v>
                </c:pt>
                <c:pt idx="334">
                  <c:v>2.05125955350162E-2</c:v>
                </c:pt>
                <c:pt idx="335">
                  <c:v>2.0517824234837286E-2</c:v>
                </c:pt>
                <c:pt idx="336">
                  <c:v>2.0522400241361888E-2</c:v>
                </c:pt>
                <c:pt idx="337">
                  <c:v>2.0529566284467293E-2</c:v>
                </c:pt>
                <c:pt idx="338">
                  <c:v>2.053611859252687E-2</c:v>
                </c:pt>
                <c:pt idx="339">
                  <c:v>2.0545392160501299E-2</c:v>
                </c:pt>
                <c:pt idx="340">
                  <c:v>2.0556196023125434E-2</c:v>
                </c:pt>
                <c:pt idx="341">
                  <c:v>2.0563752024086532E-2</c:v>
                </c:pt>
                <c:pt idx="342">
                  <c:v>2.0575427029745099E-2</c:v>
                </c:pt>
                <c:pt idx="343">
                  <c:v>2.058767832378056E-2</c:v>
                </c:pt>
                <c:pt idx="344">
                  <c:v>2.0601331825240675E-2</c:v>
                </c:pt>
                <c:pt idx="345">
                  <c:v>2.06156883489651E-2</c:v>
                </c:pt>
                <c:pt idx="346">
                  <c:v>2.063096929652472E-2</c:v>
                </c:pt>
                <c:pt idx="347">
                  <c:v>2.0648720286351153E-2</c:v>
                </c:pt>
                <c:pt idx="348">
                  <c:v>2.0663918278446689E-2</c:v>
                </c:pt>
                <c:pt idx="349">
                  <c:v>2.0681781177704483E-2</c:v>
                </c:pt>
                <c:pt idx="350">
                  <c:v>2.0700051955179377E-2</c:v>
                </c:pt>
                <c:pt idx="351">
                  <c:v>2.0718632901293263E-2</c:v>
                </c:pt>
                <c:pt idx="352">
                  <c:v>2.0737321627571133E-2</c:v>
                </c:pt>
                <c:pt idx="353">
                  <c:v>2.0753947229636652E-2</c:v>
                </c:pt>
                <c:pt idx="354">
                  <c:v>2.0771175596170911E-2</c:v>
                </c:pt>
                <c:pt idx="355">
                  <c:v>2.079170269243338E-2</c:v>
                </c:pt>
                <c:pt idx="356">
                  <c:v>2.0809558057172654E-2</c:v>
                </c:pt>
                <c:pt idx="357">
                  <c:v>2.0828021550988261E-2</c:v>
                </c:pt>
                <c:pt idx="358">
                  <c:v>2.0847105309358214E-2</c:v>
                </c:pt>
                <c:pt idx="359">
                  <c:v>2.0863806757840244E-2</c:v>
                </c:pt>
                <c:pt idx="360">
                  <c:v>2.0884114834517888E-2</c:v>
                </c:pt>
                <c:pt idx="361">
                  <c:v>2.090082676374189E-2</c:v>
                </c:pt>
                <c:pt idx="362">
                  <c:v>2.0918451718706821E-2</c:v>
                </c:pt>
                <c:pt idx="363">
                  <c:v>2.0938497818548327E-2</c:v>
                </c:pt>
                <c:pt idx="364">
                  <c:v>2.0954332286935832E-2</c:v>
                </c:pt>
                <c:pt idx="365">
                  <c:v>2.0974405839937579E-2</c:v>
                </c:pt>
                <c:pt idx="366">
                  <c:v>2.0992076633438474E-2</c:v>
                </c:pt>
                <c:pt idx="367">
                  <c:v>2.1012180425232493E-2</c:v>
                </c:pt>
                <c:pt idx="368">
                  <c:v>2.102987534995988E-2</c:v>
                </c:pt>
                <c:pt idx="369">
                  <c:v>2.1050009389199521E-2</c:v>
                </c:pt>
                <c:pt idx="370">
                  <c:v>2.1068669986629058E-2</c:v>
                </c:pt>
                <c:pt idx="371">
                  <c:v>2.1086402227278405E-2</c:v>
                </c:pt>
                <c:pt idx="372">
                  <c:v>2.1106582783818124E-2</c:v>
                </c:pt>
                <c:pt idx="373">
                  <c:v>2.1124339148499028E-2</c:v>
                </c:pt>
                <c:pt idx="374">
                  <c:v>2.1144549981470022E-2</c:v>
                </c:pt>
                <c:pt idx="375">
                  <c:v>2.1165095936300959E-2</c:v>
                </c:pt>
                <c:pt idx="376">
                  <c:v>2.1180725428323353E-2</c:v>
                </c:pt>
                <c:pt idx="377">
                  <c:v>2.1198847541672207E-2</c:v>
                </c:pt>
                <c:pt idx="378">
                  <c:v>2.1218796112358079E-2</c:v>
                </c:pt>
                <c:pt idx="379">
                  <c:v>2.1236944127887552E-2</c:v>
                </c:pt>
                <c:pt idx="380">
                  <c:v>2.1256921191778144E-2</c:v>
                </c:pt>
                <c:pt idx="381">
                  <c:v>2.1274771493583877E-2</c:v>
                </c:pt>
                <c:pt idx="382">
                  <c:v>2.1296398875921361E-2</c:v>
                </c:pt>
                <c:pt idx="383">
                  <c:v>2.1313625920908293E-2</c:v>
                </c:pt>
                <c:pt idx="384">
                  <c:v>2.133464003473684E-2</c:v>
                </c:pt>
                <c:pt idx="385">
                  <c:v>2.1351279778070165E-2</c:v>
                </c:pt>
                <c:pt idx="386">
                  <c:v>2.1370454583315799E-2</c:v>
                </c:pt>
                <c:pt idx="387">
                  <c:v>2.1390532627036458E-2</c:v>
                </c:pt>
                <c:pt idx="388">
                  <c:v>2.1407529450814575E-2</c:v>
                </c:pt>
                <c:pt idx="389">
                  <c:v>2.1427964512265158E-2</c:v>
                </c:pt>
                <c:pt idx="390">
                  <c:v>2.144592309876513E-2</c:v>
                </c:pt>
                <c:pt idx="391">
                  <c:v>2.1466388507093894E-2</c:v>
                </c:pt>
                <c:pt idx="392">
                  <c:v>2.1484371160475777E-2</c:v>
                </c:pt>
                <c:pt idx="393">
                  <c:v>2.1503921174402623E-2</c:v>
                </c:pt>
                <c:pt idx="394">
                  <c:v>2.1523544573736838E-2</c:v>
                </c:pt>
                <c:pt idx="395">
                  <c:v>2.1543460522895304E-2</c:v>
                </c:pt>
                <c:pt idx="396">
                  <c:v>2.1561492699429509E-2</c:v>
                </c:pt>
                <c:pt idx="397">
                  <c:v>2.1582388927671059E-2</c:v>
                </c:pt>
                <c:pt idx="398">
                  <c:v>2.1600106897308277E-2</c:v>
                </c:pt>
                <c:pt idx="399">
                  <c:v>2.1618173684390375E-2</c:v>
                </c:pt>
                <c:pt idx="400">
                  <c:v>2.163686514690754E-2</c:v>
                </c:pt>
                <c:pt idx="401">
                  <c:v>2.1655295303879527E-2</c:v>
                </c:pt>
                <c:pt idx="402">
                  <c:v>2.1675582732221622E-2</c:v>
                </c:pt>
                <c:pt idx="403">
                  <c:v>2.1694038808965872E-2</c:v>
                </c:pt>
                <c:pt idx="404">
                  <c:v>2.1714354749877852E-2</c:v>
                </c:pt>
                <c:pt idx="405">
                  <c:v>2.1733524536355766E-2</c:v>
                </c:pt>
                <c:pt idx="406">
                  <c:v>2.175159290475584E-2</c:v>
                </c:pt>
                <c:pt idx="407">
                  <c:v>2.17719572241315E-2</c:v>
                </c:pt>
                <c:pt idx="408">
                  <c:v>2.178943012221253E-2</c:v>
                </c:pt>
                <c:pt idx="409">
                  <c:v>2.1808814843372073E-2</c:v>
                </c:pt>
                <c:pt idx="410">
                  <c:v>2.1827806595987202E-2</c:v>
                </c:pt>
                <c:pt idx="411">
                  <c:v>2.1841002955792513E-2</c:v>
                </c:pt>
                <c:pt idx="412">
                  <c:v>2.1855931265179405E-2</c:v>
                </c:pt>
                <c:pt idx="413">
                  <c:v>2.1871372674227962E-2</c:v>
                </c:pt>
                <c:pt idx="414">
                  <c:v>2.1884519634637518E-2</c:v>
                </c:pt>
                <c:pt idx="415">
                  <c:v>2.1898001517878962E-2</c:v>
                </c:pt>
                <c:pt idx="416">
                  <c:v>2.190889930609E-2</c:v>
                </c:pt>
                <c:pt idx="417">
                  <c:v>2.1922822238618862E-2</c:v>
                </c:pt>
                <c:pt idx="418">
                  <c:v>2.1930971798092731E-2</c:v>
                </c:pt>
                <c:pt idx="419">
                  <c:v>2.194209234236124E-2</c:v>
                </c:pt>
                <c:pt idx="420">
                  <c:v>2.1948120769313288E-2</c:v>
                </c:pt>
                <c:pt idx="421">
                  <c:v>2.1955879791689625E-2</c:v>
                </c:pt>
                <c:pt idx="422">
                  <c:v>2.1962581392152014E-2</c:v>
                </c:pt>
                <c:pt idx="423">
                  <c:v>2.1965742967781487E-2</c:v>
                </c:pt>
                <c:pt idx="424">
                  <c:v>2.1971088553449845E-2</c:v>
                </c:pt>
                <c:pt idx="425">
                  <c:v>2.1973932364219378E-2</c:v>
                </c:pt>
                <c:pt idx="426">
                  <c:v>2.1977348336122277E-2</c:v>
                </c:pt>
                <c:pt idx="427">
                  <c:v>2.1978380533595642E-2</c:v>
                </c:pt>
                <c:pt idx="428">
                  <c:v>2.1979866649262714E-2</c:v>
                </c:pt>
                <c:pt idx="429">
                  <c:v>2.1981076670802801E-2</c:v>
                </c:pt>
                <c:pt idx="430">
                  <c:v>2.1979463721555202E-2</c:v>
                </c:pt>
                <c:pt idx="431">
                  <c:v>2.197813087341895E-2</c:v>
                </c:pt>
                <c:pt idx="432">
                  <c:v>2.1974706644761081E-2</c:v>
                </c:pt>
                <c:pt idx="433">
                  <c:v>2.1971443155337018E-2</c:v>
                </c:pt>
                <c:pt idx="434">
                  <c:v>2.1967919554568414E-2</c:v>
                </c:pt>
                <c:pt idx="435">
                  <c:v>2.1959902412134191E-2</c:v>
                </c:pt>
                <c:pt idx="436">
                  <c:v>2.1954191020742669E-2</c:v>
                </c:pt>
                <c:pt idx="437">
                  <c:v>2.1945792092491808E-2</c:v>
                </c:pt>
                <c:pt idx="438">
                  <c:v>2.1938268464143557E-2</c:v>
                </c:pt>
                <c:pt idx="439">
                  <c:v>2.1927940480417522E-2</c:v>
                </c:pt>
                <c:pt idx="440">
                  <c:v>2.1918262142731355E-2</c:v>
                </c:pt>
                <c:pt idx="441">
                  <c:v>2.1908854430197716E-2</c:v>
                </c:pt>
                <c:pt idx="442">
                  <c:v>2.189599957315555E-2</c:v>
                </c:pt>
                <c:pt idx="443">
                  <c:v>2.1884030093326078E-2</c:v>
                </c:pt>
                <c:pt idx="444">
                  <c:v>2.1869807211445515E-2</c:v>
                </c:pt>
                <c:pt idx="445">
                  <c:v>2.1855505223880019E-2</c:v>
                </c:pt>
                <c:pt idx="446">
                  <c:v>2.1837816111125233E-2</c:v>
                </c:pt>
                <c:pt idx="447">
                  <c:v>2.1821864494467332E-2</c:v>
                </c:pt>
                <c:pt idx="448">
                  <c:v>2.1803338036449522E-2</c:v>
                </c:pt>
                <c:pt idx="449">
                  <c:v>2.1785605207239662E-2</c:v>
                </c:pt>
                <c:pt idx="450">
                  <c:v>2.176511946879648E-2</c:v>
                </c:pt>
                <c:pt idx="451">
                  <c:v>2.1744633025092584E-2</c:v>
                </c:pt>
                <c:pt idx="452">
                  <c:v>2.1727104948714649E-2</c:v>
                </c:pt>
                <c:pt idx="453">
                  <c:v>2.1702864988510019E-2</c:v>
                </c:pt>
                <c:pt idx="454">
                  <c:v>2.1681513856336751E-2</c:v>
                </c:pt>
                <c:pt idx="455">
                  <c:v>2.1656194486984977E-2</c:v>
                </c:pt>
                <c:pt idx="456">
                  <c:v>2.1632539546238682E-2</c:v>
                </c:pt>
                <c:pt idx="457">
                  <c:v>2.1605271775822284E-2</c:v>
                </c:pt>
                <c:pt idx="458">
                  <c:v>2.1578137202078525E-2</c:v>
                </c:pt>
                <c:pt idx="459">
                  <c:v>2.1550009864898762E-2</c:v>
                </c:pt>
                <c:pt idx="460">
                  <c:v>2.1521490254914136E-2</c:v>
                </c:pt>
                <c:pt idx="461">
                  <c:v>2.1491430699046639E-2</c:v>
                </c:pt>
                <c:pt idx="462">
                  <c:v>2.1461104605745851E-2</c:v>
                </c:pt>
                <c:pt idx="463">
                  <c:v>2.142911279051599E-2</c:v>
                </c:pt>
                <c:pt idx="464">
                  <c:v>2.1400443508951178E-2</c:v>
                </c:pt>
                <c:pt idx="465">
                  <c:v>2.136771933550137E-2</c:v>
                </c:pt>
                <c:pt idx="466">
                  <c:v>2.1333651744550163E-2</c:v>
                </c:pt>
                <c:pt idx="467">
                  <c:v>2.1300241603716685E-2</c:v>
                </c:pt>
                <c:pt idx="468">
                  <c:v>2.1265951375736572E-2</c:v>
                </c:pt>
                <c:pt idx="469">
                  <c:v>2.1233091738582534E-2</c:v>
                </c:pt>
                <c:pt idx="470">
                  <c:v>2.1198991736215984E-2</c:v>
                </c:pt>
                <c:pt idx="471">
                  <c:v>2.1167837574357352E-2</c:v>
                </c:pt>
                <c:pt idx="472">
                  <c:v>2.1134055090605841E-2</c:v>
                </c:pt>
                <c:pt idx="473">
                  <c:v>2.110378653366364E-2</c:v>
                </c:pt>
                <c:pt idx="474">
                  <c:v>2.1070978168560735E-2</c:v>
                </c:pt>
                <c:pt idx="475">
                  <c:v>2.1040489189055895E-2</c:v>
                </c:pt>
                <c:pt idx="476">
                  <c:v>2.101414861228483E-2</c:v>
                </c:pt>
                <c:pt idx="477">
                  <c:v>2.0983294531849321E-2</c:v>
                </c:pt>
                <c:pt idx="478">
                  <c:v>2.0955345973006419E-2</c:v>
                </c:pt>
                <c:pt idx="479">
                  <c:v>2.0924774238138974E-2</c:v>
                </c:pt>
                <c:pt idx="480">
                  <c:v>2.0897722482982051E-2</c:v>
                </c:pt>
                <c:pt idx="481">
                  <c:v>2.0868113199299779E-2</c:v>
                </c:pt>
                <c:pt idx="482">
                  <c:v>2.0840741690072283E-2</c:v>
                </c:pt>
                <c:pt idx="483">
                  <c:v>2.0813311256463848E-2</c:v>
                </c:pt>
                <c:pt idx="484">
                  <c:v>2.078786847220104E-2</c:v>
                </c:pt>
                <c:pt idx="485">
                  <c:v>2.0760177485011241E-2</c:v>
                </c:pt>
                <c:pt idx="486">
                  <c:v>2.0734802726230035E-2</c:v>
                </c:pt>
                <c:pt idx="487">
                  <c:v>2.0712078943564003E-2</c:v>
                </c:pt>
                <c:pt idx="488">
                  <c:v>2.0686393807087956E-2</c:v>
                </c:pt>
                <c:pt idx="489">
                  <c:v>2.0663770792214188E-2</c:v>
                </c:pt>
                <c:pt idx="490">
                  <c:v>2.0638777036339061E-2</c:v>
                </c:pt>
                <c:pt idx="491">
                  <c:v>2.0616608600613352E-2</c:v>
                </c:pt>
                <c:pt idx="492">
                  <c:v>2.0592468062213775E-2</c:v>
                </c:pt>
                <c:pt idx="493">
                  <c:v>2.0569541193925359E-2</c:v>
                </c:pt>
                <c:pt idx="494">
                  <c:v>2.0547309022191075E-2</c:v>
                </c:pt>
                <c:pt idx="495">
                  <c:v>2.0525748281179933E-2</c:v>
                </c:pt>
                <c:pt idx="496">
                  <c:v>2.0504472144423479E-2</c:v>
                </c:pt>
                <c:pt idx="497">
                  <c:v>2.0483813286972199E-2</c:v>
                </c:pt>
                <c:pt idx="498">
                  <c:v>2.0463493234680146E-2</c:v>
                </c:pt>
                <c:pt idx="499">
                  <c:v>2.0446425837532874E-2</c:v>
                </c:pt>
                <c:pt idx="500">
                  <c:v>2.042708147745748E-2</c:v>
                </c:pt>
                <c:pt idx="501">
                  <c:v>2.0408155626507885E-2</c:v>
                </c:pt>
                <c:pt idx="502">
                  <c:v>2.0389712853328426E-2</c:v>
                </c:pt>
                <c:pt idx="503">
                  <c:v>2.037174332894337E-2</c:v>
                </c:pt>
                <c:pt idx="504">
                  <c:v>2.0355120972086683E-2</c:v>
                </c:pt>
                <c:pt idx="505">
                  <c:v>2.0336563597176248E-2</c:v>
                </c:pt>
                <c:pt idx="506">
                  <c:v>2.0320749758845114E-2</c:v>
                </c:pt>
                <c:pt idx="507">
                  <c:v>2.0303841012735913E-2</c:v>
                </c:pt>
                <c:pt idx="508">
                  <c:v>2.0288911665777232E-2</c:v>
                </c:pt>
                <c:pt idx="509">
                  <c:v>2.0272975836951472E-2</c:v>
                </c:pt>
                <c:pt idx="510">
                  <c:v>2.025812527653343E-2</c:v>
                </c:pt>
                <c:pt idx="511">
                  <c:v>2.024715843338409E-2</c:v>
                </c:pt>
                <c:pt idx="512">
                  <c:v>2.0232029205682855E-2</c:v>
                </c:pt>
                <c:pt idx="513">
                  <c:v>2.0219631988902628E-2</c:v>
                </c:pt>
                <c:pt idx="514">
                  <c:v>2.0205717279569973E-2</c:v>
                </c:pt>
                <c:pt idx="515">
                  <c:v>2.0194217791946165E-2</c:v>
                </c:pt>
                <c:pt idx="516">
                  <c:v>2.0181646837417095E-2</c:v>
                </c:pt>
                <c:pt idx="517">
                  <c:v>2.0169129838651566E-2</c:v>
                </c:pt>
                <c:pt idx="518">
                  <c:v>2.0158267509033885E-2</c:v>
                </c:pt>
                <c:pt idx="519">
                  <c:v>2.0147419085709387E-2</c:v>
                </c:pt>
                <c:pt idx="520">
                  <c:v>2.0137513516494406E-2</c:v>
                </c:pt>
                <c:pt idx="521">
                  <c:v>2.0127565202329629E-2</c:v>
                </c:pt>
                <c:pt idx="522">
                  <c:v>2.0119474221523204E-2</c:v>
                </c:pt>
                <c:pt idx="523">
                  <c:v>2.0110973113249067E-2</c:v>
                </c:pt>
                <c:pt idx="524">
                  <c:v>2.0103660038402627E-2</c:v>
                </c:pt>
                <c:pt idx="525">
                  <c:v>2.0095043727916092E-2</c:v>
                </c:pt>
                <c:pt idx="526">
                  <c:v>2.008843318728502E-2</c:v>
                </c:pt>
                <c:pt idx="527">
                  <c:v>2.0081158503556133E-2</c:v>
                </c:pt>
                <c:pt idx="528">
                  <c:v>2.0073857419732759E-2</c:v>
                </c:pt>
                <c:pt idx="529">
                  <c:v>2.0068212376658127E-2</c:v>
                </c:pt>
                <c:pt idx="530">
                  <c:v>2.006226978809085E-2</c:v>
                </c:pt>
                <c:pt idx="531">
                  <c:v>2.005758199885475E-2</c:v>
                </c:pt>
                <c:pt idx="532">
                  <c:v>2.0052538891646179E-2</c:v>
                </c:pt>
                <c:pt idx="533">
                  <c:v>2.0048307275367258E-2</c:v>
                </c:pt>
                <c:pt idx="534">
                  <c:v>2.0045901839575227E-2</c:v>
                </c:pt>
                <c:pt idx="535">
                  <c:v>2.0043209143157849E-2</c:v>
                </c:pt>
                <c:pt idx="536">
                  <c:v>2.0039935687392065E-2</c:v>
                </c:pt>
                <c:pt idx="537">
                  <c:v>2.0037097780527938E-2</c:v>
                </c:pt>
                <c:pt idx="538">
                  <c:v>2.0035715445387511E-2</c:v>
                </c:pt>
                <c:pt idx="539">
                  <c:v>2.0035408555494492E-2</c:v>
                </c:pt>
                <c:pt idx="540">
                  <c:v>2.0032249814605767E-2</c:v>
                </c:pt>
                <c:pt idx="541">
                  <c:v>2.0031763052147294E-2</c:v>
                </c:pt>
                <c:pt idx="542">
                  <c:v>2.0031713878866462E-2</c:v>
                </c:pt>
                <c:pt idx="543">
                  <c:v>2.0032111235331995E-2</c:v>
                </c:pt>
                <c:pt idx="544">
                  <c:v>2.0033034593144622E-2</c:v>
                </c:pt>
                <c:pt idx="545">
                  <c:v>2.0033778337422457E-2</c:v>
                </c:pt>
                <c:pt idx="546">
                  <c:v>2.0038334174154512E-2</c:v>
                </c:pt>
                <c:pt idx="547">
                  <c:v>2.0038822216516039E-2</c:v>
                </c:pt>
                <c:pt idx="548">
                  <c:v>2.0041997389453749E-2</c:v>
                </c:pt>
                <c:pt idx="549">
                  <c:v>2.0044696495511948E-2</c:v>
                </c:pt>
                <c:pt idx="550">
                  <c:v>2.0048770962327649E-2</c:v>
                </c:pt>
                <c:pt idx="551">
                  <c:v>2.0053060098838827E-2</c:v>
                </c:pt>
                <c:pt idx="552">
                  <c:v>2.0055633844633762E-2</c:v>
                </c:pt>
                <c:pt idx="553">
                  <c:v>2.0061367818947958E-2</c:v>
                </c:pt>
                <c:pt idx="554">
                  <c:v>2.0066104763331611E-2</c:v>
                </c:pt>
                <c:pt idx="555">
                  <c:v>2.0072993548364036E-2</c:v>
                </c:pt>
                <c:pt idx="556">
                  <c:v>2.0078642971095576E-2</c:v>
                </c:pt>
                <c:pt idx="557">
                  <c:v>2.0086083266007023E-2</c:v>
                </c:pt>
                <c:pt idx="558">
                  <c:v>2.0094194606137889E-2</c:v>
                </c:pt>
                <c:pt idx="559">
                  <c:v>2.0103237322785066E-2</c:v>
                </c:pt>
                <c:pt idx="560">
                  <c:v>2.0109954568747614E-2</c:v>
                </c:pt>
                <c:pt idx="561">
                  <c:v>2.0117800096698446E-2</c:v>
                </c:pt>
                <c:pt idx="562">
                  <c:v>2.0127811058840695E-2</c:v>
                </c:pt>
                <c:pt idx="563">
                  <c:v>2.0135105799965875E-2</c:v>
                </c:pt>
                <c:pt idx="564">
                  <c:v>2.0146059349598431E-2</c:v>
                </c:pt>
                <c:pt idx="565">
                  <c:v>2.0155685599456061E-2</c:v>
                </c:pt>
                <c:pt idx="566">
                  <c:v>2.0167598262291839E-2</c:v>
                </c:pt>
                <c:pt idx="567">
                  <c:v>2.0178122291427791E-2</c:v>
                </c:pt>
                <c:pt idx="568">
                  <c:v>2.019099420381398E-2</c:v>
                </c:pt>
                <c:pt idx="569">
                  <c:v>2.0203532123072989E-2</c:v>
                </c:pt>
                <c:pt idx="570">
                  <c:v>2.0215368326732725E-2</c:v>
                </c:pt>
                <c:pt idx="571">
                  <c:v>2.0229642952412533E-2</c:v>
                </c:pt>
                <c:pt idx="572">
                  <c:v>2.0242376858973142E-2</c:v>
                </c:pt>
                <c:pt idx="573">
                  <c:v>2.0257611192056772E-2</c:v>
                </c:pt>
                <c:pt idx="574">
                  <c:v>2.0273680782511766E-2</c:v>
                </c:pt>
                <c:pt idx="575">
                  <c:v>2.0285795469343591E-2</c:v>
                </c:pt>
                <c:pt idx="576">
                  <c:v>2.0301463850359382E-2</c:v>
                </c:pt>
                <c:pt idx="577">
                  <c:v>2.0317445733383538E-2</c:v>
                </c:pt>
                <c:pt idx="578">
                  <c:v>2.0334015170853967E-2</c:v>
                </c:pt>
                <c:pt idx="579">
                  <c:v>2.0350953444009914E-2</c:v>
                </c:pt>
                <c:pt idx="580" formatCode="General">
                  <c:v>2.036812325272757E-2</c:v>
                </c:pt>
                <c:pt idx="581" formatCode="General">
                  <c:v>2.038718525190503E-2</c:v>
                </c:pt>
                <c:pt idx="582" formatCode="General">
                  <c:v>2.0403386238218336E-2</c:v>
                </c:pt>
                <c:pt idx="583" formatCode="General">
                  <c:v>2.0421859400493025E-2</c:v>
                </c:pt>
              </c:numCache>
            </c:numRef>
          </c:val>
          <c:smooth val="0"/>
        </c:ser>
        <c:ser>
          <c:idx val="1"/>
          <c:order val="1"/>
          <c:tx>
            <c:v>OIS 6m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'basis 6M '!$L$2:$L$585</c:f>
              <c:numCache>
                <c:formatCode>ddd\,\ dd\-mmm\-yyyy</c:formatCode>
                <c:ptCount val="584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41990</c:v>
                </c:pt>
                <c:pt idx="5">
                  <c:v>42023</c:v>
                </c:pt>
                <c:pt idx="6">
                  <c:v>42054</c:v>
                </c:pt>
                <c:pt idx="7">
                  <c:v>42082</c:v>
                </c:pt>
                <c:pt idx="8">
                  <c:v>42114</c:v>
                </c:pt>
                <c:pt idx="9">
                  <c:v>42144</c:v>
                </c:pt>
                <c:pt idx="10">
                  <c:v>42177</c:v>
                </c:pt>
                <c:pt idx="11">
                  <c:v>42207</c:v>
                </c:pt>
                <c:pt idx="12">
                  <c:v>42240</c:v>
                </c:pt>
                <c:pt idx="13">
                  <c:v>42271</c:v>
                </c:pt>
                <c:pt idx="14">
                  <c:v>42303</c:v>
                </c:pt>
                <c:pt idx="15">
                  <c:v>42334</c:v>
                </c:pt>
                <c:pt idx="16">
                  <c:v>42366</c:v>
                </c:pt>
                <c:pt idx="17">
                  <c:v>42397</c:v>
                </c:pt>
                <c:pt idx="18">
                  <c:v>42429</c:v>
                </c:pt>
                <c:pt idx="19">
                  <c:v>42458</c:v>
                </c:pt>
                <c:pt idx="20">
                  <c:v>42489</c:v>
                </c:pt>
                <c:pt idx="21">
                  <c:v>42520</c:v>
                </c:pt>
                <c:pt idx="22">
                  <c:v>42551</c:v>
                </c:pt>
                <c:pt idx="23">
                  <c:v>42583</c:v>
                </c:pt>
                <c:pt idx="24">
                  <c:v>42614</c:v>
                </c:pt>
                <c:pt idx="25">
                  <c:v>42646</c:v>
                </c:pt>
                <c:pt idx="26">
                  <c:v>42677</c:v>
                </c:pt>
                <c:pt idx="27">
                  <c:v>42709</c:v>
                </c:pt>
                <c:pt idx="28">
                  <c:v>42740</c:v>
                </c:pt>
                <c:pt idx="29">
                  <c:v>42772</c:v>
                </c:pt>
                <c:pt idx="30">
                  <c:v>42800</c:v>
                </c:pt>
                <c:pt idx="31">
                  <c:v>42831</c:v>
                </c:pt>
                <c:pt idx="32">
                  <c:v>42863</c:v>
                </c:pt>
                <c:pt idx="33">
                  <c:v>42894</c:v>
                </c:pt>
                <c:pt idx="34">
                  <c:v>42926</c:v>
                </c:pt>
                <c:pt idx="35">
                  <c:v>42957</c:v>
                </c:pt>
                <c:pt idx="36">
                  <c:v>42989</c:v>
                </c:pt>
                <c:pt idx="37">
                  <c:v>43019</c:v>
                </c:pt>
                <c:pt idx="38">
                  <c:v>43052</c:v>
                </c:pt>
                <c:pt idx="39">
                  <c:v>43082</c:v>
                </c:pt>
                <c:pt idx="40">
                  <c:v>43115</c:v>
                </c:pt>
                <c:pt idx="41">
                  <c:v>43146</c:v>
                </c:pt>
                <c:pt idx="42">
                  <c:v>43174</c:v>
                </c:pt>
                <c:pt idx="43">
                  <c:v>43206</c:v>
                </c:pt>
                <c:pt idx="44">
                  <c:v>43236</c:v>
                </c:pt>
                <c:pt idx="45">
                  <c:v>43269</c:v>
                </c:pt>
                <c:pt idx="46">
                  <c:v>43299</c:v>
                </c:pt>
                <c:pt idx="47">
                  <c:v>43332</c:v>
                </c:pt>
                <c:pt idx="48">
                  <c:v>43363</c:v>
                </c:pt>
                <c:pt idx="49">
                  <c:v>43395</c:v>
                </c:pt>
                <c:pt idx="50">
                  <c:v>43426</c:v>
                </c:pt>
                <c:pt idx="51">
                  <c:v>43458</c:v>
                </c:pt>
                <c:pt idx="52">
                  <c:v>43489</c:v>
                </c:pt>
                <c:pt idx="53">
                  <c:v>43521</c:v>
                </c:pt>
                <c:pt idx="54">
                  <c:v>43549</c:v>
                </c:pt>
                <c:pt idx="55">
                  <c:v>43580</c:v>
                </c:pt>
                <c:pt idx="56">
                  <c:v>43612</c:v>
                </c:pt>
                <c:pt idx="57">
                  <c:v>43643</c:v>
                </c:pt>
                <c:pt idx="58">
                  <c:v>43675</c:v>
                </c:pt>
                <c:pt idx="59">
                  <c:v>43706</c:v>
                </c:pt>
                <c:pt idx="60">
                  <c:v>43738</c:v>
                </c:pt>
                <c:pt idx="61">
                  <c:v>43768</c:v>
                </c:pt>
                <c:pt idx="62">
                  <c:v>43801</c:v>
                </c:pt>
                <c:pt idx="63">
                  <c:v>43832</c:v>
                </c:pt>
                <c:pt idx="64">
                  <c:v>43864</c:v>
                </c:pt>
                <c:pt idx="65">
                  <c:v>43893</c:v>
                </c:pt>
                <c:pt idx="66">
                  <c:v>43924</c:v>
                </c:pt>
                <c:pt idx="67">
                  <c:v>43955</c:v>
                </c:pt>
                <c:pt idx="68">
                  <c:v>43986</c:v>
                </c:pt>
                <c:pt idx="69">
                  <c:v>44018</c:v>
                </c:pt>
                <c:pt idx="70">
                  <c:v>44049</c:v>
                </c:pt>
                <c:pt idx="71">
                  <c:v>44081</c:v>
                </c:pt>
                <c:pt idx="72">
                  <c:v>44111</c:v>
                </c:pt>
                <c:pt idx="73">
                  <c:v>44144</c:v>
                </c:pt>
                <c:pt idx="74">
                  <c:v>44174</c:v>
                </c:pt>
                <c:pt idx="75">
                  <c:v>44207</c:v>
                </c:pt>
                <c:pt idx="76">
                  <c:v>44238</c:v>
                </c:pt>
                <c:pt idx="77">
                  <c:v>44266</c:v>
                </c:pt>
                <c:pt idx="78">
                  <c:v>44298</c:v>
                </c:pt>
                <c:pt idx="79">
                  <c:v>44328</c:v>
                </c:pt>
                <c:pt idx="80">
                  <c:v>44361</c:v>
                </c:pt>
                <c:pt idx="81">
                  <c:v>44391</c:v>
                </c:pt>
                <c:pt idx="82">
                  <c:v>44424</c:v>
                </c:pt>
                <c:pt idx="83">
                  <c:v>44455</c:v>
                </c:pt>
                <c:pt idx="84">
                  <c:v>44487</c:v>
                </c:pt>
                <c:pt idx="85">
                  <c:v>44518</c:v>
                </c:pt>
                <c:pt idx="86">
                  <c:v>44550</c:v>
                </c:pt>
                <c:pt idx="87">
                  <c:v>44581</c:v>
                </c:pt>
                <c:pt idx="88">
                  <c:v>44613</c:v>
                </c:pt>
                <c:pt idx="89">
                  <c:v>44641</c:v>
                </c:pt>
                <c:pt idx="90">
                  <c:v>44672</c:v>
                </c:pt>
                <c:pt idx="91">
                  <c:v>44704</c:v>
                </c:pt>
                <c:pt idx="92">
                  <c:v>44735</c:v>
                </c:pt>
                <c:pt idx="93">
                  <c:v>44767</c:v>
                </c:pt>
                <c:pt idx="94">
                  <c:v>44798</c:v>
                </c:pt>
                <c:pt idx="95">
                  <c:v>44830</c:v>
                </c:pt>
                <c:pt idx="96">
                  <c:v>44860</c:v>
                </c:pt>
                <c:pt idx="97">
                  <c:v>44893</c:v>
                </c:pt>
                <c:pt idx="98">
                  <c:v>44923</c:v>
                </c:pt>
                <c:pt idx="99">
                  <c:v>44956</c:v>
                </c:pt>
                <c:pt idx="100">
                  <c:v>44985</c:v>
                </c:pt>
                <c:pt idx="101">
                  <c:v>45013</c:v>
                </c:pt>
                <c:pt idx="102">
                  <c:v>45044</c:v>
                </c:pt>
                <c:pt idx="103">
                  <c:v>45075</c:v>
                </c:pt>
                <c:pt idx="104">
                  <c:v>45106</c:v>
                </c:pt>
                <c:pt idx="105">
                  <c:v>45138</c:v>
                </c:pt>
                <c:pt idx="106">
                  <c:v>45169</c:v>
                </c:pt>
                <c:pt idx="107">
                  <c:v>45201</c:v>
                </c:pt>
                <c:pt idx="108">
                  <c:v>45232</c:v>
                </c:pt>
                <c:pt idx="109">
                  <c:v>45264</c:v>
                </c:pt>
                <c:pt idx="110">
                  <c:v>45295</c:v>
                </c:pt>
                <c:pt idx="111">
                  <c:v>45327</c:v>
                </c:pt>
                <c:pt idx="112">
                  <c:v>45356</c:v>
                </c:pt>
                <c:pt idx="113">
                  <c:v>45387</c:v>
                </c:pt>
                <c:pt idx="114">
                  <c:v>45418</c:v>
                </c:pt>
                <c:pt idx="115">
                  <c:v>45449</c:v>
                </c:pt>
                <c:pt idx="116">
                  <c:v>45481</c:v>
                </c:pt>
                <c:pt idx="117">
                  <c:v>45512</c:v>
                </c:pt>
                <c:pt idx="118">
                  <c:v>45544</c:v>
                </c:pt>
                <c:pt idx="119">
                  <c:v>45574</c:v>
                </c:pt>
                <c:pt idx="120">
                  <c:v>45607</c:v>
                </c:pt>
                <c:pt idx="121">
                  <c:v>45637</c:v>
                </c:pt>
                <c:pt idx="122">
                  <c:v>45670</c:v>
                </c:pt>
                <c:pt idx="123">
                  <c:v>45701</c:v>
                </c:pt>
                <c:pt idx="124">
                  <c:v>45729</c:v>
                </c:pt>
                <c:pt idx="125">
                  <c:v>45761</c:v>
                </c:pt>
                <c:pt idx="126">
                  <c:v>45791</c:v>
                </c:pt>
                <c:pt idx="127">
                  <c:v>45824</c:v>
                </c:pt>
                <c:pt idx="128">
                  <c:v>45854</c:v>
                </c:pt>
                <c:pt idx="129">
                  <c:v>45887</c:v>
                </c:pt>
                <c:pt idx="130">
                  <c:v>45918</c:v>
                </c:pt>
                <c:pt idx="131">
                  <c:v>45950</c:v>
                </c:pt>
                <c:pt idx="132">
                  <c:v>45981</c:v>
                </c:pt>
                <c:pt idx="133">
                  <c:v>46013</c:v>
                </c:pt>
                <c:pt idx="134">
                  <c:v>46044</c:v>
                </c:pt>
                <c:pt idx="135">
                  <c:v>46076</c:v>
                </c:pt>
                <c:pt idx="136">
                  <c:v>46104</c:v>
                </c:pt>
                <c:pt idx="137">
                  <c:v>46135</c:v>
                </c:pt>
                <c:pt idx="138">
                  <c:v>46167</c:v>
                </c:pt>
                <c:pt idx="139">
                  <c:v>46198</c:v>
                </c:pt>
                <c:pt idx="140">
                  <c:v>46230</c:v>
                </c:pt>
                <c:pt idx="141">
                  <c:v>46261</c:v>
                </c:pt>
                <c:pt idx="142">
                  <c:v>46293</c:v>
                </c:pt>
                <c:pt idx="143">
                  <c:v>46323</c:v>
                </c:pt>
                <c:pt idx="144">
                  <c:v>46356</c:v>
                </c:pt>
                <c:pt idx="145">
                  <c:v>46386</c:v>
                </c:pt>
                <c:pt idx="146">
                  <c:v>46419</c:v>
                </c:pt>
                <c:pt idx="147">
                  <c:v>46447</c:v>
                </c:pt>
                <c:pt idx="148">
                  <c:v>46478</c:v>
                </c:pt>
                <c:pt idx="149">
                  <c:v>46510</c:v>
                </c:pt>
                <c:pt idx="150">
                  <c:v>46541</c:v>
                </c:pt>
                <c:pt idx="151">
                  <c:v>46573</c:v>
                </c:pt>
                <c:pt idx="152">
                  <c:v>46604</c:v>
                </c:pt>
                <c:pt idx="153">
                  <c:v>46636</c:v>
                </c:pt>
                <c:pt idx="154">
                  <c:v>46666</c:v>
                </c:pt>
                <c:pt idx="155">
                  <c:v>46699</c:v>
                </c:pt>
                <c:pt idx="156">
                  <c:v>46729</c:v>
                </c:pt>
                <c:pt idx="157">
                  <c:v>46762</c:v>
                </c:pt>
                <c:pt idx="158">
                  <c:v>46793</c:v>
                </c:pt>
                <c:pt idx="159">
                  <c:v>46822</c:v>
                </c:pt>
                <c:pt idx="160">
                  <c:v>46853</c:v>
                </c:pt>
                <c:pt idx="161">
                  <c:v>46883</c:v>
                </c:pt>
                <c:pt idx="162">
                  <c:v>46916</c:v>
                </c:pt>
                <c:pt idx="163">
                  <c:v>46946</c:v>
                </c:pt>
                <c:pt idx="164">
                  <c:v>46979</c:v>
                </c:pt>
                <c:pt idx="165">
                  <c:v>47010</c:v>
                </c:pt>
                <c:pt idx="166">
                  <c:v>47042</c:v>
                </c:pt>
                <c:pt idx="167">
                  <c:v>47073</c:v>
                </c:pt>
                <c:pt idx="168">
                  <c:v>47105</c:v>
                </c:pt>
                <c:pt idx="169">
                  <c:v>47136</c:v>
                </c:pt>
                <c:pt idx="170">
                  <c:v>47168</c:v>
                </c:pt>
                <c:pt idx="171">
                  <c:v>47196</c:v>
                </c:pt>
                <c:pt idx="172">
                  <c:v>47227</c:v>
                </c:pt>
                <c:pt idx="173">
                  <c:v>47259</c:v>
                </c:pt>
                <c:pt idx="174">
                  <c:v>47290</c:v>
                </c:pt>
                <c:pt idx="175">
                  <c:v>47322</c:v>
                </c:pt>
                <c:pt idx="176">
                  <c:v>47353</c:v>
                </c:pt>
                <c:pt idx="177">
                  <c:v>47385</c:v>
                </c:pt>
                <c:pt idx="178">
                  <c:v>47415</c:v>
                </c:pt>
                <c:pt idx="179">
                  <c:v>47448</c:v>
                </c:pt>
                <c:pt idx="180">
                  <c:v>47479</c:v>
                </c:pt>
                <c:pt idx="181">
                  <c:v>47511</c:v>
                </c:pt>
                <c:pt idx="182">
                  <c:v>47542</c:v>
                </c:pt>
                <c:pt idx="183">
                  <c:v>47570</c:v>
                </c:pt>
                <c:pt idx="184">
                  <c:v>47602</c:v>
                </c:pt>
                <c:pt idx="185">
                  <c:v>47632</c:v>
                </c:pt>
                <c:pt idx="186">
                  <c:v>47665</c:v>
                </c:pt>
                <c:pt idx="187">
                  <c:v>47696</c:v>
                </c:pt>
                <c:pt idx="188">
                  <c:v>47728</c:v>
                </c:pt>
                <c:pt idx="189">
                  <c:v>47758</c:v>
                </c:pt>
                <c:pt idx="190">
                  <c:v>47791</c:v>
                </c:pt>
                <c:pt idx="191">
                  <c:v>47821</c:v>
                </c:pt>
                <c:pt idx="192">
                  <c:v>47854</c:v>
                </c:pt>
                <c:pt idx="193">
                  <c:v>47885</c:v>
                </c:pt>
                <c:pt idx="194">
                  <c:v>47913</c:v>
                </c:pt>
                <c:pt idx="195">
                  <c:v>47945</c:v>
                </c:pt>
                <c:pt idx="196">
                  <c:v>47975</c:v>
                </c:pt>
                <c:pt idx="197">
                  <c:v>48008</c:v>
                </c:pt>
                <c:pt idx="198">
                  <c:v>48038</c:v>
                </c:pt>
                <c:pt idx="199">
                  <c:v>48071</c:v>
                </c:pt>
                <c:pt idx="200">
                  <c:v>48102</c:v>
                </c:pt>
                <c:pt idx="201">
                  <c:v>48134</c:v>
                </c:pt>
                <c:pt idx="202">
                  <c:v>48165</c:v>
                </c:pt>
                <c:pt idx="203">
                  <c:v>48197</c:v>
                </c:pt>
                <c:pt idx="204">
                  <c:v>48228</c:v>
                </c:pt>
                <c:pt idx="205">
                  <c:v>48260</c:v>
                </c:pt>
                <c:pt idx="206">
                  <c:v>48289</c:v>
                </c:pt>
                <c:pt idx="207">
                  <c:v>48320</c:v>
                </c:pt>
                <c:pt idx="208">
                  <c:v>48351</c:v>
                </c:pt>
                <c:pt idx="209">
                  <c:v>48382</c:v>
                </c:pt>
                <c:pt idx="210">
                  <c:v>48414</c:v>
                </c:pt>
                <c:pt idx="211">
                  <c:v>48445</c:v>
                </c:pt>
                <c:pt idx="212">
                  <c:v>48477</c:v>
                </c:pt>
                <c:pt idx="213">
                  <c:v>48507</c:v>
                </c:pt>
                <c:pt idx="214">
                  <c:v>48540</c:v>
                </c:pt>
                <c:pt idx="215">
                  <c:v>48570</c:v>
                </c:pt>
                <c:pt idx="216">
                  <c:v>48603</c:v>
                </c:pt>
                <c:pt idx="217">
                  <c:v>48634</c:v>
                </c:pt>
                <c:pt idx="218">
                  <c:v>48662</c:v>
                </c:pt>
                <c:pt idx="219">
                  <c:v>48694</c:v>
                </c:pt>
                <c:pt idx="220">
                  <c:v>48724</c:v>
                </c:pt>
                <c:pt idx="221">
                  <c:v>48757</c:v>
                </c:pt>
                <c:pt idx="222">
                  <c:v>48787</c:v>
                </c:pt>
                <c:pt idx="223">
                  <c:v>48820</c:v>
                </c:pt>
                <c:pt idx="224">
                  <c:v>48851</c:v>
                </c:pt>
                <c:pt idx="225">
                  <c:v>48883</c:v>
                </c:pt>
                <c:pt idx="226">
                  <c:v>48913</c:v>
                </c:pt>
                <c:pt idx="227">
                  <c:v>48943</c:v>
                </c:pt>
                <c:pt idx="228">
                  <c:v>48974</c:v>
                </c:pt>
                <c:pt idx="229">
                  <c:v>49003</c:v>
                </c:pt>
                <c:pt idx="230">
                  <c:v>49031</c:v>
                </c:pt>
                <c:pt idx="231">
                  <c:v>49062</c:v>
                </c:pt>
                <c:pt idx="232">
                  <c:v>49093</c:v>
                </c:pt>
                <c:pt idx="233">
                  <c:v>49124</c:v>
                </c:pt>
                <c:pt idx="234">
                  <c:v>49156</c:v>
                </c:pt>
                <c:pt idx="235">
                  <c:v>49187</c:v>
                </c:pt>
                <c:pt idx="236">
                  <c:v>49219</c:v>
                </c:pt>
                <c:pt idx="237">
                  <c:v>49250</c:v>
                </c:pt>
                <c:pt idx="238">
                  <c:v>49282</c:v>
                </c:pt>
                <c:pt idx="239">
                  <c:v>49313</c:v>
                </c:pt>
                <c:pt idx="240">
                  <c:v>49345</c:v>
                </c:pt>
                <c:pt idx="241">
                  <c:v>49373</c:v>
                </c:pt>
                <c:pt idx="242">
                  <c:v>49404</c:v>
                </c:pt>
                <c:pt idx="243">
                  <c:v>49436</c:v>
                </c:pt>
                <c:pt idx="244">
                  <c:v>49467</c:v>
                </c:pt>
                <c:pt idx="245">
                  <c:v>49499</c:v>
                </c:pt>
                <c:pt idx="246">
                  <c:v>49530</c:v>
                </c:pt>
                <c:pt idx="247">
                  <c:v>49562</c:v>
                </c:pt>
                <c:pt idx="248">
                  <c:v>49592</c:v>
                </c:pt>
                <c:pt idx="249">
                  <c:v>49625</c:v>
                </c:pt>
                <c:pt idx="250">
                  <c:v>49655</c:v>
                </c:pt>
                <c:pt idx="251">
                  <c:v>49688</c:v>
                </c:pt>
                <c:pt idx="252">
                  <c:v>49719</c:v>
                </c:pt>
                <c:pt idx="253">
                  <c:v>49748</c:v>
                </c:pt>
                <c:pt idx="254">
                  <c:v>49780</c:v>
                </c:pt>
                <c:pt idx="255">
                  <c:v>49810</c:v>
                </c:pt>
                <c:pt idx="256">
                  <c:v>49842</c:v>
                </c:pt>
                <c:pt idx="257">
                  <c:v>49872</c:v>
                </c:pt>
                <c:pt idx="258">
                  <c:v>49905</c:v>
                </c:pt>
                <c:pt idx="259">
                  <c:v>49936</c:v>
                </c:pt>
                <c:pt idx="260">
                  <c:v>49968</c:v>
                </c:pt>
                <c:pt idx="261">
                  <c:v>49999</c:v>
                </c:pt>
                <c:pt idx="262">
                  <c:v>50031</c:v>
                </c:pt>
                <c:pt idx="263">
                  <c:v>50062</c:v>
                </c:pt>
                <c:pt idx="264">
                  <c:v>50094</c:v>
                </c:pt>
                <c:pt idx="265">
                  <c:v>50122</c:v>
                </c:pt>
                <c:pt idx="266">
                  <c:v>50153</c:v>
                </c:pt>
                <c:pt idx="267">
                  <c:v>50185</c:v>
                </c:pt>
                <c:pt idx="268">
                  <c:v>50216</c:v>
                </c:pt>
                <c:pt idx="269">
                  <c:v>50248</c:v>
                </c:pt>
                <c:pt idx="270">
                  <c:v>50279</c:v>
                </c:pt>
                <c:pt idx="271">
                  <c:v>50311</c:v>
                </c:pt>
                <c:pt idx="272">
                  <c:v>50341</c:v>
                </c:pt>
                <c:pt idx="273">
                  <c:v>50374</c:v>
                </c:pt>
                <c:pt idx="274">
                  <c:v>50404</c:v>
                </c:pt>
                <c:pt idx="275">
                  <c:v>50437</c:v>
                </c:pt>
                <c:pt idx="276">
                  <c:v>50465</c:v>
                </c:pt>
                <c:pt idx="277">
                  <c:v>50496</c:v>
                </c:pt>
                <c:pt idx="278">
                  <c:v>50528</c:v>
                </c:pt>
                <c:pt idx="279">
                  <c:v>50559</c:v>
                </c:pt>
                <c:pt idx="280">
                  <c:v>50591</c:v>
                </c:pt>
                <c:pt idx="281">
                  <c:v>50622</c:v>
                </c:pt>
                <c:pt idx="282">
                  <c:v>50654</c:v>
                </c:pt>
                <c:pt idx="283">
                  <c:v>50684</c:v>
                </c:pt>
                <c:pt idx="284">
                  <c:v>50717</c:v>
                </c:pt>
                <c:pt idx="285">
                  <c:v>50747</c:v>
                </c:pt>
                <c:pt idx="286">
                  <c:v>50780</c:v>
                </c:pt>
                <c:pt idx="287">
                  <c:v>50811</c:v>
                </c:pt>
                <c:pt idx="288">
                  <c:v>50839</c:v>
                </c:pt>
                <c:pt idx="289">
                  <c:v>50872</c:v>
                </c:pt>
                <c:pt idx="290">
                  <c:v>50902</c:v>
                </c:pt>
                <c:pt idx="291">
                  <c:v>50934</c:v>
                </c:pt>
                <c:pt idx="292">
                  <c:v>50964</c:v>
                </c:pt>
                <c:pt idx="293">
                  <c:v>50997</c:v>
                </c:pt>
                <c:pt idx="294">
                  <c:v>51028</c:v>
                </c:pt>
                <c:pt idx="295">
                  <c:v>51060</c:v>
                </c:pt>
                <c:pt idx="296">
                  <c:v>51091</c:v>
                </c:pt>
                <c:pt idx="297">
                  <c:v>51123</c:v>
                </c:pt>
                <c:pt idx="298">
                  <c:v>51154</c:v>
                </c:pt>
                <c:pt idx="299">
                  <c:v>51186</c:v>
                </c:pt>
                <c:pt idx="300">
                  <c:v>51215</c:v>
                </c:pt>
                <c:pt idx="301">
                  <c:v>51246</c:v>
                </c:pt>
                <c:pt idx="302">
                  <c:v>51277</c:v>
                </c:pt>
                <c:pt idx="303">
                  <c:v>51308</c:v>
                </c:pt>
                <c:pt idx="304">
                  <c:v>51340</c:v>
                </c:pt>
                <c:pt idx="305">
                  <c:v>51371</c:v>
                </c:pt>
                <c:pt idx="306">
                  <c:v>51403</c:v>
                </c:pt>
                <c:pt idx="307">
                  <c:v>51433</c:v>
                </c:pt>
                <c:pt idx="308">
                  <c:v>51466</c:v>
                </c:pt>
                <c:pt idx="309">
                  <c:v>51497</c:v>
                </c:pt>
                <c:pt idx="310">
                  <c:v>51529</c:v>
                </c:pt>
                <c:pt idx="311">
                  <c:v>51560</c:v>
                </c:pt>
                <c:pt idx="312">
                  <c:v>51588</c:v>
                </c:pt>
                <c:pt idx="313">
                  <c:v>51620</c:v>
                </c:pt>
                <c:pt idx="314">
                  <c:v>51650</c:v>
                </c:pt>
                <c:pt idx="315">
                  <c:v>51683</c:v>
                </c:pt>
                <c:pt idx="316">
                  <c:v>51714</c:v>
                </c:pt>
                <c:pt idx="317">
                  <c:v>51746</c:v>
                </c:pt>
                <c:pt idx="318">
                  <c:v>51776</c:v>
                </c:pt>
                <c:pt idx="319">
                  <c:v>51809</c:v>
                </c:pt>
                <c:pt idx="320">
                  <c:v>51839</c:v>
                </c:pt>
                <c:pt idx="321">
                  <c:v>51872</c:v>
                </c:pt>
                <c:pt idx="322">
                  <c:v>51903</c:v>
                </c:pt>
                <c:pt idx="323">
                  <c:v>51931</c:v>
                </c:pt>
                <c:pt idx="324">
                  <c:v>51964</c:v>
                </c:pt>
                <c:pt idx="325">
                  <c:v>51994</c:v>
                </c:pt>
                <c:pt idx="326">
                  <c:v>52026</c:v>
                </c:pt>
                <c:pt idx="327">
                  <c:v>52056</c:v>
                </c:pt>
                <c:pt idx="328">
                  <c:v>52089</c:v>
                </c:pt>
                <c:pt idx="329">
                  <c:v>52120</c:v>
                </c:pt>
                <c:pt idx="330">
                  <c:v>52152</c:v>
                </c:pt>
                <c:pt idx="331">
                  <c:v>52183</c:v>
                </c:pt>
                <c:pt idx="332">
                  <c:v>52215</c:v>
                </c:pt>
                <c:pt idx="333">
                  <c:v>52246</c:v>
                </c:pt>
                <c:pt idx="334">
                  <c:v>52278</c:v>
                </c:pt>
                <c:pt idx="335">
                  <c:v>52306</c:v>
                </c:pt>
                <c:pt idx="336">
                  <c:v>52337</c:v>
                </c:pt>
                <c:pt idx="337">
                  <c:v>52369</c:v>
                </c:pt>
                <c:pt idx="338">
                  <c:v>52400</c:v>
                </c:pt>
                <c:pt idx="339">
                  <c:v>52432</c:v>
                </c:pt>
                <c:pt idx="340">
                  <c:v>52463</c:v>
                </c:pt>
                <c:pt idx="341">
                  <c:v>52495</c:v>
                </c:pt>
                <c:pt idx="342">
                  <c:v>52525</c:v>
                </c:pt>
                <c:pt idx="343">
                  <c:v>52558</c:v>
                </c:pt>
                <c:pt idx="344">
                  <c:v>52588</c:v>
                </c:pt>
                <c:pt idx="345">
                  <c:v>52621</c:v>
                </c:pt>
                <c:pt idx="346">
                  <c:v>52652</c:v>
                </c:pt>
                <c:pt idx="347">
                  <c:v>52681</c:v>
                </c:pt>
                <c:pt idx="348">
                  <c:v>52712</c:v>
                </c:pt>
                <c:pt idx="349">
                  <c:v>52742</c:v>
                </c:pt>
                <c:pt idx="350">
                  <c:v>52775</c:v>
                </c:pt>
                <c:pt idx="351">
                  <c:v>52805</c:v>
                </c:pt>
                <c:pt idx="352">
                  <c:v>52838</c:v>
                </c:pt>
                <c:pt idx="353">
                  <c:v>52869</c:v>
                </c:pt>
                <c:pt idx="354">
                  <c:v>52901</c:v>
                </c:pt>
                <c:pt idx="355">
                  <c:v>52931</c:v>
                </c:pt>
                <c:pt idx="356">
                  <c:v>52961</c:v>
                </c:pt>
                <c:pt idx="357">
                  <c:v>52992</c:v>
                </c:pt>
                <c:pt idx="358">
                  <c:v>53021</c:v>
                </c:pt>
                <c:pt idx="359">
                  <c:v>53049</c:v>
                </c:pt>
                <c:pt idx="360">
                  <c:v>53080</c:v>
                </c:pt>
                <c:pt idx="361">
                  <c:v>53111</c:v>
                </c:pt>
                <c:pt idx="362">
                  <c:v>53142</c:v>
                </c:pt>
                <c:pt idx="363">
                  <c:v>53174</c:v>
                </c:pt>
                <c:pt idx="364">
                  <c:v>53205</c:v>
                </c:pt>
                <c:pt idx="365">
                  <c:v>53237</c:v>
                </c:pt>
                <c:pt idx="366">
                  <c:v>53268</c:v>
                </c:pt>
                <c:pt idx="367">
                  <c:v>53300</c:v>
                </c:pt>
                <c:pt idx="368">
                  <c:v>53331</c:v>
                </c:pt>
                <c:pt idx="369">
                  <c:v>53363</c:v>
                </c:pt>
                <c:pt idx="370">
                  <c:v>53391</c:v>
                </c:pt>
                <c:pt idx="371">
                  <c:v>53422</c:v>
                </c:pt>
                <c:pt idx="372">
                  <c:v>53454</c:v>
                </c:pt>
                <c:pt idx="373">
                  <c:v>53485</c:v>
                </c:pt>
                <c:pt idx="374">
                  <c:v>53517</c:v>
                </c:pt>
                <c:pt idx="375">
                  <c:v>53548</c:v>
                </c:pt>
                <c:pt idx="376">
                  <c:v>53580</c:v>
                </c:pt>
                <c:pt idx="377">
                  <c:v>53610</c:v>
                </c:pt>
                <c:pt idx="378">
                  <c:v>53643</c:v>
                </c:pt>
                <c:pt idx="379">
                  <c:v>53673</c:v>
                </c:pt>
                <c:pt idx="380">
                  <c:v>53706</c:v>
                </c:pt>
                <c:pt idx="381">
                  <c:v>53737</c:v>
                </c:pt>
                <c:pt idx="382">
                  <c:v>53765</c:v>
                </c:pt>
                <c:pt idx="383">
                  <c:v>53798</c:v>
                </c:pt>
                <c:pt idx="384">
                  <c:v>53828</c:v>
                </c:pt>
                <c:pt idx="385">
                  <c:v>53860</c:v>
                </c:pt>
                <c:pt idx="386">
                  <c:v>53890</c:v>
                </c:pt>
                <c:pt idx="387">
                  <c:v>53923</c:v>
                </c:pt>
                <c:pt idx="388">
                  <c:v>53954</c:v>
                </c:pt>
                <c:pt idx="389">
                  <c:v>53986</c:v>
                </c:pt>
                <c:pt idx="390">
                  <c:v>54017</c:v>
                </c:pt>
                <c:pt idx="391">
                  <c:v>54049</c:v>
                </c:pt>
                <c:pt idx="392">
                  <c:v>54080</c:v>
                </c:pt>
                <c:pt idx="393">
                  <c:v>54112</c:v>
                </c:pt>
                <c:pt idx="394">
                  <c:v>54141</c:v>
                </c:pt>
                <c:pt idx="395">
                  <c:v>54172</c:v>
                </c:pt>
                <c:pt idx="396">
                  <c:v>54203</c:v>
                </c:pt>
                <c:pt idx="397">
                  <c:v>54234</c:v>
                </c:pt>
                <c:pt idx="398">
                  <c:v>54266</c:v>
                </c:pt>
                <c:pt idx="399">
                  <c:v>54297</c:v>
                </c:pt>
                <c:pt idx="400">
                  <c:v>54329</c:v>
                </c:pt>
                <c:pt idx="401">
                  <c:v>54359</c:v>
                </c:pt>
                <c:pt idx="402">
                  <c:v>54392</c:v>
                </c:pt>
                <c:pt idx="403">
                  <c:v>54422</c:v>
                </c:pt>
                <c:pt idx="404">
                  <c:v>54455</c:v>
                </c:pt>
                <c:pt idx="405">
                  <c:v>54483</c:v>
                </c:pt>
                <c:pt idx="406">
                  <c:v>54514</c:v>
                </c:pt>
                <c:pt idx="407">
                  <c:v>54546</c:v>
                </c:pt>
                <c:pt idx="408">
                  <c:v>54577</c:v>
                </c:pt>
                <c:pt idx="409">
                  <c:v>54609</c:v>
                </c:pt>
                <c:pt idx="410">
                  <c:v>54640</c:v>
                </c:pt>
                <c:pt idx="411">
                  <c:v>54672</c:v>
                </c:pt>
                <c:pt idx="412">
                  <c:v>54702</c:v>
                </c:pt>
                <c:pt idx="413">
                  <c:v>54735</c:v>
                </c:pt>
                <c:pt idx="414">
                  <c:v>54765</c:v>
                </c:pt>
                <c:pt idx="415">
                  <c:v>54798</c:v>
                </c:pt>
                <c:pt idx="416">
                  <c:v>54829</c:v>
                </c:pt>
                <c:pt idx="417">
                  <c:v>54857</c:v>
                </c:pt>
                <c:pt idx="418">
                  <c:v>54890</c:v>
                </c:pt>
                <c:pt idx="419">
                  <c:v>54920</c:v>
                </c:pt>
                <c:pt idx="420">
                  <c:v>54952</c:v>
                </c:pt>
                <c:pt idx="421">
                  <c:v>54982</c:v>
                </c:pt>
                <c:pt idx="422">
                  <c:v>55015</c:v>
                </c:pt>
                <c:pt idx="423">
                  <c:v>55046</c:v>
                </c:pt>
                <c:pt idx="424">
                  <c:v>55078</c:v>
                </c:pt>
                <c:pt idx="425">
                  <c:v>55109</c:v>
                </c:pt>
                <c:pt idx="426">
                  <c:v>55141</c:v>
                </c:pt>
                <c:pt idx="427">
                  <c:v>55172</c:v>
                </c:pt>
                <c:pt idx="428">
                  <c:v>55204</c:v>
                </c:pt>
                <c:pt idx="429">
                  <c:v>55232</c:v>
                </c:pt>
                <c:pt idx="430">
                  <c:v>55263</c:v>
                </c:pt>
                <c:pt idx="431">
                  <c:v>55295</c:v>
                </c:pt>
                <c:pt idx="432">
                  <c:v>55326</c:v>
                </c:pt>
                <c:pt idx="433">
                  <c:v>55358</c:v>
                </c:pt>
                <c:pt idx="434">
                  <c:v>55389</c:v>
                </c:pt>
                <c:pt idx="435">
                  <c:v>55421</c:v>
                </c:pt>
                <c:pt idx="436">
                  <c:v>55451</c:v>
                </c:pt>
                <c:pt idx="437">
                  <c:v>55484</c:v>
                </c:pt>
                <c:pt idx="438">
                  <c:v>55514</c:v>
                </c:pt>
                <c:pt idx="439">
                  <c:v>55547</c:v>
                </c:pt>
                <c:pt idx="440">
                  <c:v>55578</c:v>
                </c:pt>
                <c:pt idx="441">
                  <c:v>55607</c:v>
                </c:pt>
                <c:pt idx="442">
                  <c:v>55638</c:v>
                </c:pt>
                <c:pt idx="443">
                  <c:v>55668</c:v>
                </c:pt>
                <c:pt idx="444">
                  <c:v>55701</c:v>
                </c:pt>
                <c:pt idx="445">
                  <c:v>55732</c:v>
                </c:pt>
                <c:pt idx="446">
                  <c:v>55764</c:v>
                </c:pt>
                <c:pt idx="447">
                  <c:v>55794</c:v>
                </c:pt>
                <c:pt idx="448">
                  <c:v>55827</c:v>
                </c:pt>
                <c:pt idx="449">
                  <c:v>55857</c:v>
                </c:pt>
                <c:pt idx="450">
                  <c:v>55890</c:v>
                </c:pt>
                <c:pt idx="451">
                  <c:v>55921</c:v>
                </c:pt>
                <c:pt idx="452">
                  <c:v>55949</c:v>
                </c:pt>
                <c:pt idx="453">
                  <c:v>55982</c:v>
                </c:pt>
                <c:pt idx="454">
                  <c:v>56012</c:v>
                </c:pt>
                <c:pt idx="455">
                  <c:v>56044</c:v>
                </c:pt>
                <c:pt idx="456">
                  <c:v>56074</c:v>
                </c:pt>
                <c:pt idx="457">
                  <c:v>56107</c:v>
                </c:pt>
                <c:pt idx="458">
                  <c:v>56138</c:v>
                </c:pt>
                <c:pt idx="459">
                  <c:v>56170</c:v>
                </c:pt>
                <c:pt idx="460">
                  <c:v>56201</c:v>
                </c:pt>
                <c:pt idx="461">
                  <c:v>56233</c:v>
                </c:pt>
                <c:pt idx="462">
                  <c:v>56264</c:v>
                </c:pt>
                <c:pt idx="463">
                  <c:v>56296</c:v>
                </c:pt>
                <c:pt idx="464">
                  <c:v>56324</c:v>
                </c:pt>
                <c:pt idx="465">
                  <c:v>56355</c:v>
                </c:pt>
                <c:pt idx="466">
                  <c:v>56387</c:v>
                </c:pt>
                <c:pt idx="467">
                  <c:v>56418</c:v>
                </c:pt>
                <c:pt idx="468">
                  <c:v>56450</c:v>
                </c:pt>
                <c:pt idx="469">
                  <c:v>56481</c:v>
                </c:pt>
                <c:pt idx="470">
                  <c:v>56513</c:v>
                </c:pt>
                <c:pt idx="471">
                  <c:v>56543</c:v>
                </c:pt>
                <c:pt idx="472">
                  <c:v>56576</c:v>
                </c:pt>
                <c:pt idx="473">
                  <c:v>56606</c:v>
                </c:pt>
                <c:pt idx="474">
                  <c:v>56639</c:v>
                </c:pt>
                <c:pt idx="475">
                  <c:v>56670</c:v>
                </c:pt>
                <c:pt idx="476">
                  <c:v>56698</c:v>
                </c:pt>
                <c:pt idx="477">
                  <c:v>56730</c:v>
                </c:pt>
                <c:pt idx="478">
                  <c:v>56760</c:v>
                </c:pt>
                <c:pt idx="479">
                  <c:v>56793</c:v>
                </c:pt>
                <c:pt idx="480">
                  <c:v>56823</c:v>
                </c:pt>
                <c:pt idx="481">
                  <c:v>56856</c:v>
                </c:pt>
                <c:pt idx="482">
                  <c:v>56887</c:v>
                </c:pt>
                <c:pt idx="483">
                  <c:v>56919</c:v>
                </c:pt>
                <c:pt idx="484">
                  <c:v>56949</c:v>
                </c:pt>
                <c:pt idx="485">
                  <c:v>56982</c:v>
                </c:pt>
                <c:pt idx="486">
                  <c:v>57013</c:v>
                </c:pt>
                <c:pt idx="487">
                  <c:v>57042</c:v>
                </c:pt>
                <c:pt idx="488">
                  <c:v>57074</c:v>
                </c:pt>
                <c:pt idx="489">
                  <c:v>57104</c:v>
                </c:pt>
                <c:pt idx="490">
                  <c:v>57136</c:v>
                </c:pt>
                <c:pt idx="491">
                  <c:v>57166</c:v>
                </c:pt>
                <c:pt idx="492">
                  <c:v>57199</c:v>
                </c:pt>
                <c:pt idx="493">
                  <c:v>57230</c:v>
                </c:pt>
                <c:pt idx="494">
                  <c:v>57262</c:v>
                </c:pt>
                <c:pt idx="495">
                  <c:v>57293</c:v>
                </c:pt>
                <c:pt idx="496">
                  <c:v>57325</c:v>
                </c:pt>
                <c:pt idx="497">
                  <c:v>57356</c:v>
                </c:pt>
                <c:pt idx="498">
                  <c:v>57388</c:v>
                </c:pt>
                <c:pt idx="499">
                  <c:v>57416</c:v>
                </c:pt>
                <c:pt idx="500">
                  <c:v>57447</c:v>
                </c:pt>
                <c:pt idx="501">
                  <c:v>57479</c:v>
                </c:pt>
                <c:pt idx="502">
                  <c:v>57510</c:v>
                </c:pt>
                <c:pt idx="503">
                  <c:v>57542</c:v>
                </c:pt>
                <c:pt idx="504">
                  <c:v>57573</c:v>
                </c:pt>
                <c:pt idx="505">
                  <c:v>57605</c:v>
                </c:pt>
                <c:pt idx="506">
                  <c:v>57635</c:v>
                </c:pt>
                <c:pt idx="507">
                  <c:v>57668</c:v>
                </c:pt>
                <c:pt idx="508">
                  <c:v>57698</c:v>
                </c:pt>
                <c:pt idx="509">
                  <c:v>57731</c:v>
                </c:pt>
                <c:pt idx="510">
                  <c:v>57762</c:v>
                </c:pt>
                <c:pt idx="511">
                  <c:v>57790</c:v>
                </c:pt>
                <c:pt idx="512">
                  <c:v>57822</c:v>
                </c:pt>
                <c:pt idx="513">
                  <c:v>57852</c:v>
                </c:pt>
                <c:pt idx="514">
                  <c:v>57885</c:v>
                </c:pt>
                <c:pt idx="515">
                  <c:v>57915</c:v>
                </c:pt>
                <c:pt idx="516">
                  <c:v>57948</c:v>
                </c:pt>
                <c:pt idx="517">
                  <c:v>57979</c:v>
                </c:pt>
                <c:pt idx="518">
                  <c:v>58011</c:v>
                </c:pt>
                <c:pt idx="519">
                  <c:v>58042</c:v>
                </c:pt>
                <c:pt idx="520">
                  <c:v>58074</c:v>
                </c:pt>
                <c:pt idx="521">
                  <c:v>58105</c:v>
                </c:pt>
                <c:pt idx="522">
                  <c:v>58134</c:v>
                </c:pt>
                <c:pt idx="523">
                  <c:v>58166</c:v>
                </c:pt>
                <c:pt idx="524">
                  <c:v>58197</c:v>
                </c:pt>
                <c:pt idx="525">
                  <c:v>58228</c:v>
                </c:pt>
                <c:pt idx="526">
                  <c:v>58258</c:v>
                </c:pt>
                <c:pt idx="527">
                  <c:v>58291</c:v>
                </c:pt>
                <c:pt idx="528">
                  <c:v>58322</c:v>
                </c:pt>
                <c:pt idx="529">
                  <c:v>58354</c:v>
                </c:pt>
                <c:pt idx="530">
                  <c:v>58385</c:v>
                </c:pt>
                <c:pt idx="531">
                  <c:v>58417</c:v>
                </c:pt>
                <c:pt idx="532">
                  <c:v>58448</c:v>
                </c:pt>
                <c:pt idx="533">
                  <c:v>58480</c:v>
                </c:pt>
                <c:pt idx="534">
                  <c:v>58509</c:v>
                </c:pt>
                <c:pt idx="535">
                  <c:v>58540</c:v>
                </c:pt>
                <c:pt idx="536">
                  <c:v>58571</c:v>
                </c:pt>
                <c:pt idx="537">
                  <c:v>58602</c:v>
                </c:pt>
                <c:pt idx="538">
                  <c:v>58634</c:v>
                </c:pt>
                <c:pt idx="539">
                  <c:v>58665</c:v>
                </c:pt>
                <c:pt idx="540">
                  <c:v>58697</c:v>
                </c:pt>
                <c:pt idx="541">
                  <c:v>58727</c:v>
                </c:pt>
                <c:pt idx="542">
                  <c:v>58760</c:v>
                </c:pt>
                <c:pt idx="543">
                  <c:v>58790</c:v>
                </c:pt>
                <c:pt idx="544">
                  <c:v>58823</c:v>
                </c:pt>
                <c:pt idx="545">
                  <c:v>58854</c:v>
                </c:pt>
                <c:pt idx="546">
                  <c:v>58882</c:v>
                </c:pt>
                <c:pt idx="547">
                  <c:v>58914</c:v>
                </c:pt>
                <c:pt idx="548">
                  <c:v>58944</c:v>
                </c:pt>
                <c:pt idx="549">
                  <c:v>58977</c:v>
                </c:pt>
                <c:pt idx="550">
                  <c:v>59007</c:v>
                </c:pt>
                <c:pt idx="551">
                  <c:v>59040</c:v>
                </c:pt>
                <c:pt idx="552">
                  <c:v>59071</c:v>
                </c:pt>
                <c:pt idx="553">
                  <c:v>59103</c:v>
                </c:pt>
                <c:pt idx="554">
                  <c:v>59134</c:v>
                </c:pt>
                <c:pt idx="555">
                  <c:v>59167</c:v>
                </c:pt>
                <c:pt idx="556">
                  <c:v>59198</c:v>
                </c:pt>
                <c:pt idx="557">
                  <c:v>59229</c:v>
                </c:pt>
                <c:pt idx="558">
                  <c:v>59258</c:v>
                </c:pt>
                <c:pt idx="559">
                  <c:v>59289</c:v>
                </c:pt>
                <c:pt idx="560">
                  <c:v>59320</c:v>
                </c:pt>
                <c:pt idx="561">
                  <c:v>59351</c:v>
                </c:pt>
                <c:pt idx="562">
                  <c:v>59383</c:v>
                </c:pt>
                <c:pt idx="563">
                  <c:v>59414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59540</c:v>
                </c:pt>
                <c:pt idx="568">
                  <c:v>59572</c:v>
                </c:pt>
                <c:pt idx="569">
                  <c:v>59600</c:v>
                </c:pt>
                <c:pt idx="570">
                  <c:v>59631</c:v>
                </c:pt>
                <c:pt idx="571">
                  <c:v>59663</c:v>
                </c:pt>
                <c:pt idx="572">
                  <c:v>59694</c:v>
                </c:pt>
                <c:pt idx="573">
                  <c:v>59726</c:v>
                </c:pt>
                <c:pt idx="574">
                  <c:v>59757</c:v>
                </c:pt>
                <c:pt idx="575">
                  <c:v>59789</c:v>
                </c:pt>
                <c:pt idx="576">
                  <c:v>59819</c:v>
                </c:pt>
                <c:pt idx="577">
                  <c:v>59852</c:v>
                </c:pt>
                <c:pt idx="578">
                  <c:v>59882</c:v>
                </c:pt>
                <c:pt idx="579">
                  <c:v>59915</c:v>
                </c:pt>
                <c:pt idx="580" formatCode="General">
                  <c:v>59946</c:v>
                </c:pt>
                <c:pt idx="581" formatCode="General">
                  <c:v>59975</c:v>
                </c:pt>
                <c:pt idx="582" formatCode="General">
                  <c:v>60006</c:v>
                </c:pt>
                <c:pt idx="583" formatCode="General">
                  <c:v>60036</c:v>
                </c:pt>
              </c:numCache>
            </c:numRef>
          </c:cat>
          <c:val>
            <c:numRef>
              <c:f>'basis 6M '!$P$2:$P$585</c:f>
              <c:numCache>
                <c:formatCode>0.0000%</c:formatCode>
                <c:ptCount val="584"/>
                <c:pt idx="0">
                  <c:v>5.1204465057381218E-4</c:v>
                </c:pt>
                <c:pt idx="1">
                  <c:v>5.010103952770976E-4</c:v>
                </c:pt>
                <c:pt idx="2">
                  <c:v>4.8306097056242654E-4</c:v>
                </c:pt>
                <c:pt idx="3">
                  <c:v>5.3197613612482081E-4</c:v>
                </c:pt>
                <c:pt idx="4">
                  <c:v>5.5068527577439852E-4</c:v>
                </c:pt>
                <c:pt idx="5">
                  <c:v>5.013343786666643E-4</c:v>
                </c:pt>
                <c:pt idx="6">
                  <c:v>3.7520501215364472E-4</c:v>
                </c:pt>
                <c:pt idx="7">
                  <c:v>2.556185164676281E-4</c:v>
                </c:pt>
                <c:pt idx="8">
                  <c:v>2.116780217105201E-4</c:v>
                </c:pt>
                <c:pt idx="9">
                  <c:v>2.0618739458148121E-4</c:v>
                </c:pt>
                <c:pt idx="10">
                  <c:v>1.9320138834071258E-4</c:v>
                </c:pt>
                <c:pt idx="11">
                  <c:v>1.7223458510884842E-4</c:v>
                </c:pt>
                <c:pt idx="12">
                  <c:v>1.7587570496316925E-4</c:v>
                </c:pt>
                <c:pt idx="13">
                  <c:v>2.4253682550587203E-4</c:v>
                </c:pt>
                <c:pt idx="14">
                  <c:v>3.1394368155743621E-4</c:v>
                </c:pt>
                <c:pt idx="15">
                  <c:v>3.8518928024417647E-4</c:v>
                </c:pt>
                <c:pt idx="16">
                  <c:v>4.5856288031384898E-4</c:v>
                </c:pt>
                <c:pt idx="17">
                  <c:v>5.2919092026229E-4</c:v>
                </c:pt>
                <c:pt idx="18">
                  <c:v>6.0485480678820541E-4</c:v>
                </c:pt>
                <c:pt idx="19">
                  <c:v>6.7641791002121215E-4</c:v>
                </c:pt>
                <c:pt idx="20">
                  <c:v>7.5029976640452844E-4</c:v>
                </c:pt>
                <c:pt idx="21">
                  <c:v>9.3989788626243646E-4</c:v>
                </c:pt>
                <c:pt idx="22">
                  <c:v>1.2465819174868188E-3</c:v>
                </c:pt>
                <c:pt idx="23">
                  <c:v>1.5631841877968796E-3</c:v>
                </c:pt>
                <c:pt idx="24">
                  <c:v>1.7017017120812949E-3</c:v>
                </c:pt>
                <c:pt idx="25">
                  <c:v>1.7017057334404221E-3</c:v>
                </c:pt>
                <c:pt idx="26">
                  <c:v>1.7017057334395534E-3</c:v>
                </c:pt>
                <c:pt idx="27">
                  <c:v>1.7017017120821733E-3</c:v>
                </c:pt>
                <c:pt idx="28">
                  <c:v>1.7016976907360259E-3</c:v>
                </c:pt>
                <c:pt idx="29">
                  <c:v>1.7017017120821733E-3</c:v>
                </c:pt>
                <c:pt idx="30">
                  <c:v>1.7017057334404223E-3</c:v>
                </c:pt>
                <c:pt idx="31">
                  <c:v>1.7017017120812951E-3</c:v>
                </c:pt>
                <c:pt idx="32">
                  <c:v>1.7017057334404223E-3</c:v>
                </c:pt>
                <c:pt idx="33">
                  <c:v>2.2458157296280433E-3</c:v>
                </c:pt>
                <c:pt idx="34">
                  <c:v>2.9714133664767188E-3</c:v>
                </c:pt>
                <c:pt idx="35">
                  <c:v>3.6744643100295395E-3</c:v>
                </c:pt>
                <c:pt idx="36">
                  <c:v>3.787851522514775E-3</c:v>
                </c:pt>
                <c:pt idx="37">
                  <c:v>3.7878714437542828E-3</c:v>
                </c:pt>
                <c:pt idx="38">
                  <c:v>3.7878714437534142E-3</c:v>
                </c:pt>
                <c:pt idx="39">
                  <c:v>3.7878316014143816E-3</c:v>
                </c:pt>
                <c:pt idx="40">
                  <c:v>3.7878515225138972E-3</c:v>
                </c:pt>
                <c:pt idx="41">
                  <c:v>3.7878116804541998E-3</c:v>
                </c:pt>
                <c:pt idx="42">
                  <c:v>3.7878714437534142E-3</c:v>
                </c:pt>
                <c:pt idx="43">
                  <c:v>3.7878515225138968E-3</c:v>
                </c:pt>
                <c:pt idx="44">
                  <c:v>3.8191772231717684E-3</c:v>
                </c:pt>
                <c:pt idx="45">
                  <c:v>4.8524083268219409E-3</c:v>
                </c:pt>
                <c:pt idx="46">
                  <c:v>5.7919458442513422E-3</c:v>
                </c:pt>
                <c:pt idx="47">
                  <c:v>6.6690508034010203E-3</c:v>
                </c:pt>
                <c:pt idx="48">
                  <c:v>6.6689890662919981E-3</c:v>
                </c:pt>
                <c:pt idx="49">
                  <c:v>6.6690508034018894E-3</c:v>
                </c:pt>
                <c:pt idx="50">
                  <c:v>6.6690508034018886E-3</c:v>
                </c:pt>
                <c:pt idx="51">
                  <c:v>6.6689890662919972E-3</c:v>
                </c:pt>
                <c:pt idx="52">
                  <c:v>6.6689273299447285E-3</c:v>
                </c:pt>
                <c:pt idx="53">
                  <c:v>6.6689890662919972E-3</c:v>
                </c:pt>
                <c:pt idx="54">
                  <c:v>6.6690508034010212E-3</c:v>
                </c:pt>
                <c:pt idx="55">
                  <c:v>6.6689890662919972E-3</c:v>
                </c:pt>
                <c:pt idx="56">
                  <c:v>7.1756325189664197E-3</c:v>
                </c:pt>
                <c:pt idx="57">
                  <c:v>8.4846049993084326E-3</c:v>
                </c:pt>
                <c:pt idx="58">
                  <c:v>9.8362608456442867E-3</c:v>
                </c:pt>
                <c:pt idx="59">
                  <c:v>1.0554517496283614E-2</c:v>
                </c:pt>
                <c:pt idx="60">
                  <c:v>1.0554362917490522E-2</c:v>
                </c:pt>
                <c:pt idx="61">
                  <c:v>1.0554517496283614E-2</c:v>
                </c:pt>
                <c:pt idx="62">
                  <c:v>1.0554362917490522E-2</c:v>
                </c:pt>
                <c:pt idx="63">
                  <c:v>1.0554362917489644E-2</c:v>
                </c:pt>
                <c:pt idx="64">
                  <c:v>1.0554362917490522E-2</c:v>
                </c:pt>
                <c:pt idx="65">
                  <c:v>1.0554517496284483E-2</c:v>
                </c:pt>
                <c:pt idx="66">
                  <c:v>1.0554362917490524E-2</c:v>
                </c:pt>
                <c:pt idx="67">
                  <c:v>1.0554517496283614E-2</c:v>
                </c:pt>
                <c:pt idx="68">
                  <c:v>1.1259500971200065E-2</c:v>
                </c:pt>
                <c:pt idx="69">
                  <c:v>1.2513117706319654E-2</c:v>
                </c:pt>
                <c:pt idx="70">
                  <c:v>1.3727940808108324E-2</c:v>
                </c:pt>
                <c:pt idx="71">
                  <c:v>1.415881932614084E-2</c:v>
                </c:pt>
                <c:pt idx="72">
                  <c:v>1.415909743176243E-2</c:v>
                </c:pt>
                <c:pt idx="73">
                  <c:v>1.415909743176243E-2</c:v>
                </c:pt>
                <c:pt idx="74">
                  <c:v>1.415854122780047E-2</c:v>
                </c:pt>
                <c:pt idx="75">
                  <c:v>1.4158819326141719E-2</c:v>
                </c:pt>
                <c:pt idx="76">
                  <c:v>1.4158263136741555E-2</c:v>
                </c:pt>
                <c:pt idx="77">
                  <c:v>1.415909743176243E-2</c:v>
                </c:pt>
                <c:pt idx="78">
                  <c:v>1.415881932614084E-2</c:v>
                </c:pt>
                <c:pt idx="79">
                  <c:v>1.4159097431762432E-2</c:v>
                </c:pt>
                <c:pt idx="80">
                  <c:v>1.5184548801882171E-2</c:v>
                </c:pt>
                <c:pt idx="81">
                  <c:v>1.6245642334504182E-2</c:v>
                </c:pt>
                <c:pt idx="82">
                  <c:v>1.7413176272634882E-2</c:v>
                </c:pt>
                <c:pt idx="83">
                  <c:v>1.7412755765612797E-2</c:v>
                </c:pt>
                <c:pt idx="84">
                  <c:v>1.7413176272634882E-2</c:v>
                </c:pt>
                <c:pt idx="85">
                  <c:v>1.7413176272634882E-2</c:v>
                </c:pt>
                <c:pt idx="86">
                  <c:v>1.7412755765613675E-2</c:v>
                </c:pt>
                <c:pt idx="87">
                  <c:v>1.7412335272126711E-2</c:v>
                </c:pt>
                <c:pt idx="88">
                  <c:v>1.7412755765613679E-2</c:v>
                </c:pt>
                <c:pt idx="89">
                  <c:v>1.7413176272634886E-2</c:v>
                </c:pt>
                <c:pt idx="90">
                  <c:v>1.7412755765613675E-2</c:v>
                </c:pt>
                <c:pt idx="91">
                  <c:v>1.7608316586555688E-2</c:v>
                </c:pt>
                <c:pt idx="92">
                  <c:v>1.8364576817089348E-2</c:v>
                </c:pt>
                <c:pt idx="93">
                  <c:v>1.914538516052804E-2</c:v>
                </c:pt>
                <c:pt idx="94">
                  <c:v>1.9657874910393485E-2</c:v>
                </c:pt>
                <c:pt idx="95">
                  <c:v>1.9657874910393485E-2</c:v>
                </c:pt>
                <c:pt idx="96">
                  <c:v>1.9657874910393485E-2</c:v>
                </c:pt>
                <c:pt idx="97">
                  <c:v>1.9657874910393485E-2</c:v>
                </c:pt>
                <c:pt idx="98">
                  <c:v>1.9656803319980654E-2</c:v>
                </c:pt>
                <c:pt idx="99">
                  <c:v>1.9657874910393485E-2</c:v>
                </c:pt>
                <c:pt idx="100">
                  <c:v>1.9656803319980654E-2</c:v>
                </c:pt>
                <c:pt idx="101">
                  <c:v>1.9657874910393489E-2</c:v>
                </c:pt>
                <c:pt idx="102">
                  <c:v>1.9657339105455054E-2</c:v>
                </c:pt>
                <c:pt idx="103">
                  <c:v>1.9929804097025175E-2</c:v>
                </c:pt>
                <c:pt idx="104">
                  <c:v>2.0531999924895596E-2</c:v>
                </c:pt>
                <c:pt idx="105">
                  <c:v>2.1153718139300334E-2</c:v>
                </c:pt>
                <c:pt idx="106">
                  <c:v>2.1444544810073164E-2</c:v>
                </c:pt>
                <c:pt idx="107">
                  <c:v>2.1445182377995833E-2</c:v>
                </c:pt>
                <c:pt idx="108">
                  <c:v>2.1445182377995833E-2</c:v>
                </c:pt>
                <c:pt idx="109">
                  <c:v>2.1444544810073157E-2</c:v>
                </c:pt>
                <c:pt idx="110">
                  <c:v>2.1444544810073161E-2</c:v>
                </c:pt>
                <c:pt idx="111">
                  <c:v>2.1444544810073161E-2</c:v>
                </c:pt>
                <c:pt idx="112">
                  <c:v>2.1445182377995829E-2</c:v>
                </c:pt>
                <c:pt idx="113">
                  <c:v>2.1444544810073161E-2</c:v>
                </c:pt>
                <c:pt idx="114">
                  <c:v>2.1445182377995829E-2</c:v>
                </c:pt>
                <c:pt idx="115">
                  <c:v>2.1783521961816817E-2</c:v>
                </c:pt>
                <c:pt idx="116">
                  <c:v>2.2275704204290057E-2</c:v>
                </c:pt>
                <c:pt idx="117">
                  <c:v>2.2752564459778912E-2</c:v>
                </c:pt>
                <c:pt idx="118">
                  <c:v>2.2859526182500117E-2</c:v>
                </c:pt>
                <c:pt idx="119">
                  <c:v>2.2860250578798199E-2</c:v>
                </c:pt>
                <c:pt idx="120">
                  <c:v>2.2860250578799073E-2</c:v>
                </c:pt>
                <c:pt idx="121">
                  <c:v>2.2858801816791896E-2</c:v>
                </c:pt>
                <c:pt idx="122">
                  <c:v>2.2859526182500121E-2</c:v>
                </c:pt>
                <c:pt idx="123">
                  <c:v>2.285807748167357E-2</c:v>
                </c:pt>
                <c:pt idx="124">
                  <c:v>2.2860250578799066E-2</c:v>
                </c:pt>
                <c:pt idx="125">
                  <c:v>2.2859526182500121E-2</c:v>
                </c:pt>
                <c:pt idx="126">
                  <c:v>2.2860250578799073E-2</c:v>
                </c:pt>
                <c:pt idx="127">
                  <c:v>2.3232185133807599E-2</c:v>
                </c:pt>
                <c:pt idx="128">
                  <c:v>2.358090569970514E-2</c:v>
                </c:pt>
                <c:pt idx="129">
                  <c:v>2.3929657159279864E-2</c:v>
                </c:pt>
                <c:pt idx="130">
                  <c:v>2.3928863475749042E-2</c:v>
                </c:pt>
                <c:pt idx="131">
                  <c:v>2.3929657159279864E-2</c:v>
                </c:pt>
                <c:pt idx="132">
                  <c:v>2.3929657159279867E-2</c:v>
                </c:pt>
                <c:pt idx="133">
                  <c:v>2.3928863475749046E-2</c:v>
                </c:pt>
                <c:pt idx="134">
                  <c:v>2.3928069827299225E-2</c:v>
                </c:pt>
                <c:pt idx="135">
                  <c:v>2.3928863475749042E-2</c:v>
                </c:pt>
                <c:pt idx="136">
                  <c:v>2.3929657159279867E-2</c:v>
                </c:pt>
                <c:pt idx="137">
                  <c:v>2.3928863475749042E-2</c:v>
                </c:pt>
                <c:pt idx="138">
                  <c:v>2.4011328316282391E-2</c:v>
                </c:pt>
                <c:pt idx="139">
                  <c:v>2.4327820052610485E-2</c:v>
                </c:pt>
                <c:pt idx="140">
                  <c:v>2.4654547886239657E-2</c:v>
                </c:pt>
                <c:pt idx="141">
                  <c:v>2.4868977761272355E-2</c:v>
                </c:pt>
                <c:pt idx="142">
                  <c:v>2.4868120614288707E-2</c:v>
                </c:pt>
                <c:pt idx="143">
                  <c:v>2.4868977761272348E-2</c:v>
                </c:pt>
                <c:pt idx="144">
                  <c:v>2.4868120614289582E-2</c:v>
                </c:pt>
                <c:pt idx="145">
                  <c:v>2.4867263506675563E-2</c:v>
                </c:pt>
                <c:pt idx="146">
                  <c:v>2.4868120614289585E-2</c:v>
                </c:pt>
                <c:pt idx="147">
                  <c:v>2.4868977761272348E-2</c:v>
                </c:pt>
                <c:pt idx="148">
                  <c:v>2.4868120614289582E-2</c:v>
                </c:pt>
                <c:pt idx="149">
                  <c:v>2.4868977761272351E-2</c:v>
                </c:pt>
                <c:pt idx="150">
                  <c:v>2.4868977761272355E-2</c:v>
                </c:pt>
                <c:pt idx="151">
                  <c:v>2.4868977761272351E-2</c:v>
                </c:pt>
                <c:pt idx="152">
                  <c:v>2.4868977761273222E-2</c:v>
                </c:pt>
                <c:pt idx="153">
                  <c:v>2.4868120614289585E-2</c:v>
                </c:pt>
                <c:pt idx="154">
                  <c:v>2.4868977761272351E-2</c:v>
                </c:pt>
                <c:pt idx="155">
                  <c:v>2.4868977761272351E-2</c:v>
                </c:pt>
                <c:pt idx="156">
                  <c:v>2.4868120614289585E-2</c:v>
                </c:pt>
                <c:pt idx="157">
                  <c:v>2.4868120614289582E-2</c:v>
                </c:pt>
                <c:pt idx="158">
                  <c:v>2.4867263506675563E-2</c:v>
                </c:pt>
                <c:pt idx="159">
                  <c:v>2.4870692173355989E-2</c:v>
                </c:pt>
                <c:pt idx="160">
                  <c:v>2.4868120614289588E-2</c:v>
                </c:pt>
                <c:pt idx="161">
                  <c:v>2.4868977761272348E-2</c:v>
                </c:pt>
                <c:pt idx="162">
                  <c:v>2.4868977761273219E-2</c:v>
                </c:pt>
                <c:pt idx="163">
                  <c:v>2.4868977761272351E-2</c:v>
                </c:pt>
                <c:pt idx="164">
                  <c:v>2.4868977761273222E-2</c:v>
                </c:pt>
                <c:pt idx="165">
                  <c:v>2.4868120614288707E-2</c:v>
                </c:pt>
                <c:pt idx="166">
                  <c:v>2.4868977761273222E-2</c:v>
                </c:pt>
                <c:pt idx="167">
                  <c:v>2.4868977761273222E-2</c:v>
                </c:pt>
                <c:pt idx="168">
                  <c:v>2.4868120614288704E-2</c:v>
                </c:pt>
                <c:pt idx="169">
                  <c:v>2.4867263506675563E-2</c:v>
                </c:pt>
                <c:pt idx="170">
                  <c:v>2.4868120614288711E-2</c:v>
                </c:pt>
                <c:pt idx="171">
                  <c:v>2.4868977761272351E-2</c:v>
                </c:pt>
                <c:pt idx="172">
                  <c:v>2.4868120614289585E-2</c:v>
                </c:pt>
                <c:pt idx="173">
                  <c:v>2.4805826102281478E-2</c:v>
                </c:pt>
                <c:pt idx="174">
                  <c:v>2.4479558664180966E-2</c:v>
                </c:pt>
                <c:pt idx="175">
                  <c:v>2.4142794824717581E-2</c:v>
                </c:pt>
                <c:pt idx="176">
                  <c:v>2.390076360575533E-2</c:v>
                </c:pt>
                <c:pt idx="177">
                  <c:v>2.3899971835749944E-2</c:v>
                </c:pt>
                <c:pt idx="178">
                  <c:v>2.3900763605754462E-2</c:v>
                </c:pt>
                <c:pt idx="179">
                  <c:v>2.3900763605754455E-2</c:v>
                </c:pt>
                <c:pt idx="180">
                  <c:v>2.3899180100700693E-2</c:v>
                </c:pt>
                <c:pt idx="181">
                  <c:v>2.3899971835750825E-2</c:v>
                </c:pt>
                <c:pt idx="182">
                  <c:v>2.3898388400602988E-2</c:v>
                </c:pt>
                <c:pt idx="183">
                  <c:v>2.3900763605754455E-2</c:v>
                </c:pt>
                <c:pt idx="184">
                  <c:v>2.3899971835750818E-2</c:v>
                </c:pt>
                <c:pt idx="185">
                  <c:v>2.3900763605754459E-2</c:v>
                </c:pt>
                <c:pt idx="186">
                  <c:v>2.3900763605754459E-2</c:v>
                </c:pt>
                <c:pt idx="187">
                  <c:v>2.3900763605754455E-2</c:v>
                </c:pt>
                <c:pt idx="188">
                  <c:v>2.3899971835750822E-2</c:v>
                </c:pt>
                <c:pt idx="189">
                  <c:v>2.3900763605754459E-2</c:v>
                </c:pt>
                <c:pt idx="190">
                  <c:v>2.3900763605755326E-2</c:v>
                </c:pt>
                <c:pt idx="191">
                  <c:v>2.389918010070069E-2</c:v>
                </c:pt>
                <c:pt idx="192">
                  <c:v>2.3899971835749944E-2</c:v>
                </c:pt>
                <c:pt idx="193">
                  <c:v>2.3898388400602988E-2</c:v>
                </c:pt>
                <c:pt idx="194">
                  <c:v>2.3900763605754459E-2</c:v>
                </c:pt>
                <c:pt idx="195">
                  <c:v>2.3899971835750822E-2</c:v>
                </c:pt>
                <c:pt idx="196">
                  <c:v>2.3900763605754455E-2</c:v>
                </c:pt>
                <c:pt idx="197">
                  <c:v>2.3900763605754466E-2</c:v>
                </c:pt>
                <c:pt idx="198">
                  <c:v>2.3900763605755326E-2</c:v>
                </c:pt>
                <c:pt idx="199">
                  <c:v>2.3900763605755333E-2</c:v>
                </c:pt>
                <c:pt idx="200">
                  <c:v>2.3899971835750825E-2</c:v>
                </c:pt>
                <c:pt idx="201">
                  <c:v>2.3900763605754455E-2</c:v>
                </c:pt>
                <c:pt idx="202">
                  <c:v>2.3900763605755326E-2</c:v>
                </c:pt>
                <c:pt idx="203">
                  <c:v>2.3899971835750818E-2</c:v>
                </c:pt>
                <c:pt idx="204">
                  <c:v>2.389997183574994E-2</c:v>
                </c:pt>
                <c:pt idx="205">
                  <c:v>2.3899971835750822E-2</c:v>
                </c:pt>
                <c:pt idx="206">
                  <c:v>2.3900763605754455E-2</c:v>
                </c:pt>
                <c:pt idx="207">
                  <c:v>2.3899971835749944E-2</c:v>
                </c:pt>
                <c:pt idx="208">
                  <c:v>2.3900763605754459E-2</c:v>
                </c:pt>
                <c:pt idx="209">
                  <c:v>2.3900763605754455E-2</c:v>
                </c:pt>
                <c:pt idx="210">
                  <c:v>2.3900763605754459E-2</c:v>
                </c:pt>
                <c:pt idx="211">
                  <c:v>2.390076360575533E-2</c:v>
                </c:pt>
                <c:pt idx="212">
                  <c:v>2.3899971835750822E-2</c:v>
                </c:pt>
                <c:pt idx="213">
                  <c:v>2.3900763605755326E-2</c:v>
                </c:pt>
                <c:pt idx="214">
                  <c:v>2.3900763605754459E-2</c:v>
                </c:pt>
                <c:pt idx="215">
                  <c:v>2.3899180100700683E-2</c:v>
                </c:pt>
                <c:pt idx="216">
                  <c:v>2.3899971835750822E-2</c:v>
                </c:pt>
                <c:pt idx="217">
                  <c:v>2.3898388400602984E-2</c:v>
                </c:pt>
                <c:pt idx="218">
                  <c:v>2.3900763605754459E-2</c:v>
                </c:pt>
                <c:pt idx="219">
                  <c:v>2.3899971835750822E-2</c:v>
                </c:pt>
                <c:pt idx="220">
                  <c:v>2.3900763605754459E-2</c:v>
                </c:pt>
                <c:pt idx="221">
                  <c:v>2.3900763605754455E-2</c:v>
                </c:pt>
                <c:pt idx="222">
                  <c:v>2.390076360575533E-2</c:v>
                </c:pt>
                <c:pt idx="223">
                  <c:v>2.3900763605754459E-2</c:v>
                </c:pt>
                <c:pt idx="224">
                  <c:v>2.3899971835749944E-2</c:v>
                </c:pt>
                <c:pt idx="225">
                  <c:v>2.3900763605755333E-2</c:v>
                </c:pt>
                <c:pt idx="226">
                  <c:v>2.3899180100700686E-2</c:v>
                </c:pt>
                <c:pt idx="227">
                  <c:v>2.389918010070069E-2</c:v>
                </c:pt>
                <c:pt idx="228">
                  <c:v>2.3900763605755333E-2</c:v>
                </c:pt>
                <c:pt idx="229">
                  <c:v>2.3899180100699798E-2</c:v>
                </c:pt>
                <c:pt idx="230">
                  <c:v>2.3900763605755333E-2</c:v>
                </c:pt>
                <c:pt idx="231">
                  <c:v>2.3899971835750825E-2</c:v>
                </c:pt>
                <c:pt idx="232">
                  <c:v>2.3564930185036605E-2</c:v>
                </c:pt>
                <c:pt idx="233">
                  <c:v>2.2821400983169007E-2</c:v>
                </c:pt>
                <c:pt idx="234">
                  <c:v>2.2054034270834143E-2</c:v>
                </c:pt>
                <c:pt idx="235">
                  <c:v>2.1693730170726507E-2</c:v>
                </c:pt>
                <c:pt idx="236">
                  <c:v>2.1694382628300566E-2</c:v>
                </c:pt>
                <c:pt idx="237">
                  <c:v>2.1694382628299699E-2</c:v>
                </c:pt>
                <c:pt idx="238">
                  <c:v>2.1693730170726514E-2</c:v>
                </c:pt>
                <c:pt idx="239">
                  <c:v>2.1693077739304734E-2</c:v>
                </c:pt>
                <c:pt idx="240">
                  <c:v>2.1693730170726514E-2</c:v>
                </c:pt>
                <c:pt idx="241">
                  <c:v>2.1694382628300566E-2</c:v>
                </c:pt>
                <c:pt idx="242">
                  <c:v>2.1693730170726514E-2</c:v>
                </c:pt>
                <c:pt idx="243">
                  <c:v>2.1694382628300573E-2</c:v>
                </c:pt>
                <c:pt idx="244">
                  <c:v>2.1694382628300569E-2</c:v>
                </c:pt>
                <c:pt idx="245">
                  <c:v>2.1694382628300569E-2</c:v>
                </c:pt>
                <c:pt idx="246">
                  <c:v>2.1694382628300569E-2</c:v>
                </c:pt>
                <c:pt idx="247">
                  <c:v>2.1693730170726514E-2</c:v>
                </c:pt>
                <c:pt idx="248">
                  <c:v>2.1694382628299699E-2</c:v>
                </c:pt>
                <c:pt idx="249">
                  <c:v>2.1694382628300569E-2</c:v>
                </c:pt>
                <c:pt idx="250">
                  <c:v>2.1693730170726511E-2</c:v>
                </c:pt>
                <c:pt idx="251">
                  <c:v>2.1694382628299699E-2</c:v>
                </c:pt>
                <c:pt idx="252">
                  <c:v>2.1693077739304734E-2</c:v>
                </c:pt>
                <c:pt idx="253">
                  <c:v>2.1695687621905529E-2</c:v>
                </c:pt>
                <c:pt idx="254">
                  <c:v>2.1693730170726511E-2</c:v>
                </c:pt>
                <c:pt idx="255">
                  <c:v>2.1694382628299699E-2</c:v>
                </c:pt>
                <c:pt idx="256">
                  <c:v>2.1694382628300569E-2</c:v>
                </c:pt>
                <c:pt idx="257">
                  <c:v>2.1694382628300566E-2</c:v>
                </c:pt>
                <c:pt idx="258">
                  <c:v>2.1694382628299699E-2</c:v>
                </c:pt>
                <c:pt idx="259">
                  <c:v>2.1693730170727392E-2</c:v>
                </c:pt>
                <c:pt idx="260">
                  <c:v>2.1694382628300569E-2</c:v>
                </c:pt>
                <c:pt idx="261">
                  <c:v>2.1694382628300569E-2</c:v>
                </c:pt>
                <c:pt idx="262">
                  <c:v>2.1693730170727392E-2</c:v>
                </c:pt>
                <c:pt idx="263">
                  <c:v>2.1693077739304734E-2</c:v>
                </c:pt>
                <c:pt idx="264">
                  <c:v>2.1693730170727388E-2</c:v>
                </c:pt>
                <c:pt idx="265">
                  <c:v>2.1694382628300569E-2</c:v>
                </c:pt>
                <c:pt idx="266">
                  <c:v>2.1693730170726511E-2</c:v>
                </c:pt>
                <c:pt idx="267">
                  <c:v>2.1694382628299699E-2</c:v>
                </c:pt>
                <c:pt idx="268">
                  <c:v>2.1694382628300569E-2</c:v>
                </c:pt>
                <c:pt idx="269">
                  <c:v>2.1694382628299699E-2</c:v>
                </c:pt>
                <c:pt idx="270">
                  <c:v>2.1694382628300569E-2</c:v>
                </c:pt>
                <c:pt idx="271">
                  <c:v>2.1693730170726514E-2</c:v>
                </c:pt>
                <c:pt idx="272">
                  <c:v>2.1694382628300569E-2</c:v>
                </c:pt>
                <c:pt idx="273">
                  <c:v>2.1693730170726511E-2</c:v>
                </c:pt>
                <c:pt idx="274">
                  <c:v>2.1693077739304734E-2</c:v>
                </c:pt>
                <c:pt idx="275">
                  <c:v>2.1693730170726511E-2</c:v>
                </c:pt>
                <c:pt idx="276">
                  <c:v>2.1694382628300573E-2</c:v>
                </c:pt>
                <c:pt idx="277">
                  <c:v>2.1693730170726504E-2</c:v>
                </c:pt>
                <c:pt idx="278">
                  <c:v>2.1694382628299699E-2</c:v>
                </c:pt>
                <c:pt idx="279">
                  <c:v>2.1694382628300563E-2</c:v>
                </c:pt>
                <c:pt idx="280">
                  <c:v>2.1694382628299695E-2</c:v>
                </c:pt>
                <c:pt idx="281">
                  <c:v>2.1694382628299699E-2</c:v>
                </c:pt>
                <c:pt idx="282">
                  <c:v>2.1693730170726511E-2</c:v>
                </c:pt>
                <c:pt idx="283">
                  <c:v>2.1694382628300569E-2</c:v>
                </c:pt>
                <c:pt idx="284">
                  <c:v>2.1694382628299699E-2</c:v>
                </c:pt>
                <c:pt idx="285">
                  <c:v>2.1693077739304737E-2</c:v>
                </c:pt>
                <c:pt idx="286">
                  <c:v>2.1694382628300566E-2</c:v>
                </c:pt>
                <c:pt idx="287">
                  <c:v>2.1692425334032085E-2</c:v>
                </c:pt>
                <c:pt idx="288">
                  <c:v>2.1694382628299695E-2</c:v>
                </c:pt>
                <c:pt idx="289">
                  <c:v>2.1693730170726511E-2</c:v>
                </c:pt>
                <c:pt idx="290">
                  <c:v>2.1694382628300566E-2</c:v>
                </c:pt>
                <c:pt idx="291">
                  <c:v>2.1189811867077347E-2</c:v>
                </c:pt>
                <c:pt idx="292">
                  <c:v>2.0667910202780596E-2</c:v>
                </c:pt>
                <c:pt idx="293">
                  <c:v>2.0093898336570319E-2</c:v>
                </c:pt>
                <c:pt idx="294">
                  <c:v>2.0093338520027888E-2</c:v>
                </c:pt>
                <c:pt idx="295">
                  <c:v>2.0093898336569445E-2</c:v>
                </c:pt>
                <c:pt idx="296">
                  <c:v>2.0093898336570316E-2</c:v>
                </c:pt>
                <c:pt idx="297">
                  <c:v>2.0093338520027006E-2</c:v>
                </c:pt>
                <c:pt idx="298">
                  <c:v>2.0093338520027006E-2</c:v>
                </c:pt>
                <c:pt idx="299">
                  <c:v>2.0093338520027003E-2</c:v>
                </c:pt>
                <c:pt idx="300">
                  <c:v>2.0093898336570316E-2</c:v>
                </c:pt>
                <c:pt idx="301">
                  <c:v>2.0093338520027006E-2</c:v>
                </c:pt>
                <c:pt idx="302">
                  <c:v>2.0093898336570316E-2</c:v>
                </c:pt>
                <c:pt idx="303">
                  <c:v>2.0093898336570316E-2</c:v>
                </c:pt>
                <c:pt idx="304">
                  <c:v>2.0093898336570316E-2</c:v>
                </c:pt>
                <c:pt idx="305">
                  <c:v>2.0093898336570316E-2</c:v>
                </c:pt>
                <c:pt idx="306">
                  <c:v>2.0093338520027006E-2</c:v>
                </c:pt>
                <c:pt idx="307">
                  <c:v>2.0093898336570316E-2</c:v>
                </c:pt>
                <c:pt idx="308">
                  <c:v>2.0093898336569448E-2</c:v>
                </c:pt>
                <c:pt idx="309">
                  <c:v>2.0092778724270843E-2</c:v>
                </c:pt>
                <c:pt idx="310">
                  <c:v>2.0093338520027006E-2</c:v>
                </c:pt>
                <c:pt idx="311">
                  <c:v>2.0092218949299256E-2</c:v>
                </c:pt>
                <c:pt idx="312">
                  <c:v>2.0093898336569448E-2</c:v>
                </c:pt>
                <c:pt idx="313">
                  <c:v>2.0093338520027006E-2</c:v>
                </c:pt>
                <c:pt idx="314">
                  <c:v>2.009389833657119E-2</c:v>
                </c:pt>
                <c:pt idx="315">
                  <c:v>2.0093898336569445E-2</c:v>
                </c:pt>
                <c:pt idx="316">
                  <c:v>2.0093898336570316E-2</c:v>
                </c:pt>
                <c:pt idx="317">
                  <c:v>2.0093338520026132E-2</c:v>
                </c:pt>
                <c:pt idx="318">
                  <c:v>2.0093898336569448E-2</c:v>
                </c:pt>
                <c:pt idx="319">
                  <c:v>2.0093898336570319E-2</c:v>
                </c:pt>
                <c:pt idx="320">
                  <c:v>2.0092778724269955E-2</c:v>
                </c:pt>
                <c:pt idx="321">
                  <c:v>2.0093898336569445E-2</c:v>
                </c:pt>
                <c:pt idx="322">
                  <c:v>2.0092218949299259E-2</c:v>
                </c:pt>
                <c:pt idx="323">
                  <c:v>2.0093898336570316E-2</c:v>
                </c:pt>
                <c:pt idx="324">
                  <c:v>2.0093338520027006E-2</c:v>
                </c:pt>
                <c:pt idx="325">
                  <c:v>2.0093898336570316E-2</c:v>
                </c:pt>
                <c:pt idx="326">
                  <c:v>2.0093898336569448E-2</c:v>
                </c:pt>
                <c:pt idx="327">
                  <c:v>2.0093898336570319E-2</c:v>
                </c:pt>
                <c:pt idx="328">
                  <c:v>2.0093898336570316E-2</c:v>
                </c:pt>
                <c:pt idx="329">
                  <c:v>2.0093338520027006E-2</c:v>
                </c:pt>
                <c:pt idx="330">
                  <c:v>2.0093898336569448E-2</c:v>
                </c:pt>
                <c:pt idx="331">
                  <c:v>2.0093898336569445E-2</c:v>
                </c:pt>
                <c:pt idx="332">
                  <c:v>2.0093338520027006E-2</c:v>
                </c:pt>
                <c:pt idx="333">
                  <c:v>2.0092778724270843E-2</c:v>
                </c:pt>
                <c:pt idx="334">
                  <c:v>2.009333852002701E-2</c:v>
                </c:pt>
                <c:pt idx="335">
                  <c:v>2.0093898336570316E-2</c:v>
                </c:pt>
                <c:pt idx="336">
                  <c:v>2.0093338520027006E-2</c:v>
                </c:pt>
                <c:pt idx="337">
                  <c:v>2.0093898336570319E-2</c:v>
                </c:pt>
                <c:pt idx="338">
                  <c:v>2.0093898336570316E-2</c:v>
                </c:pt>
                <c:pt idx="339">
                  <c:v>2.0093898336570316E-2</c:v>
                </c:pt>
                <c:pt idx="340">
                  <c:v>2.0093898336570316E-2</c:v>
                </c:pt>
                <c:pt idx="341">
                  <c:v>2.0093338520027006E-2</c:v>
                </c:pt>
                <c:pt idx="342">
                  <c:v>2.0093898336569448E-2</c:v>
                </c:pt>
                <c:pt idx="343">
                  <c:v>2.0093898336571183E-2</c:v>
                </c:pt>
                <c:pt idx="344">
                  <c:v>2.0093338520027003E-2</c:v>
                </c:pt>
                <c:pt idx="345">
                  <c:v>2.009333852002701E-2</c:v>
                </c:pt>
                <c:pt idx="346">
                  <c:v>2.0092778724270843E-2</c:v>
                </c:pt>
                <c:pt idx="347">
                  <c:v>2.0095018032019588E-2</c:v>
                </c:pt>
                <c:pt idx="348">
                  <c:v>2.0093338520027006E-2</c:v>
                </c:pt>
                <c:pt idx="349">
                  <c:v>2.0195200066178556E-2</c:v>
                </c:pt>
                <c:pt idx="350">
                  <c:v>2.0529514285984377E-2</c:v>
                </c:pt>
                <c:pt idx="351">
                  <c:v>2.0833460962237375E-2</c:v>
                </c:pt>
                <c:pt idx="352">
                  <c:v>2.1025972671188834E-2</c:v>
                </c:pt>
                <c:pt idx="353">
                  <c:v>2.1025359763904319E-2</c:v>
                </c:pt>
                <c:pt idx="354">
                  <c:v>2.1025972671189705E-2</c:v>
                </c:pt>
                <c:pt idx="355">
                  <c:v>2.1024746880431877E-2</c:v>
                </c:pt>
                <c:pt idx="356">
                  <c:v>2.1024746880430989E-2</c:v>
                </c:pt>
                <c:pt idx="357">
                  <c:v>2.1025972671188834E-2</c:v>
                </c:pt>
                <c:pt idx="358">
                  <c:v>2.1024746880431877E-2</c:v>
                </c:pt>
                <c:pt idx="359">
                  <c:v>2.1025972671188834E-2</c:v>
                </c:pt>
                <c:pt idx="360">
                  <c:v>2.1025359763905196E-2</c:v>
                </c:pt>
                <c:pt idx="361">
                  <c:v>2.1025972671187967E-2</c:v>
                </c:pt>
                <c:pt idx="362">
                  <c:v>2.1025972671187963E-2</c:v>
                </c:pt>
                <c:pt idx="363">
                  <c:v>2.1025972671187963E-2</c:v>
                </c:pt>
                <c:pt idx="364">
                  <c:v>2.1025359763904319E-2</c:v>
                </c:pt>
                <c:pt idx="365">
                  <c:v>2.1025972671188834E-2</c:v>
                </c:pt>
                <c:pt idx="366">
                  <c:v>2.1025972671187967E-2</c:v>
                </c:pt>
                <c:pt idx="367">
                  <c:v>2.1025359763905196E-2</c:v>
                </c:pt>
                <c:pt idx="368">
                  <c:v>2.1024746880432765E-2</c:v>
                </c:pt>
                <c:pt idx="369">
                  <c:v>2.1025359763904319E-2</c:v>
                </c:pt>
                <c:pt idx="370">
                  <c:v>2.1025972671187967E-2</c:v>
                </c:pt>
                <c:pt idx="371">
                  <c:v>2.1025359763904319E-2</c:v>
                </c:pt>
                <c:pt idx="372">
                  <c:v>2.1025972671187967E-2</c:v>
                </c:pt>
                <c:pt idx="373">
                  <c:v>2.1025972671187967E-2</c:v>
                </c:pt>
                <c:pt idx="374">
                  <c:v>2.1025972671188834E-2</c:v>
                </c:pt>
                <c:pt idx="375">
                  <c:v>2.1025972671189701E-2</c:v>
                </c:pt>
                <c:pt idx="376">
                  <c:v>2.1025359763905196E-2</c:v>
                </c:pt>
                <c:pt idx="377">
                  <c:v>2.1025972671188834E-2</c:v>
                </c:pt>
                <c:pt idx="378">
                  <c:v>2.1025972671189705E-2</c:v>
                </c:pt>
                <c:pt idx="379">
                  <c:v>2.1024746880431877E-2</c:v>
                </c:pt>
                <c:pt idx="380">
                  <c:v>2.1025972671187967E-2</c:v>
                </c:pt>
                <c:pt idx="381">
                  <c:v>2.1024134020768515E-2</c:v>
                </c:pt>
                <c:pt idx="382">
                  <c:v>2.1025972671187963E-2</c:v>
                </c:pt>
                <c:pt idx="383">
                  <c:v>2.1025359763904319E-2</c:v>
                </c:pt>
                <c:pt idx="384">
                  <c:v>2.1025972671188838E-2</c:v>
                </c:pt>
                <c:pt idx="385">
                  <c:v>2.1025972671187963E-2</c:v>
                </c:pt>
                <c:pt idx="386">
                  <c:v>2.1025972671188834E-2</c:v>
                </c:pt>
                <c:pt idx="387">
                  <c:v>2.1025972671187967E-2</c:v>
                </c:pt>
                <c:pt idx="388">
                  <c:v>2.1025359763904322E-2</c:v>
                </c:pt>
                <c:pt idx="389">
                  <c:v>2.1025972671187967E-2</c:v>
                </c:pt>
                <c:pt idx="390">
                  <c:v>2.1025972671188834E-2</c:v>
                </c:pt>
                <c:pt idx="391">
                  <c:v>2.1025359763903441E-2</c:v>
                </c:pt>
                <c:pt idx="392">
                  <c:v>2.10253597639052E-2</c:v>
                </c:pt>
                <c:pt idx="393">
                  <c:v>2.10253597639052E-2</c:v>
                </c:pt>
                <c:pt idx="394">
                  <c:v>2.1025972671188834E-2</c:v>
                </c:pt>
                <c:pt idx="395">
                  <c:v>2.1025359763903437E-2</c:v>
                </c:pt>
                <c:pt idx="396">
                  <c:v>2.1025972671188838E-2</c:v>
                </c:pt>
                <c:pt idx="397">
                  <c:v>2.1025972671187963E-2</c:v>
                </c:pt>
                <c:pt idx="398">
                  <c:v>2.1025972671188838E-2</c:v>
                </c:pt>
                <c:pt idx="399">
                  <c:v>2.1025972671188838E-2</c:v>
                </c:pt>
                <c:pt idx="400">
                  <c:v>2.1025359763904319E-2</c:v>
                </c:pt>
                <c:pt idx="401">
                  <c:v>2.1025972671187963E-2</c:v>
                </c:pt>
                <c:pt idx="402">
                  <c:v>2.10253597639052E-2</c:v>
                </c:pt>
                <c:pt idx="403">
                  <c:v>2.1024746880431877E-2</c:v>
                </c:pt>
                <c:pt idx="404">
                  <c:v>2.1025359763904319E-2</c:v>
                </c:pt>
                <c:pt idx="405">
                  <c:v>2.1025972671187967E-2</c:v>
                </c:pt>
                <c:pt idx="406">
                  <c:v>2.1025359763904319E-2</c:v>
                </c:pt>
                <c:pt idx="407">
                  <c:v>2.1025972671188838E-2</c:v>
                </c:pt>
                <c:pt idx="408">
                  <c:v>2.1025972671187963E-2</c:v>
                </c:pt>
                <c:pt idx="409">
                  <c:v>2.1025972671187963E-2</c:v>
                </c:pt>
                <c:pt idx="410">
                  <c:v>2.1025972671188834E-2</c:v>
                </c:pt>
                <c:pt idx="411">
                  <c:v>2.1025359763904319E-2</c:v>
                </c:pt>
                <c:pt idx="412">
                  <c:v>2.1025972671188834E-2</c:v>
                </c:pt>
                <c:pt idx="413">
                  <c:v>2.1025972671187963E-2</c:v>
                </c:pt>
                <c:pt idx="414">
                  <c:v>2.1024746880430989E-2</c:v>
                </c:pt>
                <c:pt idx="415">
                  <c:v>2.1025972671187963E-2</c:v>
                </c:pt>
                <c:pt idx="416">
                  <c:v>2.1024134020768515E-2</c:v>
                </c:pt>
                <c:pt idx="417">
                  <c:v>2.1025972671187963E-2</c:v>
                </c:pt>
                <c:pt idx="418">
                  <c:v>2.1025359763904319E-2</c:v>
                </c:pt>
                <c:pt idx="419">
                  <c:v>2.1025972671188834E-2</c:v>
                </c:pt>
                <c:pt idx="420">
                  <c:v>2.1025972671187963E-2</c:v>
                </c:pt>
                <c:pt idx="421">
                  <c:v>2.1025972671188834E-2</c:v>
                </c:pt>
                <c:pt idx="422">
                  <c:v>2.1025972671188834E-2</c:v>
                </c:pt>
                <c:pt idx="423">
                  <c:v>2.1025359763903437E-2</c:v>
                </c:pt>
                <c:pt idx="424">
                  <c:v>2.1025972671187967E-2</c:v>
                </c:pt>
                <c:pt idx="425">
                  <c:v>2.1025972671188838E-2</c:v>
                </c:pt>
                <c:pt idx="426">
                  <c:v>2.10253597639052E-2</c:v>
                </c:pt>
                <c:pt idx="427">
                  <c:v>2.1024746880430989E-2</c:v>
                </c:pt>
                <c:pt idx="428">
                  <c:v>2.1025359763904315E-2</c:v>
                </c:pt>
                <c:pt idx="429">
                  <c:v>2.1025972671188834E-2</c:v>
                </c:pt>
                <c:pt idx="430">
                  <c:v>2.1025359763905196E-2</c:v>
                </c:pt>
                <c:pt idx="431">
                  <c:v>2.1025972671188834E-2</c:v>
                </c:pt>
                <c:pt idx="432">
                  <c:v>2.102597267118797E-2</c:v>
                </c:pt>
                <c:pt idx="433">
                  <c:v>2.1025972671187967E-2</c:v>
                </c:pt>
                <c:pt idx="434">
                  <c:v>2.1025972671188838E-2</c:v>
                </c:pt>
                <c:pt idx="435">
                  <c:v>2.1026585602284844E-2</c:v>
                </c:pt>
                <c:pt idx="436">
                  <c:v>2.1025972671188838E-2</c:v>
                </c:pt>
                <c:pt idx="437">
                  <c:v>2.1025972671187967E-2</c:v>
                </c:pt>
                <c:pt idx="438">
                  <c:v>2.1025359763904322E-2</c:v>
                </c:pt>
                <c:pt idx="439">
                  <c:v>2.1025359763903437E-2</c:v>
                </c:pt>
                <c:pt idx="440">
                  <c:v>2.1024746880431877E-2</c:v>
                </c:pt>
                <c:pt idx="441">
                  <c:v>2.1027198557193507E-2</c:v>
                </c:pt>
                <c:pt idx="442">
                  <c:v>2.10253597639052E-2</c:v>
                </c:pt>
                <c:pt idx="443">
                  <c:v>2.1025972671188834E-2</c:v>
                </c:pt>
                <c:pt idx="444">
                  <c:v>2.1025972671187967E-2</c:v>
                </c:pt>
                <c:pt idx="445">
                  <c:v>2.1025972671188838E-2</c:v>
                </c:pt>
                <c:pt idx="446">
                  <c:v>2.10253597639052E-2</c:v>
                </c:pt>
                <c:pt idx="447">
                  <c:v>2.1025972671188838E-2</c:v>
                </c:pt>
                <c:pt idx="448">
                  <c:v>2.1025972671187967E-2</c:v>
                </c:pt>
                <c:pt idx="449">
                  <c:v>2.1024746880431877E-2</c:v>
                </c:pt>
                <c:pt idx="450">
                  <c:v>2.1025972671188834E-2</c:v>
                </c:pt>
                <c:pt idx="451">
                  <c:v>2.1024134020769414E-2</c:v>
                </c:pt>
                <c:pt idx="452">
                  <c:v>2.1025972671188834E-2</c:v>
                </c:pt>
                <c:pt idx="453">
                  <c:v>2.1025359763904319E-2</c:v>
                </c:pt>
                <c:pt idx="454">
                  <c:v>2.1025972671188838E-2</c:v>
                </c:pt>
                <c:pt idx="455">
                  <c:v>2.1025972671188834E-2</c:v>
                </c:pt>
                <c:pt idx="456">
                  <c:v>2.1025972671187967E-2</c:v>
                </c:pt>
                <c:pt idx="457">
                  <c:v>2.1025972671187963E-2</c:v>
                </c:pt>
                <c:pt idx="458">
                  <c:v>2.1025359763904319E-2</c:v>
                </c:pt>
                <c:pt idx="459">
                  <c:v>2.1025972671188834E-2</c:v>
                </c:pt>
                <c:pt idx="460">
                  <c:v>2.1025972671188834E-2</c:v>
                </c:pt>
                <c:pt idx="461">
                  <c:v>2.1025359763904319E-2</c:v>
                </c:pt>
                <c:pt idx="462">
                  <c:v>2.1024746880431877E-2</c:v>
                </c:pt>
                <c:pt idx="463">
                  <c:v>2.1025359763905196E-2</c:v>
                </c:pt>
                <c:pt idx="464">
                  <c:v>2.1025972671188834E-2</c:v>
                </c:pt>
                <c:pt idx="465">
                  <c:v>2.1025359763904319E-2</c:v>
                </c:pt>
                <c:pt idx="466">
                  <c:v>2.1015187139212608E-2</c:v>
                </c:pt>
                <c:pt idx="467">
                  <c:v>2.0680850313924078E-2</c:v>
                </c:pt>
                <c:pt idx="468">
                  <c:v>2.0335758233056365E-2</c:v>
                </c:pt>
                <c:pt idx="469">
                  <c:v>2.003382749631348E-2</c:v>
                </c:pt>
                <c:pt idx="470">
                  <c:v>2.0033271019048528E-2</c:v>
                </c:pt>
                <c:pt idx="471">
                  <c:v>2.0033827496312606E-2</c:v>
                </c:pt>
                <c:pt idx="472">
                  <c:v>2.0033827496313484E-2</c:v>
                </c:pt>
                <c:pt idx="473">
                  <c:v>2.0032714562384868E-2</c:v>
                </c:pt>
                <c:pt idx="474">
                  <c:v>2.0033271019048532E-2</c:v>
                </c:pt>
                <c:pt idx="475">
                  <c:v>2.0032158126319938E-2</c:v>
                </c:pt>
                <c:pt idx="476">
                  <c:v>2.003382749631261E-2</c:v>
                </c:pt>
                <c:pt idx="477">
                  <c:v>2.0033271019048532E-2</c:v>
                </c:pt>
                <c:pt idx="478">
                  <c:v>2.003382749631261E-2</c:v>
                </c:pt>
                <c:pt idx="479">
                  <c:v>2.003382749631261E-2</c:v>
                </c:pt>
                <c:pt idx="480">
                  <c:v>2.003382749631348E-2</c:v>
                </c:pt>
                <c:pt idx="481">
                  <c:v>2.003382749631348E-2</c:v>
                </c:pt>
                <c:pt idx="482">
                  <c:v>2.0033271019048532E-2</c:v>
                </c:pt>
                <c:pt idx="483">
                  <c:v>2.003382749631348E-2</c:v>
                </c:pt>
                <c:pt idx="484">
                  <c:v>2.0033271019048532E-2</c:v>
                </c:pt>
                <c:pt idx="485">
                  <c:v>2.003382749631261E-2</c:v>
                </c:pt>
                <c:pt idx="486">
                  <c:v>2.003271456238398E-2</c:v>
                </c:pt>
                <c:pt idx="487">
                  <c:v>2.0034940512647505E-2</c:v>
                </c:pt>
                <c:pt idx="488">
                  <c:v>2.0033271019047654E-2</c:v>
                </c:pt>
                <c:pt idx="489">
                  <c:v>2.003382749631261E-2</c:v>
                </c:pt>
                <c:pt idx="490">
                  <c:v>2.003382749631261E-2</c:v>
                </c:pt>
                <c:pt idx="491">
                  <c:v>2.003382749631261E-2</c:v>
                </c:pt>
                <c:pt idx="492">
                  <c:v>2.003382749631261E-2</c:v>
                </c:pt>
                <c:pt idx="493">
                  <c:v>2.0033271019048532E-2</c:v>
                </c:pt>
                <c:pt idx="494">
                  <c:v>2.0033827496313477E-2</c:v>
                </c:pt>
                <c:pt idx="495">
                  <c:v>2.0033827496313477E-2</c:v>
                </c:pt>
                <c:pt idx="496">
                  <c:v>2.0033271019048525E-2</c:v>
                </c:pt>
                <c:pt idx="497">
                  <c:v>2.003271456238398E-2</c:v>
                </c:pt>
                <c:pt idx="498">
                  <c:v>2.0033271019047654E-2</c:v>
                </c:pt>
                <c:pt idx="499">
                  <c:v>2.003382749631261E-2</c:v>
                </c:pt>
                <c:pt idx="500">
                  <c:v>2.0033271019047654E-2</c:v>
                </c:pt>
                <c:pt idx="501">
                  <c:v>2.0033827496312613E-2</c:v>
                </c:pt>
                <c:pt idx="502">
                  <c:v>2.003382749631261E-2</c:v>
                </c:pt>
                <c:pt idx="503">
                  <c:v>2.003382749631348E-2</c:v>
                </c:pt>
                <c:pt idx="504">
                  <c:v>2.003382749631261E-2</c:v>
                </c:pt>
                <c:pt idx="505">
                  <c:v>2.0033271019048528E-2</c:v>
                </c:pt>
                <c:pt idx="506">
                  <c:v>2.003382749631348E-2</c:v>
                </c:pt>
                <c:pt idx="507">
                  <c:v>2.0033827496312613E-2</c:v>
                </c:pt>
                <c:pt idx="508">
                  <c:v>2.0032714562384868E-2</c:v>
                </c:pt>
                <c:pt idx="509">
                  <c:v>2.0033271019048532E-2</c:v>
                </c:pt>
                <c:pt idx="510">
                  <c:v>2.0032158126320841E-2</c:v>
                </c:pt>
                <c:pt idx="511">
                  <c:v>2.0033827496311742E-2</c:v>
                </c:pt>
                <c:pt idx="512">
                  <c:v>2.0033271019047654E-2</c:v>
                </c:pt>
                <c:pt idx="513">
                  <c:v>2.003382749631261E-2</c:v>
                </c:pt>
                <c:pt idx="514">
                  <c:v>2.0033827496312613E-2</c:v>
                </c:pt>
                <c:pt idx="515">
                  <c:v>2.003382749631261E-2</c:v>
                </c:pt>
                <c:pt idx="516">
                  <c:v>2.003382749631261E-2</c:v>
                </c:pt>
                <c:pt idx="517">
                  <c:v>2.0033827496312613E-2</c:v>
                </c:pt>
                <c:pt idx="518">
                  <c:v>2.003382749631261E-2</c:v>
                </c:pt>
                <c:pt idx="519">
                  <c:v>2.003382749631261E-2</c:v>
                </c:pt>
                <c:pt idx="520">
                  <c:v>2.0033827496312613E-2</c:v>
                </c:pt>
                <c:pt idx="521">
                  <c:v>2.003271456238398E-2</c:v>
                </c:pt>
                <c:pt idx="522">
                  <c:v>2.0032158126320837E-2</c:v>
                </c:pt>
                <c:pt idx="523">
                  <c:v>2.0033271019047651E-2</c:v>
                </c:pt>
                <c:pt idx="524">
                  <c:v>2.0034940512646655E-2</c:v>
                </c:pt>
                <c:pt idx="525">
                  <c:v>2.0033827496312613E-2</c:v>
                </c:pt>
                <c:pt idx="526">
                  <c:v>2.003382749631261E-2</c:v>
                </c:pt>
                <c:pt idx="527">
                  <c:v>2.003382749631261E-2</c:v>
                </c:pt>
                <c:pt idx="528">
                  <c:v>2.0033271019048528E-2</c:v>
                </c:pt>
                <c:pt idx="529">
                  <c:v>2.003382749631348E-2</c:v>
                </c:pt>
                <c:pt idx="530">
                  <c:v>2.003382749631261E-2</c:v>
                </c:pt>
                <c:pt idx="531">
                  <c:v>2.0033271019048535E-2</c:v>
                </c:pt>
                <c:pt idx="532">
                  <c:v>2.0033271019048535E-2</c:v>
                </c:pt>
                <c:pt idx="533">
                  <c:v>2.0033271019047651E-2</c:v>
                </c:pt>
                <c:pt idx="534">
                  <c:v>2.003382749631348E-2</c:v>
                </c:pt>
                <c:pt idx="535">
                  <c:v>2.0033271019048528E-2</c:v>
                </c:pt>
                <c:pt idx="536">
                  <c:v>2.003382749631261E-2</c:v>
                </c:pt>
                <c:pt idx="537">
                  <c:v>2.003382749631261E-2</c:v>
                </c:pt>
                <c:pt idx="538">
                  <c:v>2.003382749631261E-2</c:v>
                </c:pt>
                <c:pt idx="539">
                  <c:v>2.0033827496312606E-2</c:v>
                </c:pt>
                <c:pt idx="540">
                  <c:v>2.0033271019048532E-2</c:v>
                </c:pt>
                <c:pt idx="541">
                  <c:v>2.0033827496312613E-2</c:v>
                </c:pt>
                <c:pt idx="542">
                  <c:v>2.003382749631261E-2</c:v>
                </c:pt>
                <c:pt idx="543">
                  <c:v>2.0032714562384868E-2</c:v>
                </c:pt>
                <c:pt idx="544">
                  <c:v>2.0033271019048532E-2</c:v>
                </c:pt>
                <c:pt idx="545">
                  <c:v>2.0032158126321739E-2</c:v>
                </c:pt>
                <c:pt idx="546">
                  <c:v>2.003382749631261E-2</c:v>
                </c:pt>
                <c:pt idx="547">
                  <c:v>2.0033271019047654E-2</c:v>
                </c:pt>
                <c:pt idx="548">
                  <c:v>2.003382749631261E-2</c:v>
                </c:pt>
                <c:pt idx="549">
                  <c:v>2.003382749631348E-2</c:v>
                </c:pt>
                <c:pt idx="550">
                  <c:v>2.0033827496312613E-2</c:v>
                </c:pt>
                <c:pt idx="551">
                  <c:v>2.003382749631261E-2</c:v>
                </c:pt>
                <c:pt idx="552">
                  <c:v>2.0033271019047654E-2</c:v>
                </c:pt>
                <c:pt idx="553">
                  <c:v>2.0033827496313477E-2</c:v>
                </c:pt>
                <c:pt idx="554">
                  <c:v>2.0033827496311746E-2</c:v>
                </c:pt>
                <c:pt idx="555">
                  <c:v>2.0033271019048532E-2</c:v>
                </c:pt>
                <c:pt idx="556">
                  <c:v>2.003271456238398E-2</c:v>
                </c:pt>
                <c:pt idx="557">
                  <c:v>2.0033271019048532E-2</c:v>
                </c:pt>
                <c:pt idx="558">
                  <c:v>2.003382749631261E-2</c:v>
                </c:pt>
                <c:pt idx="559">
                  <c:v>2.0033271019048535E-2</c:v>
                </c:pt>
                <c:pt idx="560">
                  <c:v>2.0033827496312613E-2</c:v>
                </c:pt>
                <c:pt idx="561">
                  <c:v>2.003382749631261E-2</c:v>
                </c:pt>
                <c:pt idx="562">
                  <c:v>2.003382749631348E-2</c:v>
                </c:pt>
                <c:pt idx="563">
                  <c:v>2.0033271019048532E-2</c:v>
                </c:pt>
                <c:pt idx="564">
                  <c:v>2.003382749631261E-2</c:v>
                </c:pt>
                <c:pt idx="565">
                  <c:v>2.003382749631261E-2</c:v>
                </c:pt>
                <c:pt idx="566">
                  <c:v>2.0033271019048528E-2</c:v>
                </c:pt>
                <c:pt idx="567">
                  <c:v>2.0032714562384868E-2</c:v>
                </c:pt>
                <c:pt idx="568">
                  <c:v>2.0033271019047654E-2</c:v>
                </c:pt>
                <c:pt idx="569">
                  <c:v>2.0033827496312613E-2</c:v>
                </c:pt>
                <c:pt idx="570">
                  <c:v>2.0033271019048535E-2</c:v>
                </c:pt>
                <c:pt idx="571">
                  <c:v>2.0033827496313474E-2</c:v>
                </c:pt>
                <c:pt idx="572">
                  <c:v>2.003382749631348E-2</c:v>
                </c:pt>
                <c:pt idx="573">
                  <c:v>2.003382749631261E-2</c:v>
                </c:pt>
                <c:pt idx="574">
                  <c:v>2.0033827496313477E-2</c:v>
                </c:pt>
                <c:pt idx="575">
                  <c:v>2.0033271019048532E-2</c:v>
                </c:pt>
                <c:pt idx="576">
                  <c:v>2.0033827496312613E-2</c:v>
                </c:pt>
                <c:pt idx="577">
                  <c:v>2.003382749631261E-2</c:v>
                </c:pt>
                <c:pt idx="578">
                  <c:v>2.0033271019048528E-2</c:v>
                </c:pt>
                <c:pt idx="579">
                  <c:v>2.0033271019047654E-2</c:v>
                </c:pt>
                <c:pt idx="580" formatCode="General">
                  <c:v>2.003271456238398E-2</c:v>
                </c:pt>
                <c:pt idx="581" formatCode="General">
                  <c:v>2.0034940512647505E-2</c:v>
                </c:pt>
                <c:pt idx="582" formatCode="General">
                  <c:v>2.0033271019048532E-2</c:v>
                </c:pt>
                <c:pt idx="583" formatCode="General">
                  <c:v>2.003382749631348E-2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823040"/>
        <c:axId val="572824576"/>
      </c:lineChart>
      <c:catAx>
        <c:axId val="5728230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24576"/>
        <c:crosses val="autoZero"/>
        <c:auto val="1"/>
        <c:lblAlgn val="ctr"/>
        <c:lblOffset val="100"/>
        <c:noMultiLvlLbl val="1"/>
      </c:catAx>
      <c:valAx>
        <c:axId val="57282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2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99605041382601"/>
          <c:y val="0.67573127337690053"/>
          <c:w val="0.19466529143920908"/>
          <c:h val="0.12010235630789313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59088587080976E-2"/>
          <c:y val="5.6214309308171159E-2"/>
          <c:w val="0.87398386443305309"/>
          <c:h val="0.78807731016743121"/>
        </c:manualLayout>
      </c:layout>
      <c:lineChart>
        <c:grouping val="standard"/>
        <c:varyColors val="0"/>
        <c:ser>
          <c:idx val="0"/>
          <c:order val="0"/>
          <c:tx>
            <c:v>diff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'basis 6M '!$L$2:$L$585</c:f>
              <c:numCache>
                <c:formatCode>ddd\,\ dd\-mmm\-yyyy</c:formatCode>
                <c:ptCount val="584"/>
                <c:pt idx="0">
                  <c:v>41866</c:v>
                </c:pt>
                <c:pt idx="1">
                  <c:v>41897</c:v>
                </c:pt>
                <c:pt idx="2">
                  <c:v>41927</c:v>
                </c:pt>
                <c:pt idx="3">
                  <c:v>41960</c:v>
                </c:pt>
                <c:pt idx="4">
                  <c:v>41990</c:v>
                </c:pt>
                <c:pt idx="5">
                  <c:v>42023</c:v>
                </c:pt>
                <c:pt idx="6">
                  <c:v>42054</c:v>
                </c:pt>
                <c:pt idx="7">
                  <c:v>42082</c:v>
                </c:pt>
                <c:pt idx="8">
                  <c:v>42114</c:v>
                </c:pt>
                <c:pt idx="9">
                  <c:v>42144</c:v>
                </c:pt>
                <c:pt idx="10">
                  <c:v>42177</c:v>
                </c:pt>
                <c:pt idx="11">
                  <c:v>42207</c:v>
                </c:pt>
                <c:pt idx="12">
                  <c:v>42240</c:v>
                </c:pt>
                <c:pt idx="13">
                  <c:v>42271</c:v>
                </c:pt>
                <c:pt idx="14">
                  <c:v>42303</c:v>
                </c:pt>
                <c:pt idx="15">
                  <c:v>42334</c:v>
                </c:pt>
                <c:pt idx="16">
                  <c:v>42366</c:v>
                </c:pt>
                <c:pt idx="17">
                  <c:v>42397</c:v>
                </c:pt>
                <c:pt idx="18">
                  <c:v>42429</c:v>
                </c:pt>
                <c:pt idx="19">
                  <c:v>42458</c:v>
                </c:pt>
                <c:pt idx="20">
                  <c:v>42489</c:v>
                </c:pt>
                <c:pt idx="21">
                  <c:v>42520</c:v>
                </c:pt>
                <c:pt idx="22">
                  <c:v>42551</c:v>
                </c:pt>
                <c:pt idx="23">
                  <c:v>42583</c:v>
                </c:pt>
                <c:pt idx="24">
                  <c:v>42614</c:v>
                </c:pt>
                <c:pt idx="25">
                  <c:v>42646</c:v>
                </c:pt>
                <c:pt idx="26">
                  <c:v>42677</c:v>
                </c:pt>
                <c:pt idx="27">
                  <c:v>42709</c:v>
                </c:pt>
                <c:pt idx="28">
                  <c:v>42740</c:v>
                </c:pt>
                <c:pt idx="29">
                  <c:v>42772</c:v>
                </c:pt>
                <c:pt idx="30">
                  <c:v>42800</c:v>
                </c:pt>
                <c:pt idx="31">
                  <c:v>42831</c:v>
                </c:pt>
                <c:pt idx="32">
                  <c:v>42863</c:v>
                </c:pt>
                <c:pt idx="33">
                  <c:v>42894</c:v>
                </c:pt>
                <c:pt idx="34">
                  <c:v>42926</c:v>
                </c:pt>
                <c:pt idx="35">
                  <c:v>42957</c:v>
                </c:pt>
                <c:pt idx="36">
                  <c:v>42989</c:v>
                </c:pt>
                <c:pt idx="37">
                  <c:v>43019</c:v>
                </c:pt>
                <c:pt idx="38">
                  <c:v>43052</c:v>
                </c:pt>
                <c:pt idx="39">
                  <c:v>43082</c:v>
                </c:pt>
                <c:pt idx="40">
                  <c:v>43115</c:v>
                </c:pt>
                <c:pt idx="41">
                  <c:v>43146</c:v>
                </c:pt>
                <c:pt idx="42">
                  <c:v>43174</c:v>
                </c:pt>
                <c:pt idx="43">
                  <c:v>43206</c:v>
                </c:pt>
                <c:pt idx="44">
                  <c:v>43236</c:v>
                </c:pt>
                <c:pt idx="45">
                  <c:v>43269</c:v>
                </c:pt>
                <c:pt idx="46">
                  <c:v>43299</c:v>
                </c:pt>
                <c:pt idx="47">
                  <c:v>43332</c:v>
                </c:pt>
                <c:pt idx="48">
                  <c:v>43363</c:v>
                </c:pt>
                <c:pt idx="49">
                  <c:v>43395</c:v>
                </c:pt>
                <c:pt idx="50">
                  <c:v>43426</c:v>
                </c:pt>
                <c:pt idx="51">
                  <c:v>43458</c:v>
                </c:pt>
                <c:pt idx="52">
                  <c:v>43489</c:v>
                </c:pt>
                <c:pt idx="53">
                  <c:v>43521</c:v>
                </c:pt>
                <c:pt idx="54">
                  <c:v>43549</c:v>
                </c:pt>
                <c:pt idx="55">
                  <c:v>43580</c:v>
                </c:pt>
                <c:pt idx="56">
                  <c:v>43612</c:v>
                </c:pt>
                <c:pt idx="57">
                  <c:v>43643</c:v>
                </c:pt>
                <c:pt idx="58">
                  <c:v>43675</c:v>
                </c:pt>
                <c:pt idx="59">
                  <c:v>43706</c:v>
                </c:pt>
                <c:pt idx="60">
                  <c:v>43738</c:v>
                </c:pt>
                <c:pt idx="61">
                  <c:v>43768</c:v>
                </c:pt>
                <c:pt idx="62">
                  <c:v>43801</c:v>
                </c:pt>
                <c:pt idx="63">
                  <c:v>43832</c:v>
                </c:pt>
                <c:pt idx="64">
                  <c:v>43864</c:v>
                </c:pt>
                <c:pt idx="65">
                  <c:v>43893</c:v>
                </c:pt>
                <c:pt idx="66">
                  <c:v>43924</c:v>
                </c:pt>
                <c:pt idx="67">
                  <c:v>43955</c:v>
                </c:pt>
                <c:pt idx="68">
                  <c:v>43986</c:v>
                </c:pt>
                <c:pt idx="69">
                  <c:v>44018</c:v>
                </c:pt>
                <c:pt idx="70">
                  <c:v>44049</c:v>
                </c:pt>
                <c:pt idx="71">
                  <c:v>44081</c:v>
                </c:pt>
                <c:pt idx="72">
                  <c:v>44111</c:v>
                </c:pt>
                <c:pt idx="73">
                  <c:v>44144</c:v>
                </c:pt>
                <c:pt idx="74">
                  <c:v>44174</c:v>
                </c:pt>
                <c:pt idx="75">
                  <c:v>44207</c:v>
                </c:pt>
                <c:pt idx="76">
                  <c:v>44238</c:v>
                </c:pt>
                <c:pt idx="77">
                  <c:v>44266</c:v>
                </c:pt>
                <c:pt idx="78">
                  <c:v>44298</c:v>
                </c:pt>
                <c:pt idx="79">
                  <c:v>44328</c:v>
                </c:pt>
                <c:pt idx="80">
                  <c:v>44361</c:v>
                </c:pt>
                <c:pt idx="81">
                  <c:v>44391</c:v>
                </c:pt>
                <c:pt idx="82">
                  <c:v>44424</c:v>
                </c:pt>
                <c:pt idx="83">
                  <c:v>44455</c:v>
                </c:pt>
                <c:pt idx="84">
                  <c:v>44487</c:v>
                </c:pt>
                <c:pt idx="85">
                  <c:v>44518</c:v>
                </c:pt>
                <c:pt idx="86">
                  <c:v>44550</c:v>
                </c:pt>
                <c:pt idx="87">
                  <c:v>44581</c:v>
                </c:pt>
                <c:pt idx="88">
                  <c:v>44613</c:v>
                </c:pt>
                <c:pt idx="89">
                  <c:v>44641</c:v>
                </c:pt>
                <c:pt idx="90">
                  <c:v>44672</c:v>
                </c:pt>
                <c:pt idx="91">
                  <c:v>44704</c:v>
                </c:pt>
                <c:pt idx="92">
                  <c:v>44735</c:v>
                </c:pt>
                <c:pt idx="93">
                  <c:v>44767</c:v>
                </c:pt>
                <c:pt idx="94">
                  <c:v>44798</c:v>
                </c:pt>
                <c:pt idx="95">
                  <c:v>44830</c:v>
                </c:pt>
                <c:pt idx="96">
                  <c:v>44860</c:v>
                </c:pt>
                <c:pt idx="97">
                  <c:v>44893</c:v>
                </c:pt>
                <c:pt idx="98">
                  <c:v>44923</c:v>
                </c:pt>
                <c:pt idx="99">
                  <c:v>44956</c:v>
                </c:pt>
                <c:pt idx="100">
                  <c:v>44985</c:v>
                </c:pt>
                <c:pt idx="101">
                  <c:v>45013</c:v>
                </c:pt>
                <c:pt idx="102">
                  <c:v>45044</c:v>
                </c:pt>
                <c:pt idx="103">
                  <c:v>45075</c:v>
                </c:pt>
                <c:pt idx="104">
                  <c:v>45106</c:v>
                </c:pt>
                <c:pt idx="105">
                  <c:v>45138</c:v>
                </c:pt>
                <c:pt idx="106">
                  <c:v>45169</c:v>
                </c:pt>
                <c:pt idx="107">
                  <c:v>45201</c:v>
                </c:pt>
                <c:pt idx="108">
                  <c:v>45232</c:v>
                </c:pt>
                <c:pt idx="109">
                  <c:v>45264</c:v>
                </c:pt>
                <c:pt idx="110">
                  <c:v>45295</c:v>
                </c:pt>
                <c:pt idx="111">
                  <c:v>45327</c:v>
                </c:pt>
                <c:pt idx="112">
                  <c:v>45356</c:v>
                </c:pt>
                <c:pt idx="113">
                  <c:v>45387</c:v>
                </c:pt>
                <c:pt idx="114">
                  <c:v>45418</c:v>
                </c:pt>
                <c:pt idx="115">
                  <c:v>45449</c:v>
                </c:pt>
                <c:pt idx="116">
                  <c:v>45481</c:v>
                </c:pt>
                <c:pt idx="117">
                  <c:v>45512</c:v>
                </c:pt>
                <c:pt idx="118">
                  <c:v>45544</c:v>
                </c:pt>
                <c:pt idx="119">
                  <c:v>45574</c:v>
                </c:pt>
                <c:pt idx="120">
                  <c:v>45607</c:v>
                </c:pt>
                <c:pt idx="121">
                  <c:v>45637</c:v>
                </c:pt>
                <c:pt idx="122">
                  <c:v>45670</c:v>
                </c:pt>
                <c:pt idx="123">
                  <c:v>45701</c:v>
                </c:pt>
                <c:pt idx="124">
                  <c:v>45729</c:v>
                </c:pt>
                <c:pt idx="125">
                  <c:v>45761</c:v>
                </c:pt>
                <c:pt idx="126">
                  <c:v>45791</c:v>
                </c:pt>
                <c:pt idx="127">
                  <c:v>45824</c:v>
                </c:pt>
                <c:pt idx="128">
                  <c:v>45854</c:v>
                </c:pt>
                <c:pt idx="129">
                  <c:v>45887</c:v>
                </c:pt>
                <c:pt idx="130">
                  <c:v>45918</c:v>
                </c:pt>
                <c:pt idx="131">
                  <c:v>45950</c:v>
                </c:pt>
                <c:pt idx="132">
                  <c:v>45981</c:v>
                </c:pt>
                <c:pt idx="133">
                  <c:v>46013</c:v>
                </c:pt>
                <c:pt idx="134">
                  <c:v>46044</c:v>
                </c:pt>
                <c:pt idx="135">
                  <c:v>46076</c:v>
                </c:pt>
                <c:pt idx="136">
                  <c:v>46104</c:v>
                </c:pt>
                <c:pt idx="137">
                  <c:v>46135</c:v>
                </c:pt>
                <c:pt idx="138">
                  <c:v>46167</c:v>
                </c:pt>
                <c:pt idx="139">
                  <c:v>46198</c:v>
                </c:pt>
                <c:pt idx="140">
                  <c:v>46230</c:v>
                </c:pt>
                <c:pt idx="141">
                  <c:v>46261</c:v>
                </c:pt>
                <c:pt idx="142">
                  <c:v>46293</c:v>
                </c:pt>
                <c:pt idx="143">
                  <c:v>46323</c:v>
                </c:pt>
                <c:pt idx="144">
                  <c:v>46356</c:v>
                </c:pt>
                <c:pt idx="145">
                  <c:v>46386</c:v>
                </c:pt>
                <c:pt idx="146">
                  <c:v>46419</c:v>
                </c:pt>
                <c:pt idx="147">
                  <c:v>46447</c:v>
                </c:pt>
                <c:pt idx="148">
                  <c:v>46478</c:v>
                </c:pt>
                <c:pt idx="149">
                  <c:v>46510</c:v>
                </c:pt>
                <c:pt idx="150">
                  <c:v>46541</c:v>
                </c:pt>
                <c:pt idx="151">
                  <c:v>46573</c:v>
                </c:pt>
                <c:pt idx="152">
                  <c:v>46604</c:v>
                </c:pt>
                <c:pt idx="153">
                  <c:v>46636</c:v>
                </c:pt>
                <c:pt idx="154">
                  <c:v>46666</c:v>
                </c:pt>
                <c:pt idx="155">
                  <c:v>46699</c:v>
                </c:pt>
                <c:pt idx="156">
                  <c:v>46729</c:v>
                </c:pt>
                <c:pt idx="157">
                  <c:v>46762</c:v>
                </c:pt>
                <c:pt idx="158">
                  <c:v>46793</c:v>
                </c:pt>
                <c:pt idx="159">
                  <c:v>46822</c:v>
                </c:pt>
                <c:pt idx="160">
                  <c:v>46853</c:v>
                </c:pt>
                <c:pt idx="161">
                  <c:v>46883</c:v>
                </c:pt>
                <c:pt idx="162">
                  <c:v>46916</c:v>
                </c:pt>
                <c:pt idx="163">
                  <c:v>46946</c:v>
                </c:pt>
                <c:pt idx="164">
                  <c:v>46979</c:v>
                </c:pt>
                <c:pt idx="165">
                  <c:v>47010</c:v>
                </c:pt>
                <c:pt idx="166">
                  <c:v>47042</c:v>
                </c:pt>
                <c:pt idx="167">
                  <c:v>47073</c:v>
                </c:pt>
                <c:pt idx="168">
                  <c:v>47105</c:v>
                </c:pt>
                <c:pt idx="169">
                  <c:v>47136</c:v>
                </c:pt>
                <c:pt idx="170">
                  <c:v>47168</c:v>
                </c:pt>
                <c:pt idx="171">
                  <c:v>47196</c:v>
                </c:pt>
                <c:pt idx="172">
                  <c:v>47227</c:v>
                </c:pt>
                <c:pt idx="173">
                  <c:v>47259</c:v>
                </c:pt>
                <c:pt idx="174">
                  <c:v>47290</c:v>
                </c:pt>
                <c:pt idx="175">
                  <c:v>47322</c:v>
                </c:pt>
                <c:pt idx="176">
                  <c:v>47353</c:v>
                </c:pt>
                <c:pt idx="177">
                  <c:v>47385</c:v>
                </c:pt>
                <c:pt idx="178">
                  <c:v>47415</c:v>
                </c:pt>
                <c:pt idx="179">
                  <c:v>47448</c:v>
                </c:pt>
                <c:pt idx="180">
                  <c:v>47479</c:v>
                </c:pt>
                <c:pt idx="181">
                  <c:v>47511</c:v>
                </c:pt>
                <c:pt idx="182">
                  <c:v>47542</c:v>
                </c:pt>
                <c:pt idx="183">
                  <c:v>47570</c:v>
                </c:pt>
                <c:pt idx="184">
                  <c:v>47602</c:v>
                </c:pt>
                <c:pt idx="185">
                  <c:v>47632</c:v>
                </c:pt>
                <c:pt idx="186">
                  <c:v>47665</c:v>
                </c:pt>
                <c:pt idx="187">
                  <c:v>47696</c:v>
                </c:pt>
                <c:pt idx="188">
                  <c:v>47728</c:v>
                </c:pt>
                <c:pt idx="189">
                  <c:v>47758</c:v>
                </c:pt>
                <c:pt idx="190">
                  <c:v>47791</c:v>
                </c:pt>
                <c:pt idx="191">
                  <c:v>47821</c:v>
                </c:pt>
                <c:pt idx="192">
                  <c:v>47854</c:v>
                </c:pt>
                <c:pt idx="193">
                  <c:v>47885</c:v>
                </c:pt>
                <c:pt idx="194">
                  <c:v>47913</c:v>
                </c:pt>
                <c:pt idx="195">
                  <c:v>47945</c:v>
                </c:pt>
                <c:pt idx="196">
                  <c:v>47975</c:v>
                </c:pt>
                <c:pt idx="197">
                  <c:v>48008</c:v>
                </c:pt>
                <c:pt idx="198">
                  <c:v>48038</c:v>
                </c:pt>
                <c:pt idx="199">
                  <c:v>48071</c:v>
                </c:pt>
                <c:pt idx="200">
                  <c:v>48102</c:v>
                </c:pt>
                <c:pt idx="201">
                  <c:v>48134</c:v>
                </c:pt>
                <c:pt idx="202">
                  <c:v>48165</c:v>
                </c:pt>
                <c:pt idx="203">
                  <c:v>48197</c:v>
                </c:pt>
                <c:pt idx="204">
                  <c:v>48228</c:v>
                </c:pt>
                <c:pt idx="205">
                  <c:v>48260</c:v>
                </c:pt>
                <c:pt idx="206">
                  <c:v>48289</c:v>
                </c:pt>
                <c:pt idx="207">
                  <c:v>48320</c:v>
                </c:pt>
                <c:pt idx="208">
                  <c:v>48351</c:v>
                </c:pt>
                <c:pt idx="209">
                  <c:v>48382</c:v>
                </c:pt>
                <c:pt idx="210">
                  <c:v>48414</c:v>
                </c:pt>
                <c:pt idx="211">
                  <c:v>48445</c:v>
                </c:pt>
                <c:pt idx="212">
                  <c:v>48477</c:v>
                </c:pt>
                <c:pt idx="213">
                  <c:v>48507</c:v>
                </c:pt>
                <c:pt idx="214">
                  <c:v>48540</c:v>
                </c:pt>
                <c:pt idx="215">
                  <c:v>48570</c:v>
                </c:pt>
                <c:pt idx="216">
                  <c:v>48603</c:v>
                </c:pt>
                <c:pt idx="217">
                  <c:v>48634</c:v>
                </c:pt>
                <c:pt idx="218">
                  <c:v>48662</c:v>
                </c:pt>
                <c:pt idx="219">
                  <c:v>48694</c:v>
                </c:pt>
                <c:pt idx="220">
                  <c:v>48724</c:v>
                </c:pt>
                <c:pt idx="221">
                  <c:v>48757</c:v>
                </c:pt>
                <c:pt idx="222">
                  <c:v>48787</c:v>
                </c:pt>
                <c:pt idx="223">
                  <c:v>48820</c:v>
                </c:pt>
                <c:pt idx="224">
                  <c:v>48851</c:v>
                </c:pt>
                <c:pt idx="225">
                  <c:v>48883</c:v>
                </c:pt>
                <c:pt idx="226">
                  <c:v>48913</c:v>
                </c:pt>
                <c:pt idx="227">
                  <c:v>48943</c:v>
                </c:pt>
                <c:pt idx="228">
                  <c:v>48974</c:v>
                </c:pt>
                <c:pt idx="229">
                  <c:v>49003</c:v>
                </c:pt>
                <c:pt idx="230">
                  <c:v>49031</c:v>
                </c:pt>
                <c:pt idx="231">
                  <c:v>49062</c:v>
                </c:pt>
                <c:pt idx="232">
                  <c:v>49093</c:v>
                </c:pt>
                <c:pt idx="233">
                  <c:v>49124</c:v>
                </c:pt>
                <c:pt idx="234">
                  <c:v>49156</c:v>
                </c:pt>
                <c:pt idx="235">
                  <c:v>49187</c:v>
                </c:pt>
                <c:pt idx="236">
                  <c:v>49219</c:v>
                </c:pt>
                <c:pt idx="237">
                  <c:v>49250</c:v>
                </c:pt>
                <c:pt idx="238">
                  <c:v>49282</c:v>
                </c:pt>
                <c:pt idx="239">
                  <c:v>49313</c:v>
                </c:pt>
                <c:pt idx="240">
                  <c:v>49345</c:v>
                </c:pt>
                <c:pt idx="241">
                  <c:v>49373</c:v>
                </c:pt>
                <c:pt idx="242">
                  <c:v>49404</c:v>
                </c:pt>
                <c:pt idx="243">
                  <c:v>49436</c:v>
                </c:pt>
                <c:pt idx="244">
                  <c:v>49467</c:v>
                </c:pt>
                <c:pt idx="245">
                  <c:v>49499</c:v>
                </c:pt>
                <c:pt idx="246">
                  <c:v>49530</c:v>
                </c:pt>
                <c:pt idx="247">
                  <c:v>49562</c:v>
                </c:pt>
                <c:pt idx="248">
                  <c:v>49592</c:v>
                </c:pt>
                <c:pt idx="249">
                  <c:v>49625</c:v>
                </c:pt>
                <c:pt idx="250">
                  <c:v>49655</c:v>
                </c:pt>
                <c:pt idx="251">
                  <c:v>49688</c:v>
                </c:pt>
                <c:pt idx="252">
                  <c:v>49719</c:v>
                </c:pt>
                <c:pt idx="253">
                  <c:v>49748</c:v>
                </c:pt>
                <c:pt idx="254">
                  <c:v>49780</c:v>
                </c:pt>
                <c:pt idx="255">
                  <c:v>49810</c:v>
                </c:pt>
                <c:pt idx="256">
                  <c:v>49842</c:v>
                </c:pt>
                <c:pt idx="257">
                  <c:v>49872</c:v>
                </c:pt>
                <c:pt idx="258">
                  <c:v>49905</c:v>
                </c:pt>
                <c:pt idx="259">
                  <c:v>49936</c:v>
                </c:pt>
                <c:pt idx="260">
                  <c:v>49968</c:v>
                </c:pt>
                <c:pt idx="261">
                  <c:v>49999</c:v>
                </c:pt>
                <c:pt idx="262">
                  <c:v>50031</c:v>
                </c:pt>
                <c:pt idx="263">
                  <c:v>50062</c:v>
                </c:pt>
                <c:pt idx="264">
                  <c:v>50094</c:v>
                </c:pt>
                <c:pt idx="265">
                  <c:v>50122</c:v>
                </c:pt>
                <c:pt idx="266">
                  <c:v>50153</c:v>
                </c:pt>
                <c:pt idx="267">
                  <c:v>50185</c:v>
                </c:pt>
                <c:pt idx="268">
                  <c:v>50216</c:v>
                </c:pt>
                <c:pt idx="269">
                  <c:v>50248</c:v>
                </c:pt>
                <c:pt idx="270">
                  <c:v>50279</c:v>
                </c:pt>
                <c:pt idx="271">
                  <c:v>50311</c:v>
                </c:pt>
                <c:pt idx="272">
                  <c:v>50341</c:v>
                </c:pt>
                <c:pt idx="273">
                  <c:v>50374</c:v>
                </c:pt>
                <c:pt idx="274">
                  <c:v>50404</c:v>
                </c:pt>
                <c:pt idx="275">
                  <c:v>50437</c:v>
                </c:pt>
                <c:pt idx="276">
                  <c:v>50465</c:v>
                </c:pt>
                <c:pt idx="277">
                  <c:v>50496</c:v>
                </c:pt>
                <c:pt idx="278">
                  <c:v>50528</c:v>
                </c:pt>
                <c:pt idx="279">
                  <c:v>50559</c:v>
                </c:pt>
                <c:pt idx="280">
                  <c:v>50591</c:v>
                </c:pt>
                <c:pt idx="281">
                  <c:v>50622</c:v>
                </c:pt>
                <c:pt idx="282">
                  <c:v>50654</c:v>
                </c:pt>
                <c:pt idx="283">
                  <c:v>50684</c:v>
                </c:pt>
                <c:pt idx="284">
                  <c:v>50717</c:v>
                </c:pt>
                <c:pt idx="285">
                  <c:v>50747</c:v>
                </c:pt>
                <c:pt idx="286">
                  <c:v>50780</c:v>
                </c:pt>
                <c:pt idx="287">
                  <c:v>50811</c:v>
                </c:pt>
                <c:pt idx="288">
                  <c:v>50839</c:v>
                </c:pt>
                <c:pt idx="289">
                  <c:v>50872</c:v>
                </c:pt>
                <c:pt idx="290">
                  <c:v>50902</c:v>
                </c:pt>
                <c:pt idx="291">
                  <c:v>50934</c:v>
                </c:pt>
                <c:pt idx="292">
                  <c:v>50964</c:v>
                </c:pt>
                <c:pt idx="293">
                  <c:v>50997</c:v>
                </c:pt>
                <c:pt idx="294">
                  <c:v>51028</c:v>
                </c:pt>
                <c:pt idx="295">
                  <c:v>51060</c:v>
                </c:pt>
                <c:pt idx="296">
                  <c:v>51091</c:v>
                </c:pt>
                <c:pt idx="297">
                  <c:v>51123</c:v>
                </c:pt>
                <c:pt idx="298">
                  <c:v>51154</c:v>
                </c:pt>
                <c:pt idx="299">
                  <c:v>51186</c:v>
                </c:pt>
                <c:pt idx="300">
                  <c:v>51215</c:v>
                </c:pt>
                <c:pt idx="301">
                  <c:v>51246</c:v>
                </c:pt>
                <c:pt idx="302">
                  <c:v>51277</c:v>
                </c:pt>
                <c:pt idx="303">
                  <c:v>51308</c:v>
                </c:pt>
                <c:pt idx="304">
                  <c:v>51340</c:v>
                </c:pt>
                <c:pt idx="305">
                  <c:v>51371</c:v>
                </c:pt>
                <c:pt idx="306">
                  <c:v>51403</c:v>
                </c:pt>
                <c:pt idx="307">
                  <c:v>51433</c:v>
                </c:pt>
                <c:pt idx="308">
                  <c:v>51466</c:v>
                </c:pt>
                <c:pt idx="309">
                  <c:v>51497</c:v>
                </c:pt>
                <c:pt idx="310">
                  <c:v>51529</c:v>
                </c:pt>
                <c:pt idx="311">
                  <c:v>51560</c:v>
                </c:pt>
                <c:pt idx="312">
                  <c:v>51588</c:v>
                </c:pt>
                <c:pt idx="313">
                  <c:v>51620</c:v>
                </c:pt>
                <c:pt idx="314">
                  <c:v>51650</c:v>
                </c:pt>
                <c:pt idx="315">
                  <c:v>51683</c:v>
                </c:pt>
                <c:pt idx="316">
                  <c:v>51714</c:v>
                </c:pt>
                <c:pt idx="317">
                  <c:v>51746</c:v>
                </c:pt>
                <c:pt idx="318">
                  <c:v>51776</c:v>
                </c:pt>
                <c:pt idx="319">
                  <c:v>51809</c:v>
                </c:pt>
                <c:pt idx="320">
                  <c:v>51839</c:v>
                </c:pt>
                <c:pt idx="321">
                  <c:v>51872</c:v>
                </c:pt>
                <c:pt idx="322">
                  <c:v>51903</c:v>
                </c:pt>
                <c:pt idx="323">
                  <c:v>51931</c:v>
                </c:pt>
                <c:pt idx="324">
                  <c:v>51964</c:v>
                </c:pt>
                <c:pt idx="325">
                  <c:v>51994</c:v>
                </c:pt>
                <c:pt idx="326">
                  <c:v>52026</c:v>
                </c:pt>
                <c:pt idx="327">
                  <c:v>52056</c:v>
                </c:pt>
                <c:pt idx="328">
                  <c:v>52089</c:v>
                </c:pt>
                <c:pt idx="329">
                  <c:v>52120</c:v>
                </c:pt>
                <c:pt idx="330">
                  <c:v>52152</c:v>
                </c:pt>
                <c:pt idx="331">
                  <c:v>52183</c:v>
                </c:pt>
                <c:pt idx="332">
                  <c:v>52215</c:v>
                </c:pt>
                <c:pt idx="333">
                  <c:v>52246</c:v>
                </c:pt>
                <c:pt idx="334">
                  <c:v>52278</c:v>
                </c:pt>
                <c:pt idx="335">
                  <c:v>52306</c:v>
                </c:pt>
                <c:pt idx="336">
                  <c:v>52337</c:v>
                </c:pt>
                <c:pt idx="337">
                  <c:v>52369</c:v>
                </c:pt>
                <c:pt idx="338">
                  <c:v>52400</c:v>
                </c:pt>
                <c:pt idx="339">
                  <c:v>52432</c:v>
                </c:pt>
                <c:pt idx="340">
                  <c:v>52463</c:v>
                </c:pt>
                <c:pt idx="341">
                  <c:v>52495</c:v>
                </c:pt>
                <c:pt idx="342">
                  <c:v>52525</c:v>
                </c:pt>
                <c:pt idx="343">
                  <c:v>52558</c:v>
                </c:pt>
                <c:pt idx="344">
                  <c:v>52588</c:v>
                </c:pt>
                <c:pt idx="345">
                  <c:v>52621</c:v>
                </c:pt>
                <c:pt idx="346">
                  <c:v>52652</c:v>
                </c:pt>
                <c:pt idx="347">
                  <c:v>52681</c:v>
                </c:pt>
                <c:pt idx="348">
                  <c:v>52712</c:v>
                </c:pt>
                <c:pt idx="349">
                  <c:v>52742</c:v>
                </c:pt>
                <c:pt idx="350">
                  <c:v>52775</c:v>
                </c:pt>
                <c:pt idx="351">
                  <c:v>52805</c:v>
                </c:pt>
                <c:pt idx="352">
                  <c:v>52838</c:v>
                </c:pt>
                <c:pt idx="353">
                  <c:v>52869</c:v>
                </c:pt>
                <c:pt idx="354">
                  <c:v>52901</c:v>
                </c:pt>
                <c:pt idx="355">
                  <c:v>52931</c:v>
                </c:pt>
                <c:pt idx="356">
                  <c:v>52961</c:v>
                </c:pt>
                <c:pt idx="357">
                  <c:v>52992</c:v>
                </c:pt>
                <c:pt idx="358">
                  <c:v>53021</c:v>
                </c:pt>
                <c:pt idx="359">
                  <c:v>53049</c:v>
                </c:pt>
                <c:pt idx="360">
                  <c:v>53080</c:v>
                </c:pt>
                <c:pt idx="361">
                  <c:v>53111</c:v>
                </c:pt>
                <c:pt idx="362">
                  <c:v>53142</c:v>
                </c:pt>
                <c:pt idx="363">
                  <c:v>53174</c:v>
                </c:pt>
                <c:pt idx="364">
                  <c:v>53205</c:v>
                </c:pt>
                <c:pt idx="365">
                  <c:v>53237</c:v>
                </c:pt>
                <c:pt idx="366">
                  <c:v>53268</c:v>
                </c:pt>
                <c:pt idx="367">
                  <c:v>53300</c:v>
                </c:pt>
                <c:pt idx="368">
                  <c:v>53331</c:v>
                </c:pt>
                <c:pt idx="369">
                  <c:v>53363</c:v>
                </c:pt>
                <c:pt idx="370">
                  <c:v>53391</c:v>
                </c:pt>
                <c:pt idx="371">
                  <c:v>53422</c:v>
                </c:pt>
                <c:pt idx="372">
                  <c:v>53454</c:v>
                </c:pt>
                <c:pt idx="373">
                  <c:v>53485</c:v>
                </c:pt>
                <c:pt idx="374">
                  <c:v>53517</c:v>
                </c:pt>
                <c:pt idx="375">
                  <c:v>53548</c:v>
                </c:pt>
                <c:pt idx="376">
                  <c:v>53580</c:v>
                </c:pt>
                <c:pt idx="377">
                  <c:v>53610</c:v>
                </c:pt>
                <c:pt idx="378">
                  <c:v>53643</c:v>
                </c:pt>
                <c:pt idx="379">
                  <c:v>53673</c:v>
                </c:pt>
                <c:pt idx="380">
                  <c:v>53706</c:v>
                </c:pt>
                <c:pt idx="381">
                  <c:v>53737</c:v>
                </c:pt>
                <c:pt idx="382">
                  <c:v>53765</c:v>
                </c:pt>
                <c:pt idx="383">
                  <c:v>53798</c:v>
                </c:pt>
                <c:pt idx="384">
                  <c:v>53828</c:v>
                </c:pt>
                <c:pt idx="385">
                  <c:v>53860</c:v>
                </c:pt>
                <c:pt idx="386">
                  <c:v>53890</c:v>
                </c:pt>
                <c:pt idx="387">
                  <c:v>53923</c:v>
                </c:pt>
                <c:pt idx="388">
                  <c:v>53954</c:v>
                </c:pt>
                <c:pt idx="389">
                  <c:v>53986</c:v>
                </c:pt>
                <c:pt idx="390">
                  <c:v>54017</c:v>
                </c:pt>
                <c:pt idx="391">
                  <c:v>54049</c:v>
                </c:pt>
                <c:pt idx="392">
                  <c:v>54080</c:v>
                </c:pt>
                <c:pt idx="393">
                  <c:v>54112</c:v>
                </c:pt>
                <c:pt idx="394">
                  <c:v>54141</c:v>
                </c:pt>
                <c:pt idx="395">
                  <c:v>54172</c:v>
                </c:pt>
                <c:pt idx="396">
                  <c:v>54203</c:v>
                </c:pt>
                <c:pt idx="397">
                  <c:v>54234</c:v>
                </c:pt>
                <c:pt idx="398">
                  <c:v>54266</c:v>
                </c:pt>
                <c:pt idx="399">
                  <c:v>54297</c:v>
                </c:pt>
                <c:pt idx="400">
                  <c:v>54329</c:v>
                </c:pt>
                <c:pt idx="401">
                  <c:v>54359</c:v>
                </c:pt>
                <c:pt idx="402">
                  <c:v>54392</c:v>
                </c:pt>
                <c:pt idx="403">
                  <c:v>54422</c:v>
                </c:pt>
                <c:pt idx="404">
                  <c:v>54455</c:v>
                </c:pt>
                <c:pt idx="405">
                  <c:v>54483</c:v>
                </c:pt>
                <c:pt idx="406">
                  <c:v>54514</c:v>
                </c:pt>
                <c:pt idx="407">
                  <c:v>54546</c:v>
                </c:pt>
                <c:pt idx="408">
                  <c:v>54577</c:v>
                </c:pt>
                <c:pt idx="409">
                  <c:v>54609</c:v>
                </c:pt>
                <c:pt idx="410">
                  <c:v>54640</c:v>
                </c:pt>
                <c:pt idx="411">
                  <c:v>54672</c:v>
                </c:pt>
                <c:pt idx="412">
                  <c:v>54702</c:v>
                </c:pt>
                <c:pt idx="413">
                  <c:v>54735</c:v>
                </c:pt>
                <c:pt idx="414">
                  <c:v>54765</c:v>
                </c:pt>
                <c:pt idx="415">
                  <c:v>54798</c:v>
                </c:pt>
                <c:pt idx="416">
                  <c:v>54829</c:v>
                </c:pt>
                <c:pt idx="417">
                  <c:v>54857</c:v>
                </c:pt>
                <c:pt idx="418">
                  <c:v>54890</c:v>
                </c:pt>
                <c:pt idx="419">
                  <c:v>54920</c:v>
                </c:pt>
                <c:pt idx="420">
                  <c:v>54952</c:v>
                </c:pt>
                <c:pt idx="421">
                  <c:v>54982</c:v>
                </c:pt>
                <c:pt idx="422">
                  <c:v>55015</c:v>
                </c:pt>
                <c:pt idx="423">
                  <c:v>55046</c:v>
                </c:pt>
                <c:pt idx="424">
                  <c:v>55078</c:v>
                </c:pt>
                <c:pt idx="425">
                  <c:v>55109</c:v>
                </c:pt>
                <c:pt idx="426">
                  <c:v>55141</c:v>
                </c:pt>
                <c:pt idx="427">
                  <c:v>55172</c:v>
                </c:pt>
                <c:pt idx="428">
                  <c:v>55204</c:v>
                </c:pt>
                <c:pt idx="429">
                  <c:v>55232</c:v>
                </c:pt>
                <c:pt idx="430">
                  <c:v>55263</c:v>
                </c:pt>
                <c:pt idx="431">
                  <c:v>55295</c:v>
                </c:pt>
                <c:pt idx="432">
                  <c:v>55326</c:v>
                </c:pt>
                <c:pt idx="433">
                  <c:v>55358</c:v>
                </c:pt>
                <c:pt idx="434">
                  <c:v>55389</c:v>
                </c:pt>
                <c:pt idx="435">
                  <c:v>55421</c:v>
                </c:pt>
                <c:pt idx="436">
                  <c:v>55451</c:v>
                </c:pt>
                <c:pt idx="437">
                  <c:v>55484</c:v>
                </c:pt>
                <c:pt idx="438">
                  <c:v>55514</c:v>
                </c:pt>
                <c:pt idx="439">
                  <c:v>55547</c:v>
                </c:pt>
                <c:pt idx="440">
                  <c:v>55578</c:v>
                </c:pt>
                <c:pt idx="441">
                  <c:v>55607</c:v>
                </c:pt>
                <c:pt idx="442">
                  <c:v>55638</c:v>
                </c:pt>
                <c:pt idx="443">
                  <c:v>55668</c:v>
                </c:pt>
                <c:pt idx="444">
                  <c:v>55701</c:v>
                </c:pt>
                <c:pt idx="445">
                  <c:v>55732</c:v>
                </c:pt>
                <c:pt idx="446">
                  <c:v>55764</c:v>
                </c:pt>
                <c:pt idx="447">
                  <c:v>55794</c:v>
                </c:pt>
                <c:pt idx="448">
                  <c:v>55827</c:v>
                </c:pt>
                <c:pt idx="449">
                  <c:v>55857</c:v>
                </c:pt>
                <c:pt idx="450">
                  <c:v>55890</c:v>
                </c:pt>
                <c:pt idx="451">
                  <c:v>55921</c:v>
                </c:pt>
                <c:pt idx="452">
                  <c:v>55949</c:v>
                </c:pt>
                <c:pt idx="453">
                  <c:v>55982</c:v>
                </c:pt>
                <c:pt idx="454">
                  <c:v>56012</c:v>
                </c:pt>
                <c:pt idx="455">
                  <c:v>56044</c:v>
                </c:pt>
                <c:pt idx="456">
                  <c:v>56074</c:v>
                </c:pt>
                <c:pt idx="457">
                  <c:v>56107</c:v>
                </c:pt>
                <c:pt idx="458">
                  <c:v>56138</c:v>
                </c:pt>
                <c:pt idx="459">
                  <c:v>56170</c:v>
                </c:pt>
                <c:pt idx="460">
                  <c:v>56201</c:v>
                </c:pt>
                <c:pt idx="461">
                  <c:v>56233</c:v>
                </c:pt>
                <c:pt idx="462">
                  <c:v>56264</c:v>
                </c:pt>
                <c:pt idx="463">
                  <c:v>56296</c:v>
                </c:pt>
                <c:pt idx="464">
                  <c:v>56324</c:v>
                </c:pt>
                <c:pt idx="465">
                  <c:v>56355</c:v>
                </c:pt>
                <c:pt idx="466">
                  <c:v>56387</c:v>
                </c:pt>
                <c:pt idx="467">
                  <c:v>56418</c:v>
                </c:pt>
                <c:pt idx="468">
                  <c:v>56450</c:v>
                </c:pt>
                <c:pt idx="469">
                  <c:v>56481</c:v>
                </c:pt>
                <c:pt idx="470">
                  <c:v>56513</c:v>
                </c:pt>
                <c:pt idx="471">
                  <c:v>56543</c:v>
                </c:pt>
                <c:pt idx="472">
                  <c:v>56576</c:v>
                </c:pt>
                <c:pt idx="473">
                  <c:v>56606</c:v>
                </c:pt>
                <c:pt idx="474">
                  <c:v>56639</c:v>
                </c:pt>
                <c:pt idx="475">
                  <c:v>56670</c:v>
                </c:pt>
                <c:pt idx="476">
                  <c:v>56698</c:v>
                </c:pt>
                <c:pt idx="477">
                  <c:v>56730</c:v>
                </c:pt>
                <c:pt idx="478">
                  <c:v>56760</c:v>
                </c:pt>
                <c:pt idx="479">
                  <c:v>56793</c:v>
                </c:pt>
                <c:pt idx="480">
                  <c:v>56823</c:v>
                </c:pt>
                <c:pt idx="481">
                  <c:v>56856</c:v>
                </c:pt>
                <c:pt idx="482">
                  <c:v>56887</c:v>
                </c:pt>
                <c:pt idx="483">
                  <c:v>56919</c:v>
                </c:pt>
                <c:pt idx="484">
                  <c:v>56949</c:v>
                </c:pt>
                <c:pt idx="485">
                  <c:v>56982</c:v>
                </c:pt>
                <c:pt idx="486">
                  <c:v>57013</c:v>
                </c:pt>
                <c:pt idx="487">
                  <c:v>57042</c:v>
                </c:pt>
                <c:pt idx="488">
                  <c:v>57074</c:v>
                </c:pt>
                <c:pt idx="489">
                  <c:v>57104</c:v>
                </c:pt>
                <c:pt idx="490">
                  <c:v>57136</c:v>
                </c:pt>
                <c:pt idx="491">
                  <c:v>57166</c:v>
                </c:pt>
                <c:pt idx="492">
                  <c:v>57199</c:v>
                </c:pt>
                <c:pt idx="493">
                  <c:v>57230</c:v>
                </c:pt>
                <c:pt idx="494">
                  <c:v>57262</c:v>
                </c:pt>
                <c:pt idx="495">
                  <c:v>57293</c:v>
                </c:pt>
                <c:pt idx="496">
                  <c:v>57325</c:v>
                </c:pt>
                <c:pt idx="497">
                  <c:v>57356</c:v>
                </c:pt>
                <c:pt idx="498">
                  <c:v>57388</c:v>
                </c:pt>
                <c:pt idx="499">
                  <c:v>57416</c:v>
                </c:pt>
                <c:pt idx="500">
                  <c:v>57447</c:v>
                </c:pt>
                <c:pt idx="501">
                  <c:v>57479</c:v>
                </c:pt>
                <c:pt idx="502">
                  <c:v>57510</c:v>
                </c:pt>
                <c:pt idx="503">
                  <c:v>57542</c:v>
                </c:pt>
                <c:pt idx="504">
                  <c:v>57573</c:v>
                </c:pt>
                <c:pt idx="505">
                  <c:v>57605</c:v>
                </c:pt>
                <c:pt idx="506">
                  <c:v>57635</c:v>
                </c:pt>
                <c:pt idx="507">
                  <c:v>57668</c:v>
                </c:pt>
                <c:pt idx="508">
                  <c:v>57698</c:v>
                </c:pt>
                <c:pt idx="509">
                  <c:v>57731</c:v>
                </c:pt>
                <c:pt idx="510">
                  <c:v>57762</c:v>
                </c:pt>
                <c:pt idx="511">
                  <c:v>57790</c:v>
                </c:pt>
                <c:pt idx="512">
                  <c:v>57822</c:v>
                </c:pt>
                <c:pt idx="513">
                  <c:v>57852</c:v>
                </c:pt>
                <c:pt idx="514">
                  <c:v>57885</c:v>
                </c:pt>
                <c:pt idx="515">
                  <c:v>57915</c:v>
                </c:pt>
                <c:pt idx="516">
                  <c:v>57948</c:v>
                </c:pt>
                <c:pt idx="517">
                  <c:v>57979</c:v>
                </c:pt>
                <c:pt idx="518">
                  <c:v>58011</c:v>
                </c:pt>
                <c:pt idx="519">
                  <c:v>58042</c:v>
                </c:pt>
                <c:pt idx="520">
                  <c:v>58074</c:v>
                </c:pt>
                <c:pt idx="521">
                  <c:v>58105</c:v>
                </c:pt>
                <c:pt idx="522">
                  <c:v>58134</c:v>
                </c:pt>
                <c:pt idx="523">
                  <c:v>58166</c:v>
                </c:pt>
                <c:pt idx="524">
                  <c:v>58197</c:v>
                </c:pt>
                <c:pt idx="525">
                  <c:v>58228</c:v>
                </c:pt>
                <c:pt idx="526">
                  <c:v>58258</c:v>
                </c:pt>
                <c:pt idx="527">
                  <c:v>58291</c:v>
                </c:pt>
                <c:pt idx="528">
                  <c:v>58322</c:v>
                </c:pt>
                <c:pt idx="529">
                  <c:v>58354</c:v>
                </c:pt>
                <c:pt idx="530">
                  <c:v>58385</c:v>
                </c:pt>
                <c:pt idx="531">
                  <c:v>58417</c:v>
                </c:pt>
                <c:pt idx="532">
                  <c:v>58448</c:v>
                </c:pt>
                <c:pt idx="533">
                  <c:v>58480</c:v>
                </c:pt>
                <c:pt idx="534">
                  <c:v>58509</c:v>
                </c:pt>
                <c:pt idx="535">
                  <c:v>58540</c:v>
                </c:pt>
                <c:pt idx="536">
                  <c:v>58571</c:v>
                </c:pt>
                <c:pt idx="537">
                  <c:v>58602</c:v>
                </c:pt>
                <c:pt idx="538">
                  <c:v>58634</c:v>
                </c:pt>
                <c:pt idx="539">
                  <c:v>58665</c:v>
                </c:pt>
                <c:pt idx="540">
                  <c:v>58697</c:v>
                </c:pt>
                <c:pt idx="541">
                  <c:v>58727</c:v>
                </c:pt>
                <c:pt idx="542">
                  <c:v>58760</c:v>
                </c:pt>
                <c:pt idx="543">
                  <c:v>58790</c:v>
                </c:pt>
                <c:pt idx="544">
                  <c:v>58823</c:v>
                </c:pt>
                <c:pt idx="545">
                  <c:v>58854</c:v>
                </c:pt>
                <c:pt idx="546">
                  <c:v>58882</c:v>
                </c:pt>
                <c:pt idx="547">
                  <c:v>58914</c:v>
                </c:pt>
                <c:pt idx="548">
                  <c:v>58944</c:v>
                </c:pt>
                <c:pt idx="549">
                  <c:v>58977</c:v>
                </c:pt>
                <c:pt idx="550">
                  <c:v>59007</c:v>
                </c:pt>
                <c:pt idx="551">
                  <c:v>59040</c:v>
                </c:pt>
                <c:pt idx="552">
                  <c:v>59071</c:v>
                </c:pt>
                <c:pt idx="553">
                  <c:v>59103</c:v>
                </c:pt>
                <c:pt idx="554">
                  <c:v>59134</c:v>
                </c:pt>
                <c:pt idx="555">
                  <c:v>59167</c:v>
                </c:pt>
                <c:pt idx="556">
                  <c:v>59198</c:v>
                </c:pt>
                <c:pt idx="557">
                  <c:v>59229</c:v>
                </c:pt>
                <c:pt idx="558">
                  <c:v>59258</c:v>
                </c:pt>
                <c:pt idx="559">
                  <c:v>59289</c:v>
                </c:pt>
                <c:pt idx="560">
                  <c:v>59320</c:v>
                </c:pt>
                <c:pt idx="561">
                  <c:v>59351</c:v>
                </c:pt>
                <c:pt idx="562">
                  <c:v>59383</c:v>
                </c:pt>
                <c:pt idx="563">
                  <c:v>59414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59540</c:v>
                </c:pt>
                <c:pt idx="568">
                  <c:v>59572</c:v>
                </c:pt>
                <c:pt idx="569">
                  <c:v>59600</c:v>
                </c:pt>
                <c:pt idx="570">
                  <c:v>59631</c:v>
                </c:pt>
                <c:pt idx="571">
                  <c:v>59663</c:v>
                </c:pt>
                <c:pt idx="572">
                  <c:v>59694</c:v>
                </c:pt>
                <c:pt idx="573">
                  <c:v>59726</c:v>
                </c:pt>
                <c:pt idx="574">
                  <c:v>59757</c:v>
                </c:pt>
                <c:pt idx="575">
                  <c:v>59789</c:v>
                </c:pt>
                <c:pt idx="576">
                  <c:v>59819</c:v>
                </c:pt>
                <c:pt idx="577">
                  <c:v>59852</c:v>
                </c:pt>
                <c:pt idx="578">
                  <c:v>59882</c:v>
                </c:pt>
                <c:pt idx="579">
                  <c:v>59915</c:v>
                </c:pt>
                <c:pt idx="580" formatCode="General">
                  <c:v>59946</c:v>
                </c:pt>
                <c:pt idx="581" formatCode="General">
                  <c:v>59975</c:v>
                </c:pt>
                <c:pt idx="582" formatCode="General">
                  <c:v>60006</c:v>
                </c:pt>
                <c:pt idx="583" formatCode="General">
                  <c:v>60036</c:v>
                </c:pt>
              </c:numCache>
            </c:numRef>
          </c:cat>
          <c:val>
            <c:numRef>
              <c:f>'basis 6M '!$Q$2:$Q$585</c:f>
              <c:numCache>
                <c:formatCode>0.0000%</c:formatCode>
                <c:ptCount val="584"/>
                <c:pt idx="0">
                  <c:v>2.4788094634785734E-3</c:v>
                </c:pt>
                <c:pt idx="1">
                  <c:v>2.4289896047728862E-3</c:v>
                </c:pt>
                <c:pt idx="2">
                  <c:v>2.436939029857877E-3</c:v>
                </c:pt>
                <c:pt idx="3">
                  <c:v>2.3780238638752256E-3</c:v>
                </c:pt>
                <c:pt idx="4">
                  <c:v>2.337194977676941E-3</c:v>
                </c:pt>
                <c:pt idx="5">
                  <c:v>2.3559232068057182E-3</c:v>
                </c:pt>
                <c:pt idx="6">
                  <c:v>2.4726423134875984E-3</c:v>
                </c:pt>
                <c:pt idx="7">
                  <c:v>2.5898137852881915E-3</c:v>
                </c:pt>
                <c:pt idx="8">
                  <c:v>2.665557596584774E-3</c:v>
                </c:pt>
                <c:pt idx="9">
                  <c:v>2.7090419119551287E-3</c:v>
                </c:pt>
                <c:pt idx="10">
                  <c:v>2.7730272449166256E-3</c:v>
                </c:pt>
                <c:pt idx="11">
                  <c:v>2.8743720503152949E-3</c:v>
                </c:pt>
                <c:pt idx="12">
                  <c:v>2.9402550128064956E-3</c:v>
                </c:pt>
                <c:pt idx="13">
                  <c:v>2.9525763633896618E-3</c:v>
                </c:pt>
                <c:pt idx="14">
                  <c:v>2.9804400015966529E-3</c:v>
                </c:pt>
                <c:pt idx="15">
                  <c:v>3.0054086295697316E-3</c:v>
                </c:pt>
                <c:pt idx="16">
                  <c:v>3.0361188075457421E-3</c:v>
                </c:pt>
                <c:pt idx="17">
                  <c:v>3.0807083896842924E-3</c:v>
                </c:pt>
                <c:pt idx="18">
                  <c:v>3.1330450196528203E-3</c:v>
                </c:pt>
                <c:pt idx="19">
                  <c:v>3.144892275578107E-3</c:v>
                </c:pt>
                <c:pt idx="20">
                  <c:v>3.1648383409955752E-3</c:v>
                </c:pt>
                <c:pt idx="21">
                  <c:v>3.1275679969694739E-3</c:v>
                </c:pt>
                <c:pt idx="22">
                  <c:v>2.988587322770265E-3</c:v>
                </c:pt>
                <c:pt idx="23">
                  <c:v>2.8282795801759524E-3</c:v>
                </c:pt>
                <c:pt idx="24">
                  <c:v>2.8245581019079669E-3</c:v>
                </c:pt>
                <c:pt idx="25">
                  <c:v>2.9804609537138452E-3</c:v>
                </c:pt>
                <c:pt idx="26">
                  <c:v>3.1334686063492169E-3</c:v>
                </c:pt>
                <c:pt idx="27">
                  <c:v>3.3042317815920571E-3</c:v>
                </c:pt>
                <c:pt idx="28">
                  <c:v>3.4711766679437275E-3</c:v>
                </c:pt>
                <c:pt idx="29">
                  <c:v>3.6567921811476037E-3</c:v>
                </c:pt>
                <c:pt idx="30">
                  <c:v>3.8290438068844246E-3</c:v>
                </c:pt>
                <c:pt idx="31">
                  <c:v>4.0160859399152827E-3</c:v>
                </c:pt>
                <c:pt idx="32">
                  <c:v>4.2224636677117679E-3</c:v>
                </c:pt>
                <c:pt idx="33">
                  <c:v>3.8777454683765916E-3</c:v>
                </c:pt>
                <c:pt idx="34">
                  <c:v>3.3708882762667246E-3</c:v>
                </c:pt>
                <c:pt idx="35">
                  <c:v>2.8889864062623502E-3</c:v>
                </c:pt>
                <c:pt idx="36">
                  <c:v>2.98687572841917E-3</c:v>
                </c:pt>
                <c:pt idx="37">
                  <c:v>3.2031991243144458E-3</c:v>
                </c:pt>
                <c:pt idx="38">
                  <c:v>3.4464002746774107E-3</c:v>
                </c:pt>
                <c:pt idx="39">
                  <c:v>3.672282343470563E-3</c:v>
                </c:pt>
                <c:pt idx="40">
                  <c:v>3.9259160654150829E-3</c:v>
                </c:pt>
                <c:pt idx="41">
                  <c:v>4.1651012947942975E-3</c:v>
                </c:pt>
                <c:pt idx="42">
                  <c:v>4.4098809710477679E-3</c:v>
                </c:pt>
                <c:pt idx="43">
                  <c:v>4.6581067666879236E-3</c:v>
                </c:pt>
                <c:pt idx="44">
                  <c:v>4.8804299397506674E-3</c:v>
                </c:pt>
                <c:pt idx="45">
                  <c:v>4.1223659834770257E-3</c:v>
                </c:pt>
                <c:pt idx="46">
                  <c:v>3.446406672133015E-3</c:v>
                </c:pt>
                <c:pt idx="47">
                  <c:v>2.8597432208579323E-3</c:v>
                </c:pt>
                <c:pt idx="48">
                  <c:v>3.1236397310932442E-3</c:v>
                </c:pt>
                <c:pt idx="49">
                  <c:v>3.425257047017129E-3</c:v>
                </c:pt>
                <c:pt idx="50">
                  <c:v>3.7036320466705E-3</c:v>
                </c:pt>
                <c:pt idx="51">
                  <c:v>4.0113165063762274E-3</c:v>
                </c:pt>
                <c:pt idx="52">
                  <c:v>4.3046605334378764E-3</c:v>
                </c:pt>
                <c:pt idx="53">
                  <c:v>4.6229954069472333E-3</c:v>
                </c:pt>
                <c:pt idx="54">
                  <c:v>4.91162656912784E-3</c:v>
                </c:pt>
                <c:pt idx="55">
                  <c:v>5.2178911607726154E-3</c:v>
                </c:pt>
                <c:pt idx="56">
                  <c:v>5.0406247878069712E-3</c:v>
                </c:pt>
                <c:pt idx="57">
                  <c:v>4.0416344075836462E-3</c:v>
                </c:pt>
                <c:pt idx="58">
                  <c:v>3.0208847423504014E-3</c:v>
                </c:pt>
                <c:pt idx="59">
                  <c:v>2.6117979549193336E-3</c:v>
                </c:pt>
                <c:pt idx="60">
                  <c:v>2.9348859453730627E-3</c:v>
                </c:pt>
                <c:pt idx="61">
                  <c:v>3.235912269557998E-3</c:v>
                </c:pt>
                <c:pt idx="62">
                  <c:v>3.5656110523803308E-3</c:v>
                </c:pt>
                <c:pt idx="63">
                  <c:v>3.8682925181037411E-3</c:v>
                </c:pt>
                <c:pt idx="64">
                  <c:v>4.1844320923612264E-3</c:v>
                </c:pt>
                <c:pt idx="65">
                  <c:v>4.4796492177214525E-3</c:v>
                </c:pt>
                <c:pt idx="66">
                  <c:v>4.7878127854721706E-3</c:v>
                </c:pt>
                <c:pt idx="67">
                  <c:v>5.0831594269769124E-3</c:v>
                </c:pt>
                <c:pt idx="68">
                  <c:v>4.6712010102204961E-3</c:v>
                </c:pt>
                <c:pt idx="69">
                  <c:v>3.7273471586822728E-3</c:v>
                </c:pt>
                <c:pt idx="70">
                  <c:v>2.8143331011317302E-3</c:v>
                </c:pt>
                <c:pt idx="71">
                  <c:v>2.6609874972737882E-3</c:v>
                </c:pt>
                <c:pt idx="72">
                  <c:v>2.9359784943175579E-3</c:v>
                </c:pt>
                <c:pt idx="73">
                  <c:v>3.2346856718757019E-3</c:v>
                </c:pt>
                <c:pt idx="74">
                  <c:v>3.5030751528502269E-3</c:v>
                </c:pt>
                <c:pt idx="75">
                  <c:v>3.7933213172549936E-3</c:v>
                </c:pt>
                <c:pt idx="76">
                  <c:v>4.0581791006793055E-3</c:v>
                </c:pt>
                <c:pt idx="77">
                  <c:v>4.3203861129850266E-3</c:v>
                </c:pt>
                <c:pt idx="78">
                  <c:v>4.5765028282723219E-3</c:v>
                </c:pt>
                <c:pt idx="79">
                  <c:v>4.8294472811150051E-3</c:v>
                </c:pt>
                <c:pt idx="80">
                  <c:v>4.0678874206171757E-3</c:v>
                </c:pt>
                <c:pt idx="81">
                  <c:v>3.2501890215484198E-3</c:v>
                </c:pt>
                <c:pt idx="82">
                  <c:v>2.3396063162460963E-3</c:v>
                </c:pt>
                <c:pt idx="83">
                  <c:v>2.5628515366809303E-3</c:v>
                </c:pt>
                <c:pt idx="84">
                  <c:v>2.8079301139869381E-3</c:v>
                </c:pt>
                <c:pt idx="85">
                  <c:v>3.0236044255873007E-3</c:v>
                </c:pt>
                <c:pt idx="86">
                  <c:v>3.2530746472563474E-3</c:v>
                </c:pt>
                <c:pt idx="87">
                  <c:v>3.4616860133533794E-3</c:v>
                </c:pt>
                <c:pt idx="88">
                  <c:v>3.677987229436807E-3</c:v>
                </c:pt>
                <c:pt idx="89">
                  <c:v>3.8661745285917225E-3</c:v>
                </c:pt>
                <c:pt idx="90">
                  <c:v>4.0578172010468268E-3</c:v>
                </c:pt>
                <c:pt idx="91">
                  <c:v>4.0609253757302281E-3</c:v>
                </c:pt>
                <c:pt idx="92">
                  <c:v>3.4841786403541908E-3</c:v>
                </c:pt>
                <c:pt idx="93">
                  <c:v>2.8895728796453427E-3</c:v>
                </c:pt>
                <c:pt idx="94">
                  <c:v>2.5547174244967726E-3</c:v>
                </c:pt>
                <c:pt idx="95">
                  <c:v>2.7120676897908758E-3</c:v>
                </c:pt>
                <c:pt idx="96">
                  <c:v>2.8662467701235407E-3</c:v>
                </c:pt>
                <c:pt idx="97">
                  <c:v>3.0294615994632366E-3</c:v>
                </c:pt>
                <c:pt idx="98">
                  <c:v>3.1731070088392536E-3</c:v>
                </c:pt>
                <c:pt idx="99">
                  <c:v>3.3224815332021963E-3</c:v>
                </c:pt>
                <c:pt idx="100">
                  <c:v>3.455825934718916E-3</c:v>
                </c:pt>
                <c:pt idx="101">
                  <c:v>3.5723916957890803E-3</c:v>
                </c:pt>
                <c:pt idx="102">
                  <c:v>3.7040711321467759E-3</c:v>
                </c:pt>
                <c:pt idx="103">
                  <c:v>3.5481317951806951E-3</c:v>
                </c:pt>
                <c:pt idx="104">
                  <c:v>3.0621431342695432E-3</c:v>
                </c:pt>
                <c:pt idx="105">
                  <c:v>2.5634350197634159E-3</c:v>
                </c:pt>
                <c:pt idx="106">
                  <c:v>2.3825790518231318E-3</c:v>
                </c:pt>
                <c:pt idx="107">
                  <c:v>2.5024955328392592E-3</c:v>
                </c:pt>
                <c:pt idx="108">
                  <c:v>2.613180545972104E-3</c:v>
                </c:pt>
                <c:pt idx="109">
                  <c:v>2.732380387619672E-3</c:v>
                </c:pt>
                <c:pt idx="110">
                  <c:v>2.8411663530915413E-3</c:v>
                </c:pt>
                <c:pt idx="111">
                  <c:v>2.95515433595607E-3</c:v>
                </c:pt>
                <c:pt idx="112">
                  <c:v>3.0620791631692651E-3</c:v>
                </c:pt>
                <c:pt idx="113">
                  <c:v>3.1735473096746944E-3</c:v>
                </c:pt>
                <c:pt idx="114">
                  <c:v>3.2770356883524039E-3</c:v>
                </c:pt>
                <c:pt idx="115">
                  <c:v>3.0408898775842463E-3</c:v>
                </c:pt>
                <c:pt idx="116">
                  <c:v>2.6567272333520991E-3</c:v>
                </c:pt>
                <c:pt idx="117">
                  <c:v>2.2840465146448281E-3</c:v>
                </c:pt>
                <c:pt idx="118">
                  <c:v>2.2668886314340282E-3</c:v>
                </c:pt>
                <c:pt idx="119">
                  <c:v>2.3561482513891584E-3</c:v>
                </c:pt>
                <c:pt idx="120">
                  <c:v>2.4515754115757536E-3</c:v>
                </c:pt>
                <c:pt idx="121">
                  <c:v>2.5365436506754602E-3</c:v>
                </c:pt>
                <c:pt idx="122">
                  <c:v>2.6241344996369292E-3</c:v>
                </c:pt>
                <c:pt idx="123">
                  <c:v>2.7030427546781803E-3</c:v>
                </c:pt>
                <c:pt idx="124">
                  <c:v>2.780275580531337E-3</c:v>
                </c:pt>
                <c:pt idx="125">
                  <c:v>2.850380494146966E-3</c:v>
                </c:pt>
                <c:pt idx="126">
                  <c:v>2.9192881728288059E-3</c:v>
                </c:pt>
                <c:pt idx="127">
                  <c:v>2.6162571390057933E-3</c:v>
                </c:pt>
                <c:pt idx="128">
                  <c:v>2.3305999270481874E-3</c:v>
                </c:pt>
                <c:pt idx="129">
                  <c:v>2.0455502579864136E-3</c:v>
                </c:pt>
                <c:pt idx="130">
                  <c:v>2.0974785115878726E-3</c:v>
                </c:pt>
                <c:pt idx="131">
                  <c:v>2.1533698712451026E-3</c:v>
                </c:pt>
                <c:pt idx="132">
                  <c:v>2.2015535039327586E-3</c:v>
                </c:pt>
                <c:pt idx="133">
                  <c:v>2.2520276715559569E-3</c:v>
                </c:pt>
                <c:pt idx="134">
                  <c:v>2.2944172882611927E-3</c:v>
                </c:pt>
                <c:pt idx="135">
                  <c:v>2.3362980713922572E-3</c:v>
                </c:pt>
                <c:pt idx="136">
                  <c:v>2.3715998683858305E-3</c:v>
                </c:pt>
                <c:pt idx="137">
                  <c:v>2.4047037675991242E-3</c:v>
                </c:pt>
                <c:pt idx="138">
                  <c:v>2.3555933857638787E-3</c:v>
                </c:pt>
                <c:pt idx="139">
                  <c:v>2.0701721810872376E-3</c:v>
                </c:pt>
                <c:pt idx="140">
                  <c:v>1.7675497192953561E-3</c:v>
                </c:pt>
                <c:pt idx="141">
                  <c:v>1.5757088940837952E-3</c:v>
                </c:pt>
                <c:pt idx="142">
                  <c:v>1.5992498263796354E-3</c:v>
                </c:pt>
                <c:pt idx="143">
                  <c:v>1.6165643316166899E-3</c:v>
                </c:pt>
                <c:pt idx="144">
                  <c:v>1.6367524375148143E-3</c:v>
                </c:pt>
                <c:pt idx="145">
                  <c:v>1.6533078509383924E-3</c:v>
                </c:pt>
                <c:pt idx="146">
                  <c:v>1.6676560054910972E-3</c:v>
                </c:pt>
                <c:pt idx="147">
                  <c:v>1.6802654946686604E-3</c:v>
                </c:pt>
                <c:pt idx="148">
                  <c:v>1.6905554299370545E-3</c:v>
                </c:pt>
                <c:pt idx="149">
                  <c:v>1.6996694774088078E-3</c:v>
                </c:pt>
                <c:pt idx="150">
                  <c:v>1.7052871382289003E-3</c:v>
                </c:pt>
                <c:pt idx="151">
                  <c:v>1.7111953451659744E-3</c:v>
                </c:pt>
                <c:pt idx="152">
                  <c:v>1.7159256287670038E-3</c:v>
                </c:pt>
                <c:pt idx="153">
                  <c:v>1.7138101468069412E-3</c:v>
                </c:pt>
                <c:pt idx="154">
                  <c:v>1.7128960805877086E-3</c:v>
                </c:pt>
                <c:pt idx="155">
                  <c:v>1.7088479736326774E-3</c:v>
                </c:pt>
                <c:pt idx="156">
                  <c:v>1.7058340961206425E-3</c:v>
                </c:pt>
                <c:pt idx="157">
                  <c:v>1.6977230022379511E-3</c:v>
                </c:pt>
                <c:pt idx="158">
                  <c:v>1.6897925452713514E-3</c:v>
                </c:pt>
                <c:pt idx="159">
                  <c:v>1.6786891788540641E-3</c:v>
                </c:pt>
                <c:pt idx="160">
                  <c:v>1.6672358105120598E-3</c:v>
                </c:pt>
                <c:pt idx="161">
                  <c:v>1.6531507326725432E-3</c:v>
                </c:pt>
                <c:pt idx="162">
                  <c:v>1.6350774126991131E-3</c:v>
                </c:pt>
                <c:pt idx="163">
                  <c:v>1.6180334986287924E-3</c:v>
                </c:pt>
                <c:pt idx="164">
                  <c:v>1.5964950146993631E-3</c:v>
                </c:pt>
                <c:pt idx="165">
                  <c:v>1.5734585190443871E-3</c:v>
                </c:pt>
                <c:pt idx="166">
                  <c:v>1.5483146543641205E-3</c:v>
                </c:pt>
                <c:pt idx="167">
                  <c:v>1.5218039845295087E-3</c:v>
                </c:pt>
                <c:pt idx="168">
                  <c:v>1.4943081833957567E-3</c:v>
                </c:pt>
                <c:pt idx="169">
                  <c:v>1.4648465184210202E-3</c:v>
                </c:pt>
                <c:pt idx="170">
                  <c:v>1.4315702273127555E-3</c:v>
                </c:pt>
                <c:pt idx="171">
                  <c:v>1.4011076882741967E-3</c:v>
                </c:pt>
                <c:pt idx="172">
                  <c:v>1.3664785584385601E-3</c:v>
                </c:pt>
                <c:pt idx="173">
                  <c:v>1.3915403842165094E-3</c:v>
                </c:pt>
                <c:pt idx="174">
                  <c:v>1.6801038445142524E-3</c:v>
                </c:pt>
                <c:pt idx="175">
                  <c:v>1.9779482645815062E-3</c:v>
                </c:pt>
                <c:pt idx="176">
                  <c:v>2.1822581975547636E-3</c:v>
                </c:pt>
                <c:pt idx="177">
                  <c:v>2.1420572380602201E-3</c:v>
                </c:pt>
                <c:pt idx="178">
                  <c:v>2.1039331597986419E-3</c:v>
                </c:pt>
                <c:pt idx="179">
                  <c:v>2.0627574597380897E-3</c:v>
                </c:pt>
                <c:pt idx="180">
                  <c:v>2.0255556407207491E-3</c:v>
                </c:pt>
                <c:pt idx="181">
                  <c:v>1.984620632062957E-3</c:v>
                </c:pt>
                <c:pt idx="182">
                  <c:v>1.9475041727769621E-3</c:v>
                </c:pt>
                <c:pt idx="183">
                  <c:v>1.910683248680746E-3</c:v>
                </c:pt>
                <c:pt idx="184">
                  <c:v>1.8701540305848287E-3</c:v>
                </c:pt>
                <c:pt idx="185">
                  <c:v>1.8316153042667767E-3</c:v>
                </c:pt>
                <c:pt idx="186">
                  <c:v>1.7899460610466544E-3</c:v>
                </c:pt>
                <c:pt idx="187">
                  <c:v>1.7507048215644229E-3</c:v>
                </c:pt>
                <c:pt idx="188">
                  <c:v>1.709536832262961E-3</c:v>
                </c:pt>
                <c:pt idx="189">
                  <c:v>1.6703225923872141E-3</c:v>
                </c:pt>
                <c:pt idx="190">
                  <c:v>1.6279477864052962E-3</c:v>
                </c:pt>
                <c:pt idx="191">
                  <c:v>1.5909086655439969E-3</c:v>
                </c:pt>
                <c:pt idx="192">
                  <c:v>1.5475219662870986E-3</c:v>
                </c:pt>
                <c:pt idx="193">
                  <c:v>1.5087436183789382E-3</c:v>
                </c:pt>
                <c:pt idx="194">
                  <c:v>1.4712444027101743E-3</c:v>
                </c:pt>
                <c:pt idx="195">
                  <c:v>1.4297003115011885E-3</c:v>
                </c:pt>
                <c:pt idx="196">
                  <c:v>1.3900225962472958E-3</c:v>
                </c:pt>
                <c:pt idx="197">
                  <c:v>1.346654657796844E-3</c:v>
                </c:pt>
                <c:pt idx="198">
                  <c:v>1.3075595552937483E-3</c:v>
                </c:pt>
                <c:pt idx="199">
                  <c:v>1.2641969542173739E-3</c:v>
                </c:pt>
                <c:pt idx="200">
                  <c:v>1.2237253696806907E-3</c:v>
                </c:pt>
                <c:pt idx="201">
                  <c:v>1.1808865037868134E-3</c:v>
                </c:pt>
                <c:pt idx="202">
                  <c:v>1.1396418827600979E-3</c:v>
                </c:pt>
                <c:pt idx="203">
                  <c:v>1.0981641089119684E-3</c:v>
                </c:pt>
                <c:pt idx="204">
                  <c:v>1.0567219304677029E-3</c:v>
                </c:pt>
                <c:pt idx="205">
                  <c:v>1.014040858889155E-3</c:v>
                </c:pt>
                <c:pt idx="206">
                  <c:v>9.7484549527347003E-4</c:v>
                </c:pt>
                <c:pt idx="207">
                  <c:v>9.3426280278036122E-4</c:v>
                </c:pt>
                <c:pt idx="208">
                  <c:v>8.9163444083963789E-4</c:v>
                </c:pt>
                <c:pt idx="209">
                  <c:v>8.4970508730059999E-4</c:v>
                </c:pt>
                <c:pt idx="210">
                  <c:v>8.0666473967538899E-4</c:v>
                </c:pt>
                <c:pt idx="211">
                  <c:v>7.6502425185828379E-4</c:v>
                </c:pt>
                <c:pt idx="212">
                  <c:v>7.217518168692108E-4</c:v>
                </c:pt>
                <c:pt idx="213">
                  <c:v>6.8015955242544529E-4</c:v>
                </c:pt>
                <c:pt idx="214">
                  <c:v>6.351690834676231E-4</c:v>
                </c:pt>
                <c:pt idx="215">
                  <c:v>5.9575223667107657E-4</c:v>
                </c:pt>
                <c:pt idx="216">
                  <c:v>5.4975020375376549E-4</c:v>
                </c:pt>
                <c:pt idx="217">
                  <c:v>5.0862357394053717E-4</c:v>
                </c:pt>
                <c:pt idx="218">
                  <c:v>4.6836336273316237E-4</c:v>
                </c:pt>
                <c:pt idx="219">
                  <c:v>4.2460897069519082E-4</c:v>
                </c:pt>
                <c:pt idx="220">
                  <c:v>3.8244566515123479E-4</c:v>
                </c:pt>
                <c:pt idx="221">
                  <c:v>3.3657170340848849E-4</c:v>
                </c:pt>
                <c:pt idx="222">
                  <c:v>2.949912156585896E-4</c:v>
                </c:pt>
                <c:pt idx="223">
                  <c:v>2.4890670206289406E-4</c:v>
                </c:pt>
                <c:pt idx="224">
                  <c:v>2.0620126295276334E-4</c:v>
                </c:pt>
                <c:pt idx="225">
                  <c:v>1.6042759264530554E-4</c:v>
                </c:pt>
                <c:pt idx="226">
                  <c:v>1.2021922588574888E-4</c:v>
                </c:pt>
                <c:pt idx="227">
                  <c:v>7.8036126705458703E-5</c:v>
                </c:pt>
                <c:pt idx="228">
                  <c:v>3.2763525211320504E-5</c:v>
                </c:pt>
                <c:pt idx="229">
                  <c:v>-6.4527493459677621E-6</c:v>
                </c:pt>
                <c:pt idx="230">
                  <c:v>-4.7665427356000101E-5</c:v>
                </c:pt>
                <c:pt idx="231">
                  <c:v>-9.0656181083895865E-5</c:v>
                </c:pt>
                <c:pt idx="232">
                  <c:v>2.0027341664194398E-4</c:v>
                </c:pt>
                <c:pt idx="233">
                  <c:v>8.9976736684285741E-4</c:v>
                </c:pt>
                <c:pt idx="234">
                  <c:v>1.6218492150598743E-3</c:v>
                </c:pt>
                <c:pt idx="235">
                  <c:v>1.9380728312897236E-3</c:v>
                </c:pt>
                <c:pt idx="236">
                  <c:v>1.8922677362298509E-3</c:v>
                </c:pt>
                <c:pt idx="237">
                  <c:v>1.8484704833725656E-3</c:v>
                </c:pt>
                <c:pt idx="238">
                  <c:v>1.8041153083472143E-3</c:v>
                </c:pt>
                <c:pt idx="239">
                  <c:v>1.761117749838375E-3</c:v>
                </c:pt>
                <c:pt idx="240">
                  <c:v>1.7156027114825362E-3</c:v>
                </c:pt>
                <c:pt idx="241">
                  <c:v>1.6758178635986991E-3</c:v>
                </c:pt>
                <c:pt idx="242">
                  <c:v>1.6330296946811852E-3</c:v>
                </c:pt>
                <c:pt idx="243">
                  <c:v>1.5877206835316349E-3</c:v>
                </c:pt>
                <c:pt idx="244">
                  <c:v>1.5444272146929311E-3</c:v>
                </c:pt>
                <c:pt idx="245">
                  <c:v>1.4999157777810697E-3</c:v>
                </c:pt>
                <c:pt idx="246">
                  <c:v>1.45691349602875E-3</c:v>
                </c:pt>
                <c:pt idx="247">
                  <c:v>1.4129627269137898E-3</c:v>
                </c:pt>
                <c:pt idx="248">
                  <c:v>1.3707882529217161E-3</c:v>
                </c:pt>
                <c:pt idx="249">
                  <c:v>1.3250962697153486E-3</c:v>
                </c:pt>
                <c:pt idx="250">
                  <c:v>1.2843625837445707E-3</c:v>
                </c:pt>
                <c:pt idx="251">
                  <c:v>1.23817435100557E-3</c:v>
                </c:pt>
                <c:pt idx="252">
                  <c:v>1.1968153470708204E-3</c:v>
                </c:pt>
                <c:pt idx="253">
                  <c:v>1.1544689738311534E-3</c:v>
                </c:pt>
                <c:pt idx="254">
                  <c:v>1.1124532371400778E-3</c:v>
                </c:pt>
                <c:pt idx="255">
                  <c:v>1.0708151843449171E-3</c:v>
                </c:pt>
                <c:pt idx="256">
                  <c:v>1.0269602875576656E-3</c:v>
                </c:pt>
                <c:pt idx="257">
                  <c:v>9.8604081523237519E-4</c:v>
                </c:pt>
                <c:pt idx="258">
                  <c:v>9.4107032561369444E-4</c:v>
                </c:pt>
                <c:pt idx="259">
                  <c:v>8.9946738750571603E-4</c:v>
                </c:pt>
                <c:pt idx="260">
                  <c:v>8.5538755294149726E-4</c:v>
                </c:pt>
                <c:pt idx="261">
                  <c:v>8.1333732846665743E-4</c:v>
                </c:pt>
                <c:pt idx="262">
                  <c:v>7.7070765147956022E-4</c:v>
                </c:pt>
                <c:pt idx="263">
                  <c:v>7.2945643693131737E-4</c:v>
                </c:pt>
                <c:pt idx="264">
                  <c:v>6.8566713243354768E-4</c:v>
                </c:pt>
                <c:pt idx="265">
                  <c:v>6.4735056401278926E-4</c:v>
                </c:pt>
                <c:pt idx="266">
                  <c:v>6.0630820169739821E-4</c:v>
                </c:pt>
                <c:pt idx="267">
                  <c:v>5.6272573376775839E-4</c:v>
                </c:pt>
                <c:pt idx="268">
                  <c:v>5.212213477171386E-4</c:v>
                </c:pt>
                <c:pt idx="269">
                  <c:v>4.7839272800860588E-4</c:v>
                </c:pt>
                <c:pt idx="270">
                  <c:v>4.369908101044262E-4</c:v>
                </c:pt>
                <c:pt idx="271">
                  <c:v>3.9498311437436914E-4</c:v>
                </c:pt>
                <c:pt idx="272">
                  <c:v>3.544162358007294E-4</c:v>
                </c:pt>
                <c:pt idx="273">
                  <c:v>3.1123921716111683E-4</c:v>
                </c:pt>
                <c:pt idx="274">
                  <c:v>2.7211610857616822E-4</c:v>
                </c:pt>
                <c:pt idx="275">
                  <c:v>2.2778696053031219E-4</c:v>
                </c:pt>
                <c:pt idx="276">
                  <c:v>1.9014558019374989E-4</c:v>
                </c:pt>
                <c:pt idx="277">
                  <c:v>1.4990004667439147E-4</c:v>
                </c:pt>
                <c:pt idx="278">
                  <c:v>1.0710912624399549E-4</c:v>
                </c:pt>
                <c:pt idx="279">
                  <c:v>6.6357315573545989E-5</c:v>
                </c:pt>
                <c:pt idx="280">
                  <c:v>2.4364296876546593E-5</c:v>
                </c:pt>
                <c:pt idx="281">
                  <c:v>-1.6250418829990426E-5</c:v>
                </c:pt>
                <c:pt idx="282">
                  <c:v>-5.7427892546861592E-5</c:v>
                </c:pt>
                <c:pt idx="283">
                  <c:v>-9.7238849264845439E-5</c:v>
                </c:pt>
                <c:pt idx="284">
                  <c:v>-1.4023686276402186E-4</c:v>
                </c:pt>
                <c:pt idx="285">
                  <c:v>-1.7795168516202345E-4</c:v>
                </c:pt>
                <c:pt idx="286">
                  <c:v>-2.2210193045146126E-4</c:v>
                </c:pt>
                <c:pt idx="287">
                  <c:v>-2.6030982977945025E-4</c:v>
                </c:pt>
                <c:pt idx="288">
                  <c:v>-2.9853344249862815E-4</c:v>
                </c:pt>
                <c:pt idx="289">
                  <c:v>-3.403180622173485E-4</c:v>
                </c:pt>
                <c:pt idx="290">
                  <c:v>-3.7921688176554766E-4</c:v>
                </c:pt>
                <c:pt idx="291">
                  <c:v>8.5070988764871652E-5</c:v>
                </c:pt>
                <c:pt idx="292">
                  <c:v>5.698909951606726E-4</c:v>
                </c:pt>
                <c:pt idx="293">
                  <c:v>1.1039952767488183E-3</c:v>
                </c:pt>
                <c:pt idx="294">
                  <c:v>1.067949570169615E-3</c:v>
                </c:pt>
                <c:pt idx="295">
                  <c:v>1.0307941847167885E-3</c:v>
                </c:pt>
                <c:pt idx="296">
                  <c:v>9.9621248129352566E-4</c:v>
                </c:pt>
                <c:pt idx="297">
                  <c:v>9.6228102902857354E-4</c:v>
                </c:pt>
                <c:pt idx="298">
                  <c:v>9.2968183091901579E-4</c:v>
                </c:pt>
                <c:pt idx="299">
                  <c:v>8.9716911647610975E-4</c:v>
                </c:pt>
                <c:pt idx="300">
                  <c:v>8.6833369093314988E-4</c:v>
                </c:pt>
                <c:pt idx="301">
                  <c:v>8.3951007519392912E-4</c:v>
                </c:pt>
                <c:pt idx="302">
                  <c:v>8.1024837670685967E-4</c:v>
                </c:pt>
                <c:pt idx="303">
                  <c:v>7.8250750114279219E-4</c:v>
                </c:pt>
                <c:pt idx="304">
                  <c:v>7.5527991867501559E-4</c:v>
                </c:pt>
                <c:pt idx="305">
                  <c:v>7.3015613117125705E-4</c:v>
                </c:pt>
                <c:pt idx="306">
                  <c:v>7.0450406353991107E-4</c:v>
                </c:pt>
                <c:pt idx="307">
                  <c:v>6.8112211768495481E-4</c:v>
                </c:pt>
                <c:pt idx="308">
                  <c:v>6.5708762174905913E-4</c:v>
                </c:pt>
                <c:pt idx="309">
                  <c:v>6.3665029890698499E-4</c:v>
                </c:pt>
                <c:pt idx="310">
                  <c:v>6.1487553955660856E-4</c:v>
                </c:pt>
                <c:pt idx="311">
                  <c:v>5.9674890421956839E-4</c:v>
                </c:pt>
                <c:pt idx="312">
                  <c:v>5.7922252544099703E-4</c:v>
                </c:pt>
                <c:pt idx="313">
                  <c:v>5.6063444346559493E-4</c:v>
                </c:pt>
                <c:pt idx="314">
                  <c:v>5.4431104013605985E-4</c:v>
                </c:pt>
                <c:pt idx="315">
                  <c:v>5.2803872200167523E-4</c:v>
                </c:pt>
                <c:pt idx="316">
                  <c:v>5.1382590432089842E-4</c:v>
                </c:pt>
                <c:pt idx="317">
                  <c:v>4.9881248899199052E-4</c:v>
                </c:pt>
                <c:pt idx="318">
                  <c:v>4.8601937882705726E-4</c:v>
                </c:pt>
                <c:pt idx="319">
                  <c:v>4.7363228949697314E-4</c:v>
                </c:pt>
                <c:pt idx="320">
                  <c:v>4.644631978386396E-4</c:v>
                </c:pt>
                <c:pt idx="321">
                  <c:v>4.5309550854115074E-4</c:v>
                </c:pt>
                <c:pt idx="322">
                  <c:v>4.4570008640155978E-4</c:v>
                </c:pt>
                <c:pt idx="323">
                  <c:v>4.3949879095316405E-4</c:v>
                </c:pt>
                <c:pt idx="324">
                  <c:v>4.3150009919385238E-4</c:v>
                </c:pt>
                <c:pt idx="325">
                  <c:v>4.2699639511884976E-4</c:v>
                </c:pt>
                <c:pt idx="326">
                  <c:v>4.2061590241804919E-4</c:v>
                </c:pt>
                <c:pt idx="327">
                  <c:v>4.1758632267769463E-4</c:v>
                </c:pt>
                <c:pt idx="328">
                  <c:v>4.1473918287117384E-4</c:v>
                </c:pt>
                <c:pt idx="329">
                  <c:v>4.1190935331842163E-4</c:v>
                </c:pt>
                <c:pt idx="330">
                  <c:v>4.1122475774143033E-4</c:v>
                </c:pt>
                <c:pt idx="331">
                  <c:v>4.1093774307540687E-4</c:v>
                </c:pt>
                <c:pt idx="332">
                  <c:v>4.1347917970645243E-4</c:v>
                </c:pt>
                <c:pt idx="333">
                  <c:v>4.1572855162443426E-4</c:v>
                </c:pt>
                <c:pt idx="334">
                  <c:v>4.1925701498918971E-4</c:v>
                </c:pt>
                <c:pt idx="335">
                  <c:v>4.2392589826696983E-4</c:v>
                </c:pt>
                <c:pt idx="336">
                  <c:v>4.2906172133488213E-4</c:v>
                </c:pt>
                <c:pt idx="337">
                  <c:v>4.3566794789697341E-4</c:v>
                </c:pt>
                <c:pt idx="338">
                  <c:v>4.4222025595655468E-4</c:v>
                </c:pt>
                <c:pt idx="339">
                  <c:v>4.514938239309832E-4</c:v>
                </c:pt>
                <c:pt idx="340">
                  <c:v>4.6229768655511871E-4</c:v>
                </c:pt>
                <c:pt idx="341">
                  <c:v>4.7041350405952614E-4</c:v>
                </c:pt>
                <c:pt idx="342">
                  <c:v>4.8152869317565072E-4</c:v>
                </c:pt>
                <c:pt idx="343">
                  <c:v>4.9377998720937649E-4</c:v>
                </c:pt>
                <c:pt idx="344">
                  <c:v>5.0799330521367203E-4</c:v>
                </c:pt>
                <c:pt idx="345">
                  <c:v>5.2234982893809012E-4</c:v>
                </c:pt>
                <c:pt idx="346">
                  <c:v>5.3819057225387712E-4</c:v>
                </c:pt>
                <c:pt idx="347">
                  <c:v>5.5370225433156589E-4</c:v>
                </c:pt>
                <c:pt idx="348">
                  <c:v>5.7057975841968284E-4</c:v>
                </c:pt>
                <c:pt idx="349">
                  <c:v>4.865811115259272E-4</c:v>
                </c:pt>
                <c:pt idx="350">
                  <c:v>1.7053766919499988E-4</c:v>
                </c:pt>
                <c:pt idx="351">
                  <c:v>-1.1482806094411172E-4</c:v>
                </c:pt>
                <c:pt idx="352">
                  <c:v>-2.8865104361770061E-4</c:v>
                </c:pt>
                <c:pt idx="353">
                  <c:v>-2.7141253426766696E-4</c:v>
                </c:pt>
                <c:pt idx="354">
                  <c:v>-2.5479707501879431E-4</c:v>
                </c:pt>
                <c:pt idx="355">
                  <c:v>-2.3304418799849694E-4</c:v>
                </c:pt>
                <c:pt idx="356">
                  <c:v>-2.1518882325833461E-4</c:v>
                </c:pt>
                <c:pt idx="357">
                  <c:v>-1.9795112020057348E-4</c:v>
                </c:pt>
                <c:pt idx="358">
                  <c:v>-1.7764157107366327E-4</c:v>
                </c:pt>
                <c:pt idx="359">
                  <c:v>-1.6216591334859004E-4</c:v>
                </c:pt>
                <c:pt idx="360">
                  <c:v>-1.4124492938730887E-4</c:v>
                </c:pt>
                <c:pt idx="361">
                  <c:v>-1.2514590744607673E-4</c:v>
                </c:pt>
                <c:pt idx="362">
                  <c:v>-1.0752095248114241E-4</c:v>
                </c:pt>
                <c:pt idx="363">
                  <c:v>-8.7474852639636558E-5</c:v>
                </c:pt>
                <c:pt idx="364">
                  <c:v>-7.1027476968486825E-5</c:v>
                </c:pt>
                <c:pt idx="365">
                  <c:v>-5.1566831251254747E-5</c:v>
                </c:pt>
                <c:pt idx="366">
                  <c:v>-3.3896037749493041E-5</c:v>
                </c:pt>
                <c:pt idx="367">
                  <c:v>-1.3179338672703045E-5</c:v>
                </c:pt>
                <c:pt idx="368">
                  <c:v>5.1284695271151814E-6</c:v>
                </c:pt>
                <c:pt idx="369">
                  <c:v>2.4649625295202621E-5</c:v>
                </c:pt>
                <c:pt idx="370">
                  <c:v>4.2697315441091177E-5</c:v>
                </c:pt>
                <c:pt idx="371">
                  <c:v>6.1042463374086364E-5</c:v>
                </c:pt>
                <c:pt idx="372">
                  <c:v>8.0610112630156994E-5</c:v>
                </c:pt>
                <c:pt idx="373">
                  <c:v>9.836647731106124E-5</c:v>
                </c:pt>
                <c:pt idx="374">
                  <c:v>1.1857731028118781E-4</c:v>
                </c:pt>
                <c:pt idx="375">
                  <c:v>1.3912326511125728E-4</c:v>
                </c:pt>
                <c:pt idx="376">
                  <c:v>1.5536566441815697E-4</c:v>
                </c:pt>
                <c:pt idx="377">
                  <c:v>1.7287487048337283E-4</c:v>
                </c:pt>
                <c:pt idx="378">
                  <c:v>1.9282344116837435E-4</c:v>
                </c:pt>
                <c:pt idx="379">
                  <c:v>2.1219724745567478E-4</c:v>
                </c:pt>
                <c:pt idx="380">
                  <c:v>2.3094852059017679E-4</c:v>
                </c:pt>
                <c:pt idx="381">
                  <c:v>2.5063747281536125E-4</c:v>
                </c:pt>
                <c:pt idx="382">
                  <c:v>2.704262047333976E-4</c:v>
                </c:pt>
                <c:pt idx="383">
                  <c:v>2.8826615700397462E-4</c:v>
                </c:pt>
                <c:pt idx="384">
                  <c:v>3.0866736354800278E-4</c:v>
                </c:pt>
                <c:pt idx="385">
                  <c:v>3.2530710688220138E-4</c:v>
                </c:pt>
                <c:pt idx="386">
                  <c:v>3.4448191212696488E-4</c:v>
                </c:pt>
                <c:pt idx="387">
                  <c:v>3.6455995584849105E-4</c:v>
                </c:pt>
                <c:pt idx="388">
                  <c:v>3.8216968691025255E-4</c:v>
                </c:pt>
                <c:pt idx="389">
                  <c:v>4.0199184107719138E-4</c:v>
                </c:pt>
                <c:pt idx="390">
                  <c:v>4.1995042757629608E-4</c:v>
                </c:pt>
                <c:pt idx="391">
                  <c:v>4.4102874319045318E-4</c:v>
                </c:pt>
                <c:pt idx="392">
                  <c:v>4.5901139657057721E-4</c:v>
                </c:pt>
                <c:pt idx="393">
                  <c:v>4.7856141049742312E-4</c:v>
                </c:pt>
                <c:pt idx="394">
                  <c:v>4.9757190254800382E-4</c:v>
                </c:pt>
                <c:pt idx="395">
                  <c:v>5.1810075899186639E-4</c:v>
                </c:pt>
                <c:pt idx="396">
                  <c:v>5.3552002824067135E-4</c:v>
                </c:pt>
                <c:pt idx="397">
                  <c:v>5.5641625648309573E-4</c:v>
                </c:pt>
                <c:pt idx="398">
                  <c:v>5.7413422611943959E-4</c:v>
                </c:pt>
                <c:pt idx="399">
                  <c:v>5.9220101320153762E-4</c:v>
                </c:pt>
                <c:pt idx="400">
                  <c:v>6.1150538300322119E-4</c:v>
                </c:pt>
                <c:pt idx="401">
                  <c:v>6.2932263269156394E-4</c:v>
                </c:pt>
                <c:pt idx="402">
                  <c:v>6.5022296831642248E-4</c:v>
                </c:pt>
                <c:pt idx="403">
                  <c:v>6.6929192853399516E-4</c:v>
                </c:pt>
                <c:pt idx="404">
                  <c:v>6.8899498597353379E-4</c:v>
                </c:pt>
                <c:pt idx="405">
                  <c:v>7.0755186516779922E-4</c:v>
                </c:pt>
                <c:pt idx="406">
                  <c:v>7.2623314085152116E-4</c:v>
                </c:pt>
                <c:pt idx="407">
                  <c:v>7.4598455294266203E-4</c:v>
                </c:pt>
                <c:pt idx="408">
                  <c:v>7.6345745102456702E-4</c:v>
                </c:pt>
                <c:pt idx="409">
                  <c:v>7.8284217218410959E-4</c:v>
                </c:pt>
                <c:pt idx="410">
                  <c:v>8.0183392479836815E-4</c:v>
                </c:pt>
                <c:pt idx="411">
                  <c:v>8.1564319188819415E-4</c:v>
                </c:pt>
                <c:pt idx="412">
                  <c:v>8.299585939905707E-4</c:v>
                </c:pt>
                <c:pt idx="413">
                  <c:v>8.4540000303999843E-4</c:v>
                </c:pt>
                <c:pt idx="414">
                  <c:v>8.5977275420652879E-4</c:v>
                </c:pt>
                <c:pt idx="415">
                  <c:v>8.7202884669099895E-4</c:v>
                </c:pt>
                <c:pt idx="416">
                  <c:v>8.8476528532148435E-4</c:v>
                </c:pt>
                <c:pt idx="417">
                  <c:v>8.9684956743089905E-4</c:v>
                </c:pt>
                <c:pt idx="418">
                  <c:v>9.056120341884126E-4</c:v>
                </c:pt>
                <c:pt idx="419">
                  <c:v>9.1611967117240581E-4</c:v>
                </c:pt>
                <c:pt idx="420">
                  <c:v>9.2214809812532494E-4</c:v>
                </c:pt>
                <c:pt idx="421">
                  <c:v>9.2990712050079055E-4</c:v>
                </c:pt>
                <c:pt idx="422">
                  <c:v>9.3660872096318001E-4</c:v>
                </c:pt>
                <c:pt idx="423">
                  <c:v>9.4038320387804936E-4</c:v>
                </c:pt>
                <c:pt idx="424">
                  <c:v>9.4511588226187798E-4</c:v>
                </c:pt>
                <c:pt idx="425">
                  <c:v>9.479596930305409E-4</c:v>
                </c:pt>
                <c:pt idx="426">
                  <c:v>9.5198857221707664E-4</c:v>
                </c:pt>
                <c:pt idx="427">
                  <c:v>9.5363365316465318E-4</c:v>
                </c:pt>
                <c:pt idx="428">
                  <c:v>9.545068853583985E-4</c:v>
                </c:pt>
                <c:pt idx="429">
                  <c:v>9.551039996139668E-4</c:v>
                </c:pt>
                <c:pt idx="430">
                  <c:v>9.5410395765000572E-4</c:v>
                </c:pt>
                <c:pt idx="431">
                  <c:v>9.5215820223011616E-4</c:v>
                </c:pt>
                <c:pt idx="432">
                  <c:v>9.4873397357311123E-4</c:v>
                </c:pt>
                <c:pt idx="433">
                  <c:v>9.4547048414905105E-4</c:v>
                </c:pt>
                <c:pt idx="434">
                  <c:v>9.4194688337957688E-4</c:v>
                </c:pt>
                <c:pt idx="435">
                  <c:v>9.3331680984934731E-4</c:v>
                </c:pt>
                <c:pt idx="436">
                  <c:v>9.2821834955383181E-4</c:v>
                </c:pt>
                <c:pt idx="437">
                  <c:v>9.1981942130384131E-4</c:v>
                </c:pt>
                <c:pt idx="438">
                  <c:v>9.1290870023923512E-4</c:v>
                </c:pt>
                <c:pt idx="439">
                  <c:v>9.0258071651408422E-4</c:v>
                </c:pt>
                <c:pt idx="440">
                  <c:v>8.9351526229947825E-4</c:v>
                </c:pt>
                <c:pt idx="441">
                  <c:v>8.8165587300420914E-4</c:v>
                </c:pt>
                <c:pt idx="442">
                  <c:v>8.706398092503502E-4</c:v>
                </c:pt>
                <c:pt idx="443">
                  <c:v>8.5805742213724417E-4</c:v>
                </c:pt>
                <c:pt idx="444">
                  <c:v>8.4383454025754867E-4</c:v>
                </c:pt>
                <c:pt idx="445">
                  <c:v>8.295325526911819E-4</c:v>
                </c:pt>
                <c:pt idx="446">
                  <c:v>8.1245634722003357E-4</c:v>
                </c:pt>
                <c:pt idx="447">
                  <c:v>7.9589182327849395E-4</c:v>
                </c:pt>
                <c:pt idx="448">
                  <c:v>7.7736536526155572E-4</c:v>
                </c:pt>
                <c:pt idx="449">
                  <c:v>7.6085832680778537E-4</c:v>
                </c:pt>
                <c:pt idx="450">
                  <c:v>7.3914679760764615E-4</c:v>
                </c:pt>
                <c:pt idx="451">
                  <c:v>7.2049900432316974E-4</c:v>
                </c:pt>
                <c:pt idx="452">
                  <c:v>7.0113227752581497E-4</c:v>
                </c:pt>
                <c:pt idx="453">
                  <c:v>6.7750522460570048E-4</c:v>
                </c:pt>
                <c:pt idx="454">
                  <c:v>6.5554118514791343E-4</c:v>
                </c:pt>
                <c:pt idx="455">
                  <c:v>6.302218157961427E-4</c:v>
                </c:pt>
                <c:pt idx="456">
                  <c:v>6.0656687505071527E-4</c:v>
                </c:pt>
                <c:pt idx="457">
                  <c:v>5.7929910463432044E-4</c:v>
                </c:pt>
                <c:pt idx="458">
                  <c:v>5.5277743817420608E-4</c:v>
                </c:pt>
                <c:pt idx="459">
                  <c:v>5.2403719370992807E-4</c:v>
                </c:pt>
                <c:pt idx="460">
                  <c:v>4.9551758372530161E-4</c:v>
                </c:pt>
                <c:pt idx="461">
                  <c:v>4.660709351423202E-4</c:v>
                </c:pt>
                <c:pt idx="462">
                  <c:v>4.3635772531397388E-4</c:v>
                </c:pt>
                <c:pt idx="463">
                  <c:v>4.0375302661079318E-4</c:v>
                </c:pt>
                <c:pt idx="464">
                  <c:v>3.7447083776234388E-4</c:v>
                </c:pt>
                <c:pt idx="465">
                  <c:v>3.4235957159705135E-4</c:v>
                </c:pt>
                <c:pt idx="466">
                  <c:v>3.1846460533755533E-4</c:v>
                </c:pt>
                <c:pt idx="467">
                  <c:v>6.1939128979260696E-4</c:v>
                </c:pt>
                <c:pt idx="468">
                  <c:v>9.3019314268020722E-4</c:v>
                </c:pt>
                <c:pt idx="469">
                  <c:v>1.199264242269054E-3</c:v>
                </c:pt>
                <c:pt idx="470">
                  <c:v>1.1657207171674559E-3</c:v>
                </c:pt>
                <c:pt idx="471">
                  <c:v>1.1340100780447455E-3</c:v>
                </c:pt>
                <c:pt idx="472">
                  <c:v>1.1002275942923571E-3</c:v>
                </c:pt>
                <c:pt idx="473">
                  <c:v>1.0710719712787725E-3</c:v>
                </c:pt>
                <c:pt idx="474">
                  <c:v>1.0377071495122035E-3</c:v>
                </c:pt>
                <c:pt idx="475">
                  <c:v>1.0083310627359565E-3</c:v>
                </c:pt>
                <c:pt idx="476">
                  <c:v>9.8032111597222069E-4</c:v>
                </c:pt>
                <c:pt idx="477">
                  <c:v>9.5002351280078917E-4</c:v>
                </c:pt>
                <c:pt idx="478">
                  <c:v>9.2151847669380907E-4</c:v>
                </c:pt>
                <c:pt idx="479">
                  <c:v>8.9094674182636432E-4</c:v>
                </c:pt>
                <c:pt idx="480">
                  <c:v>8.6389498666857023E-4</c:v>
                </c:pt>
                <c:pt idx="481">
                  <c:v>8.3428570298629823E-4</c:v>
                </c:pt>
                <c:pt idx="482">
                  <c:v>8.0747067102375156E-4</c:v>
                </c:pt>
                <c:pt idx="483">
                  <c:v>7.7948376015036722E-4</c:v>
                </c:pt>
                <c:pt idx="484">
                  <c:v>7.5459745315250779E-4</c:v>
                </c:pt>
                <c:pt idx="485">
                  <c:v>7.2634998869863104E-4</c:v>
                </c:pt>
                <c:pt idx="486">
                  <c:v>7.020881638460548E-4</c:v>
                </c:pt>
                <c:pt idx="487">
                  <c:v>6.7713843091649767E-4</c:v>
                </c:pt>
                <c:pt idx="488">
                  <c:v>6.5312278804030219E-4</c:v>
                </c:pt>
                <c:pt idx="489">
                  <c:v>6.2994329590157841E-4</c:v>
                </c:pt>
                <c:pt idx="490">
                  <c:v>6.049495400264511E-4</c:v>
                </c:pt>
                <c:pt idx="491">
                  <c:v>5.8278110430074262E-4</c:v>
                </c:pt>
                <c:pt idx="492">
                  <c:v>5.5864056590116534E-4</c:v>
                </c:pt>
                <c:pt idx="493">
                  <c:v>5.3627017487682671E-4</c:v>
                </c:pt>
                <c:pt idx="494">
                  <c:v>5.1348152587759807E-4</c:v>
                </c:pt>
                <c:pt idx="495">
                  <c:v>4.9192078486645641E-4</c:v>
                </c:pt>
                <c:pt idx="496">
                  <c:v>4.7120112537495443E-4</c:v>
                </c:pt>
                <c:pt idx="497">
                  <c:v>4.5109872458821976E-4</c:v>
                </c:pt>
                <c:pt idx="498">
                  <c:v>4.3022221563249197E-4</c:v>
                </c:pt>
                <c:pt idx="499">
                  <c:v>4.1259834122026398E-4</c:v>
                </c:pt>
                <c:pt idx="500">
                  <c:v>3.9381045840982537E-4</c:v>
                </c:pt>
                <c:pt idx="501">
                  <c:v>3.7432813019527139E-4</c:v>
                </c:pt>
                <c:pt idx="502">
                  <c:v>3.5588535701581644E-4</c:v>
                </c:pt>
                <c:pt idx="503">
                  <c:v>3.3791583262988978E-4</c:v>
                </c:pt>
                <c:pt idx="504">
                  <c:v>3.2129347577407319E-4</c:v>
                </c:pt>
                <c:pt idx="505">
                  <c:v>3.0329257812771945E-4</c:v>
                </c:pt>
                <c:pt idx="506">
                  <c:v>2.869222625316338E-4</c:v>
                </c:pt>
                <c:pt idx="507">
                  <c:v>2.7001351642329946E-4</c:v>
                </c:pt>
                <c:pt idx="508">
                  <c:v>2.5619710339236379E-4</c:v>
                </c:pt>
                <c:pt idx="509">
                  <c:v>2.3970481790294013E-4</c:v>
                </c:pt>
                <c:pt idx="510">
                  <c:v>2.2596715021258942E-4</c:v>
                </c:pt>
                <c:pt idx="511">
                  <c:v>2.1333093707234796E-4</c:v>
                </c:pt>
                <c:pt idx="512">
                  <c:v>1.9875818663520062E-4</c:v>
                </c:pt>
                <c:pt idx="513">
                  <c:v>1.8580449259001861E-4</c:v>
                </c:pt>
                <c:pt idx="514">
                  <c:v>1.7188978325735974E-4</c:v>
                </c:pt>
                <c:pt idx="515">
                  <c:v>1.6039029563355567E-4</c:v>
                </c:pt>
                <c:pt idx="516">
                  <c:v>1.4781934110448536E-4</c:v>
                </c:pt>
                <c:pt idx="517">
                  <c:v>1.3530234233895266E-4</c:v>
                </c:pt>
                <c:pt idx="518">
                  <c:v>1.2444001272127539E-4</c:v>
                </c:pt>
                <c:pt idx="519">
                  <c:v>1.135915893967776E-4</c:v>
                </c:pt>
                <c:pt idx="520">
                  <c:v>1.036860201817924E-4</c:v>
                </c:pt>
                <c:pt idx="521">
                  <c:v>9.4850639945649046E-5</c:v>
                </c:pt>
                <c:pt idx="522">
                  <c:v>8.73160952023673E-5</c:v>
                </c:pt>
                <c:pt idx="523">
                  <c:v>7.7702094201416438E-5</c:v>
                </c:pt>
                <c:pt idx="524">
                  <c:v>6.8719525755971816E-5</c:v>
                </c:pt>
                <c:pt idx="525">
                  <c:v>6.1216231603478805E-5</c:v>
                </c:pt>
                <c:pt idx="526">
                  <c:v>5.460569097241047E-5</c:v>
                </c:pt>
                <c:pt idx="527">
                  <c:v>4.7331007243522905E-5</c:v>
                </c:pt>
                <c:pt idx="528">
                  <c:v>4.0586400684231028E-5</c:v>
                </c:pt>
                <c:pt idx="529">
                  <c:v>3.438488034464629E-5</c:v>
                </c:pt>
                <c:pt idx="530">
                  <c:v>2.8442291778240508E-5</c:v>
                </c:pt>
                <c:pt idx="531">
                  <c:v>2.4310979806214938E-5</c:v>
                </c:pt>
                <c:pt idx="532">
                  <c:v>1.9267872597643343E-5</c:v>
                </c:pt>
                <c:pt idx="533">
                  <c:v>1.5036256319607422E-5</c:v>
                </c:pt>
                <c:pt idx="534">
                  <c:v>1.2074343261746223E-5</c:v>
                </c:pt>
                <c:pt idx="535">
                  <c:v>9.9381241093210448E-6</c:v>
                </c:pt>
                <c:pt idx="536">
                  <c:v>6.1081910794555383E-6</c:v>
                </c:pt>
                <c:pt idx="537">
                  <c:v>3.2702842153280176E-6</c:v>
                </c:pt>
                <c:pt idx="538">
                  <c:v>1.8879490749010297E-6</c:v>
                </c:pt>
                <c:pt idx="539">
                  <c:v>1.5810591818855857E-6</c:v>
                </c:pt>
                <c:pt idx="540">
                  <c:v>-1.0212044427651557E-6</c:v>
                </c:pt>
                <c:pt idx="541">
                  <c:v>-2.0644441653186463E-6</c:v>
                </c:pt>
                <c:pt idx="542">
                  <c:v>-2.1136174461477975E-6</c:v>
                </c:pt>
                <c:pt idx="543">
                  <c:v>-6.0332705287269306E-7</c:v>
                </c:pt>
                <c:pt idx="544">
                  <c:v>-2.3642590391004248E-7</c:v>
                </c:pt>
                <c:pt idx="545">
                  <c:v>1.6202111007175557E-6</c:v>
                </c:pt>
                <c:pt idx="546">
                  <c:v>4.506677841902007E-6</c:v>
                </c:pt>
                <c:pt idx="547">
                  <c:v>5.5511974683848664E-6</c:v>
                </c:pt>
                <c:pt idx="548">
                  <c:v>8.1698931411397502E-6</c:v>
                </c:pt>
                <c:pt idx="549">
                  <c:v>1.0868999198467705E-5</c:v>
                </c:pt>
                <c:pt idx="550">
                  <c:v>1.4943466015035489E-5</c:v>
                </c:pt>
                <c:pt idx="551">
                  <c:v>1.9232602526217391E-5</c:v>
                </c:pt>
                <c:pt idx="552">
                  <c:v>2.2362825586107887E-5</c:v>
                </c:pt>
                <c:pt idx="553">
                  <c:v>2.754032263448114E-5</c:v>
                </c:pt>
                <c:pt idx="554">
                  <c:v>3.2277267019865247E-5</c:v>
                </c:pt>
                <c:pt idx="555">
                  <c:v>3.9722529315503602E-5</c:v>
                </c:pt>
                <c:pt idx="556">
                  <c:v>4.5928408711596452E-5</c:v>
                </c:pt>
                <c:pt idx="557">
                  <c:v>5.2812246958491155E-5</c:v>
                </c:pt>
                <c:pt idx="558">
                  <c:v>6.0367109825279486E-5</c:v>
                </c:pt>
                <c:pt idx="559">
                  <c:v>6.996630373653015E-5</c:v>
                </c:pt>
                <c:pt idx="560">
                  <c:v>7.6127072435001192E-5</c:v>
                </c:pt>
                <c:pt idx="561">
                  <c:v>8.3972600385836399E-5</c:v>
                </c:pt>
                <c:pt idx="562">
                  <c:v>9.3983562527214654E-5</c:v>
                </c:pt>
                <c:pt idx="563">
                  <c:v>1.0183478091734324E-4</c:v>
                </c:pt>
                <c:pt idx="564">
                  <c:v>1.122318532858213E-4</c:v>
                </c:pt>
                <c:pt idx="565">
                  <c:v>1.2185810314345111E-4</c:v>
                </c:pt>
                <c:pt idx="566">
                  <c:v>1.3432724324331097E-4</c:v>
                </c:pt>
                <c:pt idx="567">
                  <c:v>1.4540772904292343E-4</c:v>
                </c:pt>
                <c:pt idx="568">
                  <c:v>1.5772318476632574E-4</c:v>
                </c:pt>
                <c:pt idx="569">
                  <c:v>1.6970462676037593E-4</c:v>
                </c:pt>
                <c:pt idx="570">
                  <c:v>1.8209730768418975E-4</c:v>
                </c:pt>
                <c:pt idx="571">
                  <c:v>1.9581545609905979E-4</c:v>
                </c:pt>
                <c:pt idx="572">
                  <c:v>2.0854936265966156E-4</c:v>
                </c:pt>
                <c:pt idx="573">
                  <c:v>2.237836957441619E-4</c:v>
                </c:pt>
                <c:pt idx="574">
                  <c:v>2.3985328619828897E-4</c:v>
                </c:pt>
                <c:pt idx="575">
                  <c:v>2.5252445029505868E-4</c:v>
                </c:pt>
                <c:pt idx="576">
                  <c:v>2.6763635404676925E-4</c:v>
                </c:pt>
                <c:pt idx="577">
                  <c:v>2.8361823707092823E-4</c:v>
                </c:pt>
                <c:pt idx="578">
                  <c:v>3.0074415180543837E-4</c:v>
                </c:pt>
                <c:pt idx="579">
                  <c:v>3.1768242496225951E-4</c:v>
                </c:pt>
                <c:pt idx="580" formatCode="General">
                  <c:v>3.3540869034359017E-4</c:v>
                </c:pt>
                <c:pt idx="581" formatCode="General">
                  <c:v>3.5224473925752481E-4</c:v>
                </c:pt>
                <c:pt idx="582" formatCode="General">
                  <c:v>3.7011521916980455E-4</c:v>
                </c:pt>
                <c:pt idx="583" formatCode="General">
                  <c:v>3.8803190417954422E-4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852864"/>
        <c:axId val="572858752"/>
      </c:lineChart>
      <c:catAx>
        <c:axId val="5728528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58752"/>
        <c:crosses val="autoZero"/>
        <c:auto val="1"/>
        <c:lblAlgn val="ctr"/>
        <c:lblOffset val="100"/>
        <c:noMultiLvlLbl val="1"/>
      </c:catAx>
      <c:valAx>
        <c:axId val="5728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5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590550</xdr:colOff>
      <xdr:row>21</xdr:row>
      <xdr:rowOff>0</xdr:rowOff>
    </xdr:from>
    <xdr:to>
      <xdr:col>41</xdr:col>
      <xdr:colOff>466725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9525</xdr:rowOff>
    </xdr:from>
    <xdr:to>
      <xdr:col>20</xdr:col>
      <xdr:colOff>295275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142873</xdr:colOff>
      <xdr:row>23</xdr:row>
      <xdr:rowOff>23811</xdr:rowOff>
    </xdr:from>
    <xdr:to>
      <xdr:col>20</xdr:col>
      <xdr:colOff>295273</xdr:colOff>
      <xdr:row>48</xdr:row>
      <xdr:rowOff>100011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47626</xdr:colOff>
      <xdr:row>17</xdr:row>
      <xdr:rowOff>38100</xdr:rowOff>
    </xdr:from>
    <xdr:to>
      <xdr:col>13</xdr:col>
      <xdr:colOff>533401</xdr:colOff>
      <xdr:row>39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657225</xdr:colOff>
      <xdr:row>1</xdr:row>
      <xdr:rowOff>28575</xdr:rowOff>
    </xdr:from>
    <xdr:ext cx="838200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90487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95250</xdr:colOff>
      <xdr:row>6</xdr:row>
      <xdr:rowOff>76200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276225</xdr:colOff>
      <xdr:row>14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657225</xdr:colOff>
      <xdr:row>1</xdr:row>
      <xdr:rowOff>19050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38100</xdr:colOff>
      <xdr:row>42</xdr:row>
      <xdr:rowOff>19050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38100</xdr:colOff>
      <xdr:row>42</xdr:row>
      <xdr:rowOff>9525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19050</xdr:colOff>
      <xdr:row>42</xdr:row>
      <xdr:rowOff>9525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 editAs="absolute">
    <xdr:from>
      <xdr:col>10</xdr:col>
      <xdr:colOff>28574</xdr:colOff>
      <xdr:row>62</xdr:row>
      <xdr:rowOff>100012</xdr:rowOff>
    </xdr:from>
    <xdr:to>
      <xdr:col>17</xdr:col>
      <xdr:colOff>190499</xdr:colOff>
      <xdr:row>85</xdr:row>
      <xdr:rowOff>14287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485776</xdr:colOff>
      <xdr:row>17</xdr:row>
      <xdr:rowOff>66675</xdr:rowOff>
    </xdr:from>
    <xdr:to>
      <xdr:col>12</xdr:col>
      <xdr:colOff>495301</xdr:colOff>
      <xdr:row>39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657225</xdr:colOff>
      <xdr:row>1</xdr:row>
      <xdr:rowOff>28575</xdr:rowOff>
    </xdr:from>
    <xdr:ext cx="838200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72390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2390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</a:t>
              </a:r>
              <a:r>
                <a:rPr lang="en-US" sz="9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90487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772025" y="11096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772025" y="11096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95250</xdr:colOff>
      <xdr:row>6</xdr:row>
      <xdr:rowOff>76200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476875" y="10953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476875" y="10953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276225</xdr:colOff>
      <xdr:row>14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00325" y="237172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00325" y="237172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657225</xdr:colOff>
      <xdr:row>1</xdr:row>
      <xdr:rowOff>19050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0388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0388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9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9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38100</xdr:colOff>
      <xdr:row>42</xdr:row>
      <xdr:rowOff>19050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38100</xdr:colOff>
      <xdr:row>42</xdr:row>
      <xdr:rowOff>9525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19050</xdr:colOff>
      <xdr:row>42</xdr:row>
      <xdr:rowOff>9525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 editAs="absolute">
    <xdr:from>
      <xdr:col>8</xdr:col>
      <xdr:colOff>704849</xdr:colOff>
      <xdr:row>72</xdr:row>
      <xdr:rowOff>119062</xdr:rowOff>
    </xdr:from>
    <xdr:to>
      <xdr:col>14</xdr:col>
      <xdr:colOff>200024</xdr:colOff>
      <xdr:row>95</xdr:row>
      <xdr:rowOff>33337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71437</xdr:rowOff>
    </xdr:from>
    <xdr:to>
      <xdr:col>10</xdr:col>
      <xdr:colOff>485775</xdr:colOff>
      <xdr:row>38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62</xdr:row>
      <xdr:rowOff>38100</xdr:rowOff>
    </xdr:from>
    <xdr:to>
      <xdr:col>10</xdr:col>
      <xdr:colOff>447675</xdr:colOff>
      <xdr:row>90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23811</xdr:rowOff>
    </xdr:from>
    <xdr:to>
      <xdr:col>10</xdr:col>
      <xdr:colOff>466725</xdr:colOff>
      <xdr:row>62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123824</xdr:rowOff>
    </xdr:from>
    <xdr:to>
      <xdr:col>10</xdr:col>
      <xdr:colOff>495300</xdr:colOff>
      <xdr:row>48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48</xdr:row>
      <xdr:rowOff>109537</xdr:rowOff>
    </xdr:from>
    <xdr:to>
      <xdr:col>11</xdr:col>
      <xdr:colOff>28575</xdr:colOff>
      <xdr:row>75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100012</xdr:rowOff>
    </xdr:from>
    <xdr:to>
      <xdr:col>11</xdr:col>
      <xdr:colOff>19050</xdr:colOff>
      <xdr:row>104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Q4</v>
          </cell>
        </row>
        <row r="7">
          <cell r="D7" t="str">
            <v>U4</v>
          </cell>
        </row>
      </sheetData>
      <sheetData sheetId="8">
        <row r="6">
          <cell r="D6" t="str">
            <v>Future Code</v>
          </cell>
        </row>
        <row r="7">
          <cell r="D7" t="str">
            <v>Q4</v>
          </cell>
        </row>
      </sheetData>
      <sheetData sheetId="9">
        <row r="6">
          <cell r="D6" t="str">
            <v>Q4</v>
          </cell>
        </row>
        <row r="7">
          <cell r="D7" t="str">
            <v>U4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13</v>
      </c>
      <c r="J7" s="18"/>
      <c r="K7" s="15"/>
    </row>
    <row r="8" spans="1:36" x14ac:dyDescent="0.2">
      <c r="B8" s="2"/>
      <c r="C8" s="5" t="s">
        <v>175</v>
      </c>
      <c r="D8" s="17" t="s">
        <v>176</v>
      </c>
      <c r="E8" s="3"/>
      <c r="F8" s="4"/>
      <c r="H8" s="9"/>
      <c r="I8" s="13" t="s">
        <v>15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24</v>
      </c>
      <c r="D10" s="271">
        <v>41864.862141203703</v>
      </c>
      <c r="E10" s="270"/>
      <c r="F10" s="4"/>
      <c r="H10" s="9"/>
      <c r="I10" s="13" t="s">
        <v>19</v>
      </c>
      <c r="J10" s="19" t="s">
        <v>20</v>
      </c>
      <c r="K10" s="15"/>
    </row>
    <row r="11" spans="1:36" x14ac:dyDescent="0.2">
      <c r="B11" s="2"/>
      <c r="C11" s="269" t="s">
        <v>25</v>
      </c>
      <c r="D11" s="356" t="b">
        <v>1</v>
      </c>
      <c r="E11" s="270"/>
      <c r="F11" s="4"/>
      <c r="H11" s="9"/>
      <c r="I11" s="13" t="s">
        <v>22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23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131</v>
      </c>
      <c r="C16" s="358"/>
      <c r="D16" s="358"/>
      <c r="E16" s="358"/>
      <c r="F16" s="359"/>
      <c r="H16" s="358" t="s">
        <v>140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41866</v>
      </c>
      <c r="E18" s="3"/>
      <c r="F18" s="4"/>
      <c r="H18" s="182"/>
      <c r="I18" s="5" t="s">
        <v>26</v>
      </c>
      <c r="J18" s="360"/>
      <c r="K18" s="186"/>
    </row>
    <row r="19" spans="2:11" x14ac:dyDescent="0.2">
      <c r="B19" s="2"/>
      <c r="C19" s="252" t="s">
        <v>14</v>
      </c>
      <c r="D19" s="17" t="str">
        <f>_xll.qlDiscountingSwapEngine(,OisCurve,,,,,EvaluationDate)</f>
        <v>obj_00367#0001</v>
      </c>
      <c r="E19" s="3"/>
      <c r="F19" s="4"/>
      <c r="H19" s="182"/>
      <c r="I19" s="5" t="s">
        <v>27</v>
      </c>
      <c r="J19" s="360">
        <f>_xll.qlSettingsEvaluationDate(Trigger)</f>
        <v>41864</v>
      </c>
      <c r="K19" s="186"/>
    </row>
    <row r="20" spans="2:11" x14ac:dyDescent="0.2">
      <c r="B20" s="2"/>
      <c r="C20" s="252" t="s">
        <v>18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28</v>
      </c>
      <c r="J20" s="361">
        <f>[1]!TriggerCounter</f>
        <v>4</v>
      </c>
      <c r="K20" s="186"/>
    </row>
    <row r="21" spans="2:11" x14ac:dyDescent="0.2">
      <c r="B21" s="2"/>
      <c r="C21" s="252" t="s">
        <v>21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29</v>
      </c>
      <c r="J21" s="362">
        <f>[1]!LastFixingsTrigger</f>
        <v>0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32</v>
      </c>
      <c r="J22" s="6">
        <f>_xll.ohTrigger(Contribution!W16,Contribution!W22,Contribution!W29,Contribution!W39,Contribution!W55)</f>
        <v>4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132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30</v>
      </c>
      <c r="D28" s="6" t="s">
        <v>31</v>
      </c>
      <c r="E28" s="3"/>
      <c r="F28" s="4"/>
    </row>
    <row r="29" spans="2:11" x14ac:dyDescent="0.2">
      <c r="B29" s="2"/>
      <c r="C29" s="252" t="s">
        <v>33</v>
      </c>
      <c r="D29" s="249">
        <v>2</v>
      </c>
      <c r="E29" s="3"/>
      <c r="F29" s="4"/>
    </row>
    <row r="30" spans="2:11" x14ac:dyDescent="0.2">
      <c r="B30" s="2"/>
      <c r="C30" s="252" t="s">
        <v>34</v>
      </c>
      <c r="D30" s="7" t="e">
        <v>#N/A</v>
      </c>
      <c r="E30" s="3"/>
      <c r="F30" s="4"/>
    </row>
    <row r="31" spans="2:11" x14ac:dyDescent="0.2">
      <c r="B31" s="2"/>
      <c r="C31" s="252" t="s">
        <v>35</v>
      </c>
      <c r="D31" s="12" t="s">
        <v>36</v>
      </c>
      <c r="E31" s="3"/>
      <c r="F31" s="4"/>
    </row>
    <row r="32" spans="2:11" x14ac:dyDescent="0.2">
      <c r="B32" s="2"/>
      <c r="C32" s="252" t="s">
        <v>37</v>
      </c>
      <c r="D32" s="17" t="s">
        <v>38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133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134</v>
      </c>
      <c r="D36" s="253" t="str">
        <f>_xll.qlEuribor(,IborTenor,YieldCurve,,D34)</f>
        <v>obj_003e9#0001</v>
      </c>
      <c r="E36" s="29"/>
      <c r="F36" s="4"/>
    </row>
    <row r="37" spans="2:6" x14ac:dyDescent="0.2">
      <c r="B37" s="2"/>
      <c r="C37" s="5" t="s">
        <v>135</v>
      </c>
      <c r="D37" s="251" t="s">
        <v>137</v>
      </c>
      <c r="E37" s="29"/>
      <c r="F37" s="4"/>
    </row>
    <row r="38" spans="2:6" x14ac:dyDescent="0.2">
      <c r="B38" s="2"/>
      <c r="C38" s="5" t="s">
        <v>136</v>
      </c>
      <c r="D38" s="254" t="str">
        <f>_xll.qlInterpolation(,BasisInterpolation,SynthFra!I2:I6,SynthFra!O2:O6)</f>
        <v>obj_003c4#0001</v>
      </c>
      <c r="E38" s="29"/>
      <c r="F38" s="4"/>
    </row>
    <row r="39" spans="2:6" x14ac:dyDescent="0.2">
      <c r="B39" s="2"/>
      <c r="C39" s="5" t="s">
        <v>16</v>
      </c>
      <c r="D39" s="248" t="s">
        <v>17</v>
      </c>
      <c r="E39" s="3"/>
      <c r="F39" s="4"/>
    </row>
    <row r="40" spans="2:6" x14ac:dyDescent="0.2">
      <c r="B40" s="2"/>
      <c r="C40" s="259" t="s">
        <v>138</v>
      </c>
      <c r="D40" s="260" t="str">
        <f>_xll.qlPiecewiseYieldCurve(,NDays,Calendar,_xll.ohPack(SynthFra!A3:A127),DayCounter,,,Accuracy,TraitsID,InterpolatorID)</f>
        <v>obj_003c5#0001</v>
      </c>
      <c r="E40" s="29"/>
      <c r="F40" s="4"/>
    </row>
    <row r="41" spans="2:6" x14ac:dyDescent="0.2">
      <c r="B41" s="2"/>
      <c r="C41" s="261" t="s">
        <v>139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41866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43692</v>
      </c>
      <c r="D44" s="258">
        <f>MIN(_xll.ohPack(SynthFra!E2:E127))</f>
        <v>0.96328539589746298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43"/>
  <sheetViews>
    <sheetView workbookViewId="0">
      <selection activeCell="D29" sqref="D29"/>
    </sheetView>
  </sheetViews>
  <sheetFormatPr defaultRowHeight="11.25" outlineLevelCol="1" x14ac:dyDescent="0.2"/>
  <cols>
    <col min="1" max="1" width="11.6640625" style="36" customWidth="1" outlineLevel="1"/>
    <col min="2" max="2" width="17.83203125" style="36" customWidth="1" outlineLevel="1"/>
    <col min="3" max="3" width="7" style="36" customWidth="1" outlineLevel="1"/>
    <col min="4" max="4" width="31.1640625" style="36" bestFit="1" customWidth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20.1640625" style="36" bestFit="1" customWidth="1"/>
    <col min="29" max="30" width="9.33203125" style="36" bestFit="1" customWidth="1"/>
    <col min="31" max="31" width="11.6640625" style="36" bestFit="1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2.83203125" style="36" customWidth="1"/>
    <col min="42" max="42" width="28.5" style="36" bestFit="1" customWidth="1"/>
    <col min="43" max="44" width="23" style="36" bestFit="1" customWidth="1"/>
    <col min="45" max="47" width="10.5" style="36" bestFit="1" customWidth="1"/>
    <col min="48" max="48" width="2.83203125" style="36" customWidth="1"/>
    <col min="49" max="16384" width="9.33203125" style="36"/>
  </cols>
  <sheetData>
    <row r="1" spans="1:48" x14ac:dyDescent="0.2">
      <c r="B1" s="37" t="s">
        <v>39</v>
      </c>
      <c r="C1" s="38"/>
      <c r="D1" s="37" t="s">
        <v>40</v>
      </c>
      <c r="E1" s="38" t="s">
        <v>41</v>
      </c>
      <c r="F1" s="39" t="s">
        <v>42</v>
      </c>
      <c r="G1" s="38" t="s">
        <v>43</v>
      </c>
      <c r="H1" s="38" t="s">
        <v>44</v>
      </c>
      <c r="I1" s="40" t="s">
        <v>45</v>
      </c>
      <c r="K1" s="41" t="s">
        <v>46</v>
      </c>
      <c r="L1" s="41" t="s">
        <v>47</v>
      </c>
      <c r="M1" s="41"/>
      <c r="N1" s="42" t="s">
        <v>48</v>
      </c>
      <c r="O1" s="42" t="s">
        <v>49</v>
      </c>
      <c r="P1" s="42" t="s">
        <v>50</v>
      </c>
    </row>
    <row r="2" spans="1:48" x14ac:dyDescent="0.2">
      <c r="A2" s="36">
        <v>1</v>
      </c>
      <c r="B2" s="43" t="str">
        <f>_xll.qlMakeDatedOIS(,E2,F2,OvernightIndex,0,,,,Trigger)</f>
        <v>obj_003b8#0001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41866</v>
      </c>
      <c r="F2" s="47">
        <f>_xll.qlCalendarAdvance(Calendar,E2,A3,"mf")</f>
        <v>41897</v>
      </c>
      <c r="G2" s="48">
        <f>_xll.qlQuoteValue($D2,AllTriggers)</f>
        <v>8.9999999999999998E-4</v>
      </c>
      <c r="H2" s="49">
        <f>_xll.qlOvernightIndexedSwapFairRate(B2,_xll.ohTrigger(C2,InterestRatesTrigger))</f>
        <v>5.5999999717135367E-4</v>
      </c>
      <c r="I2" s="50">
        <f>G2-H2</f>
        <v>3.400000028286463E-4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31</v>
      </c>
      <c r="P2" s="52">
        <f>(O2^2-N2^2)/(O2-N2)</f>
        <v>31</v>
      </c>
      <c r="Q2" s="51"/>
      <c r="R2" s="51"/>
      <c r="S2" s="51"/>
      <c r="T2" s="54">
        <f>(O2^3-N2^3)/3/(O2-N2)</f>
        <v>320.33333333333337</v>
      </c>
      <c r="U2" s="54">
        <f>(O2+N2)/2</f>
        <v>15.5</v>
      </c>
      <c r="V2" s="54">
        <v>1</v>
      </c>
    </row>
    <row r="3" spans="1:48" x14ac:dyDescent="0.2">
      <c r="A3" s="36" t="str">
        <f>_xll.qlPeriodEquivalent(A2&amp;"M")</f>
        <v>1M</v>
      </c>
      <c r="B3" s="55" t="str">
        <f>_xll.qlMakeDatedOIS(,E3,F3,OvernightIndex,0,,,,Trigger)</f>
        <v>obj_0066b#0001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41866</v>
      </c>
      <c r="F3" s="59">
        <f>_xll.qlInterestRateIndexMaturity(A4,E3)</f>
        <v>41897</v>
      </c>
      <c r="G3" s="60">
        <f>_xll.qlQuoteValue(D3,AllTriggers)</f>
        <v>8.9999999999999998E-4</v>
      </c>
      <c r="H3" s="61">
        <f>_xll.qlOvernightIndexedSwapFairRate(B3,_xll.ohTrigger(C3,InterestRatesTrigger))</f>
        <v>5.5999999717135367E-4</v>
      </c>
      <c r="I3" s="62">
        <f t="shared" ref="I3:I27" si="1">G3-H3</f>
        <v>3.400000028286463E-4</v>
      </c>
      <c r="J3" s="51" t="b">
        <f>NOT(ISERROR(I3))</f>
        <v>1</v>
      </c>
      <c r="K3" s="63">
        <f>K4</f>
        <v>-5.8033567380092449E-7</v>
      </c>
      <c r="L3" s="61">
        <f>_xll.ohFilter($I$2:$I$3,$J$2:$J$3)-K3*_xll.ohFilter($P$2:$P$3,$J$2:$J$3)</f>
        <v>3.5799040871647498E-4</v>
      </c>
      <c r="M3" s="52"/>
      <c r="N3" s="53">
        <f t="shared" si="0"/>
        <v>0</v>
      </c>
      <c r="O3" s="53">
        <f t="shared" si="0"/>
        <v>31</v>
      </c>
      <c r="P3" s="52">
        <f>(O3^2-N3^2)/(O3-N3)</f>
        <v>31</v>
      </c>
      <c r="Q3" s="51"/>
      <c r="R3" s="51"/>
      <c r="S3" s="51"/>
      <c r="T3" s="54">
        <f>(O3^3-N3^3)/3/(O3-N3)</f>
        <v>320.33333333333337</v>
      </c>
      <c r="U3" s="54">
        <f>(O3+N3)/2</f>
        <v>15.5</v>
      </c>
      <c r="V3" s="54">
        <v>1</v>
      </c>
    </row>
    <row r="4" spans="1:48" x14ac:dyDescent="0.2">
      <c r="A4" s="36" t="str">
        <f>PROPER(Currency)&amp;IborType&amp;SynthDepo!A3</f>
        <v>Euribor1M</v>
      </c>
      <c r="B4" s="55" t="str">
        <f>_xll.qlMakeDatedOIS(,E4,F4,OvernightIndex,0,,,,Trigger)</f>
        <v>obj_0066c#0001</v>
      </c>
      <c r="C4" s="56" t="b">
        <f>_xll.qlInstrumentSetPricingEngine(B4,OisEngine)</f>
        <v>1</v>
      </c>
      <c r="D4" s="64" t="s">
        <v>51</v>
      </c>
      <c r="E4" s="65">
        <f>F3</f>
        <v>41897</v>
      </c>
      <c r="F4" s="66">
        <f>F5</f>
        <v>41927</v>
      </c>
      <c r="G4" s="67">
        <f>((1+G5*(F5-E5)/360)/(1+G3*(F3-E3)/360)-1)/(F4-E4)*360</f>
        <v>8.3893498253928566E-4</v>
      </c>
      <c r="H4" s="68">
        <f>_xll.qlOvernightIndexedSwapFairRate(B4,_xll.ohTrigger(C4,InterestRatesTrigger))</f>
        <v>5.3433545581249575E-4</v>
      </c>
      <c r="I4" s="69">
        <f>G4-H4</f>
        <v>3.0459952672678991E-4</v>
      </c>
      <c r="J4" s="36" t="b">
        <f>NOT(ISERROR(I4))</f>
        <v>1</v>
      </c>
      <c r="K4" s="68">
        <f>(I4-_xll.ohFilter($I$2:$I$3,$J$2:$J$3))/(P4-_xll.ohFilter($P$2:$P$3,$J$2:$J$3))</f>
        <v>-5.8033567380092449E-7</v>
      </c>
      <c r="L4" s="68">
        <f>_xll.ohFilter($I$2:$I$3,$J$2:$J$3)-K4*_xll.ohFilter($P$2:$P$3,$J$2:$J$3)</f>
        <v>3.5799040871647498E-4</v>
      </c>
      <c r="M4" s="70"/>
      <c r="N4" s="71">
        <f t="shared" si="0"/>
        <v>31</v>
      </c>
      <c r="O4" s="71">
        <f t="shared" si="0"/>
        <v>61</v>
      </c>
      <c r="P4" s="70">
        <f>(O4^2-N4^2)/(O4-N4)</f>
        <v>92</v>
      </c>
      <c r="T4" s="72">
        <f>(O4^3-N4^3)/3/(O4-N4)</f>
        <v>2191</v>
      </c>
      <c r="U4" s="72">
        <f>(O4+N4)/2</f>
        <v>46</v>
      </c>
      <c r="V4" s="72">
        <v>1</v>
      </c>
    </row>
    <row r="5" spans="1:48" x14ac:dyDescent="0.2">
      <c r="B5" s="55"/>
      <c r="C5" s="56"/>
      <c r="D5" s="73" t="str">
        <f>Currency&amp;"2X1S"&amp;QuoteSuffix</f>
        <v>EUR2X1S_Quote</v>
      </c>
      <c r="E5" s="65">
        <f>SettlementDate</f>
        <v>41866</v>
      </c>
      <c r="F5" s="66">
        <f>_xll.qlCalendarAdvance(Calendar,E5,"2M","mf")</f>
        <v>41927</v>
      </c>
      <c r="G5" s="74">
        <f>_xll.qlQuoteValue($D5,AllTriggers)</f>
        <v>8.699999999999999E-4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48" ht="12" thickBot="1" x14ac:dyDescent="0.25">
      <c r="A6" s="36">
        <v>3</v>
      </c>
      <c r="B6" s="43" t="str">
        <f>_xll.qlMakeDatedOIS(,E6,F6,OvernightIndex,0,,,,EvaluationDate)</f>
        <v>obj_003c0#0001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41866</v>
      </c>
      <c r="F6" s="47">
        <f>_xll.qlCalendarAdvance(Calendar,E6,A7,"mf")</f>
        <v>41960</v>
      </c>
      <c r="G6" s="48">
        <f>_xll.qlQuoteValue($D6,AllTriggers)</f>
        <v>2.0999999999999999E-3</v>
      </c>
      <c r="H6" s="49">
        <f>_xll.qlOvernightIndexedSwapFairRate(B6,_xll.ohTrigger(C6,InterestRatesTrigger))</f>
        <v>5.1204465057381218E-4</v>
      </c>
      <c r="I6" s="50">
        <f t="shared" si="1"/>
        <v>1.5879553494261877E-3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94</v>
      </c>
      <c r="P6" s="52">
        <f>(O6^2-N6^2)/(O6-N6)</f>
        <v>94</v>
      </c>
      <c r="Q6" s="51"/>
      <c r="R6" s="51"/>
      <c r="S6" s="51"/>
      <c r="T6" s="54">
        <f t="shared" ref="T6:T27" si="4">(O6^3-N6^3)/3/(O6-N6)</f>
        <v>2945.333333333333</v>
      </c>
      <c r="U6" s="54">
        <f t="shared" ref="U6:U27" si="5">(O6+N6)/2</f>
        <v>47</v>
      </c>
      <c r="V6" s="54">
        <v>1</v>
      </c>
      <c r="AO6" s="381"/>
      <c r="AP6" s="381"/>
      <c r="AQ6" s="381"/>
      <c r="AR6" s="381"/>
      <c r="AS6" s="381"/>
      <c r="AT6" s="381"/>
      <c r="AU6" s="381"/>
      <c r="AV6" s="381"/>
    </row>
    <row r="7" spans="1:48" ht="13.5" customHeight="1" thickBot="1" x14ac:dyDescent="0.25">
      <c r="A7" s="36" t="str">
        <f>_xll.qlPeriodEquivalent(A6&amp;"M")</f>
        <v>3M</v>
      </c>
      <c r="B7" s="55" t="str">
        <f>_xll.qlMakeDatedOIS(,E7,F7,OvernightIndex,0,,,,EvaluationDate)</f>
        <v>obj_0066a#0003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41866</v>
      </c>
      <c r="F7" s="59">
        <f>_xll.qlInterestRateIndexMaturity(A8,E7)</f>
        <v>41960</v>
      </c>
      <c r="G7" s="60">
        <f>_xll.qlQuoteValue(D7,AllTriggers)</f>
        <v>1.99E-3</v>
      </c>
      <c r="H7" s="61">
        <f>_xll.qlOvernightIndexedSwapFairRate(B7,_xll.ohTrigger(C7,InterestRatesTrigger))</f>
        <v>5.1204465057381218E-4</v>
      </c>
      <c r="I7" s="62">
        <f>G7-H7</f>
        <v>1.4779553494261878E-3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0</v>
      </c>
      <c r="O7" s="53">
        <f t="shared" si="3"/>
        <v>94</v>
      </c>
      <c r="P7" s="52">
        <f t="shared" ref="P7:P27" si="6">(O7^2-N7^2)/(O7-N7)</f>
        <v>94</v>
      </c>
      <c r="Q7" s="51"/>
      <c r="R7" s="51"/>
      <c r="S7" s="51"/>
      <c r="T7" s="54">
        <f t="shared" si="4"/>
        <v>2945.333333333333</v>
      </c>
      <c r="U7" s="54">
        <f t="shared" si="5"/>
        <v>47</v>
      </c>
      <c r="V7" s="54">
        <v>1</v>
      </c>
      <c r="AO7" s="381"/>
      <c r="AP7" s="379" t="s">
        <v>147</v>
      </c>
      <c r="AQ7" s="380" t="s">
        <v>126</v>
      </c>
      <c r="AR7" s="380" t="s">
        <v>127</v>
      </c>
      <c r="AS7" s="380" t="s">
        <v>103</v>
      </c>
      <c r="AT7" s="380" t="s">
        <v>44</v>
      </c>
      <c r="AU7" s="380" t="s">
        <v>148</v>
      </c>
      <c r="AV7" s="381"/>
    </row>
    <row r="8" spans="1:48" ht="13.5" customHeight="1" x14ac:dyDescent="0.25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-41866</v>
      </c>
      <c r="P8" s="52">
        <f t="shared" si="6"/>
        <v>-41866</v>
      </c>
      <c r="Q8" s="51"/>
      <c r="R8" s="51"/>
      <c r="S8" s="51"/>
      <c r="T8" s="54">
        <f t="shared" si="4"/>
        <v>584253985.33333325</v>
      </c>
      <c r="U8" s="54">
        <f t="shared" si="5"/>
        <v>-20933</v>
      </c>
      <c r="V8" s="54">
        <v>1</v>
      </c>
      <c r="AB8" s="36" t="s">
        <v>52</v>
      </c>
      <c r="AF8" s="36" t="s">
        <v>53</v>
      </c>
      <c r="AJ8" s="36" t="s">
        <v>54</v>
      </c>
      <c r="AO8" s="381"/>
      <c r="AP8" s="382" t="s">
        <v>146</v>
      </c>
      <c r="AQ8" s="383">
        <v>41852</v>
      </c>
      <c r="AR8" s="383">
        <v>41946</v>
      </c>
      <c r="AS8" s="384">
        <v>2.0899999999999998E-3</v>
      </c>
      <c r="AT8" s="384">
        <v>6.4999999999362844E-4</v>
      </c>
      <c r="AU8" s="385">
        <v>1.4400000000063715E-3</v>
      </c>
      <c r="AV8" s="381"/>
    </row>
    <row r="9" spans="1:48" ht="13.5" customHeight="1" x14ac:dyDescent="0.25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-2.2802342163463867E-6</v>
      </c>
      <c r="L9" s="61">
        <f>_xll.ohFilter($I$6:$I$9,$J$6:$J$9)-K9*_xll.ohFilter($P$6:$P$9,$J$6:$J$9)</f>
        <v>1.6922973657627482E-3</v>
      </c>
      <c r="M9" s="52"/>
      <c r="N9" s="53">
        <f t="shared" si="2"/>
        <v>-41866</v>
      </c>
      <c r="O9" s="53">
        <f t="shared" si="3"/>
        <v>-41866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-41866</v>
      </c>
      <c r="V9" s="54">
        <v>1</v>
      </c>
      <c r="X9" s="81">
        <f t="array" ref="X9:X11">_xll.ohFilter(T6:T14,$J6:$J14)</f>
        <v>2945.333333333333</v>
      </c>
      <c r="Y9" s="84">
        <f t="array" ref="Y9:Y11">_xll.ohFilter(U6:U14,$J6:$J14)</f>
        <v>47</v>
      </c>
      <c r="Z9" s="87">
        <f t="array" ref="Z9:Z11">_xll.ohFilter(V6:V14,$J6:$J14)</f>
        <v>1</v>
      </c>
      <c r="AB9" s="90">
        <f t="array" ref="AB9:AB11">MMULT(AF9:AH11,AD9:AD11)</f>
        <v>7.8151336857670223E-8</v>
      </c>
      <c r="AD9" s="90">
        <f t="array" ref="AD9:AD11">_xll.ohFilter(I6:I14,$J6:$J14)</f>
        <v>1.4779553494261878E-3</v>
      </c>
      <c r="AF9" s="93">
        <f t="array" ref="AF9:AH11">MINVERSE(X9:Z11)</f>
        <v>6.4607071537648338E-3</v>
      </c>
      <c r="AG9" s="94">
        <v>-7.4004463761306299E-3</v>
      </c>
      <c r="AH9" s="95">
        <v>9.3973922236579503E-4</v>
      </c>
      <c r="AJ9" s="102">
        <f t="array" ref="AJ9:AJ11">MMULT(X9:Z11,AB9:AB11)-AD9:AD11</f>
        <v>-4.1199682554449168E-18</v>
      </c>
      <c r="AO9" s="381"/>
      <c r="AP9" s="386" t="s">
        <v>144</v>
      </c>
      <c r="AQ9" s="387">
        <v>41871</v>
      </c>
      <c r="AR9" s="387">
        <v>41963</v>
      </c>
      <c r="AS9" s="388">
        <v>2.074999999999938E-3</v>
      </c>
      <c r="AT9" s="388">
        <v>6.960283630131276E-4</v>
      </c>
      <c r="AU9" s="389">
        <v>1.3789716369868104E-3</v>
      </c>
      <c r="AV9" s="381"/>
    </row>
    <row r="10" spans="1:48" ht="13.5" customHeight="1" thickBot="1" x14ac:dyDescent="0.3">
      <c r="A10" s="36" t="str">
        <f>_xll.qlIMMNextCode(SettlementDate-1,FALSE)</f>
        <v>Q4</v>
      </c>
      <c r="B10" s="79" t="str">
        <f>_xll.qlMakeDatedOIS(,E10,F10,OvernightIndex,0,,,,EvaluationDate)</f>
        <v>obj_003c3#0001</v>
      </c>
      <c r="C10" s="56" t="b">
        <f>_xll.qlInstrumentSetPricingEngine(B10,OisEngine)</f>
        <v>1</v>
      </c>
      <c r="D10" s="64" t="str">
        <f>Currency&amp;"FUT3M"&amp;A10&amp;QuoteSuffix</f>
        <v>EURFUT3MQ4_Quote</v>
      </c>
      <c r="E10" s="65">
        <f>_xll.qlIMMdate(A10)</f>
        <v>41871</v>
      </c>
      <c r="F10" s="66">
        <f>_xll.qlCalendarAdvance(Calendar,E10,"3M","mf")</f>
        <v>41963</v>
      </c>
      <c r="G10" s="74">
        <f>1-_xll.qlQuoteValue($D10,AllTriggers)/100</f>
        <v>1.974999999999949E-3</v>
      </c>
      <c r="H10" s="68">
        <f>_xll.qlOvernightIndexedSwapFairRate(B10,_xll.ohTrigger(C10,InterestRatesTrigger))</f>
        <v>5.2056670153206679E-4</v>
      </c>
      <c r="I10" s="69">
        <f t="shared" si="1"/>
        <v>1.4544332984678821E-3</v>
      </c>
      <c r="J10" s="36" t="b">
        <f>AND(NOT(ISERROR(I10)))</f>
        <v>1</v>
      </c>
      <c r="K10" s="68">
        <f>(I10-_xll.ohFilter($I$6:$I$9,$J$6:$J$9))/(P10-_xll.ohFilter($P$6:$P$9,$J$6:$J$9))</f>
        <v>-2.9402563697882142E-6</v>
      </c>
      <c r="L10" s="68">
        <f>_xll.ohFilter($I$6:$I$9,$J$6:$J$9)-K10*_xll.ohFilter($P$6:$P$9,$J$6:$J$9)</f>
        <v>1.7543394481862799E-3</v>
      </c>
      <c r="M10" s="70"/>
      <c r="N10" s="71">
        <f t="shared" ref="N10:N18" si="7">E10-SettlementDate</f>
        <v>5</v>
      </c>
      <c r="O10" s="71">
        <f t="shared" ref="O10:O18" si="8">F10-SettlementDate</f>
        <v>97</v>
      </c>
      <c r="P10" s="70">
        <f t="shared" si="6"/>
        <v>102</v>
      </c>
      <c r="T10" s="72">
        <f t="shared" si="4"/>
        <v>3306.3333333333335</v>
      </c>
      <c r="U10" s="72">
        <f t="shared" si="5"/>
        <v>51</v>
      </c>
      <c r="V10" s="72">
        <v>1</v>
      </c>
      <c r="X10" s="82">
        <v>3306.3333333333335</v>
      </c>
      <c r="Y10" s="85">
        <v>51</v>
      </c>
      <c r="Z10" s="88">
        <v>1</v>
      </c>
      <c r="AA10" s="41" t="s">
        <v>55</v>
      </c>
      <c r="AB10" s="91">
        <v>-1.2933670890981312E-5</v>
      </c>
      <c r="AC10" s="41" t="s">
        <v>56</v>
      </c>
      <c r="AD10" s="91">
        <v>1.4544332984678821E-3</v>
      </c>
      <c r="AF10" s="96">
        <v>-0.83307882062727656</v>
      </c>
      <c r="AG10" s="97">
        <v>0.91789028544578966</v>
      </c>
      <c r="AH10" s="98">
        <v>-8.4811464818513066E-2</v>
      </c>
      <c r="AJ10" s="103">
        <v>-4.7704895589362195E-18</v>
      </c>
      <c r="AO10" s="381"/>
      <c r="AP10" s="390" t="s">
        <v>145</v>
      </c>
      <c r="AQ10" s="391">
        <v>41899</v>
      </c>
      <c r="AR10" s="391">
        <v>41990</v>
      </c>
      <c r="AS10" s="392">
        <v>2.074999999999938E-3</v>
      </c>
      <c r="AT10" s="392">
        <v>6.3556743392947956E-4</v>
      </c>
      <c r="AU10" s="393">
        <v>1.4394325660704583E-3</v>
      </c>
      <c r="AV10" s="381"/>
    </row>
    <row r="11" spans="1:48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obj_003cd#0001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1.87499999999996E-3</v>
      </c>
      <c r="H11" s="68">
        <f>_xll.qlOvernightIndexedSwapFairRate(B11,_xll.ohTrigger(C11,InterestRatesTrigger))</f>
        <v>4.991180105367594E-4</v>
      </c>
      <c r="I11" s="69">
        <f t="shared" si="1"/>
        <v>1.3758819894632006E-3</v>
      </c>
      <c r="J11" s="36" t="b">
        <f>NOT(ISERROR(I11))</f>
        <v>1</v>
      </c>
      <c r="K11" s="68">
        <f>(I11-_xll.ohFilter($I$6:$I$9,$J$6:$J$9))/(P11-_xll.ohFilter($P$6:$P$9,$J$6:$J$9))</f>
        <v>-1.6202120629045589E-6</v>
      </c>
      <c r="L11" s="68">
        <f>_xll.ohFilter($I$6:$I$9,$J$6:$J$9)-K11*_xll.ohFilter($P$6:$P$9,$J$6:$J$9)</f>
        <v>1.6302552833392164E-3</v>
      </c>
      <c r="M11" s="70"/>
      <c r="N11" s="71">
        <f t="shared" si="7"/>
        <v>33</v>
      </c>
      <c r="O11" s="71">
        <f t="shared" si="8"/>
        <v>124</v>
      </c>
      <c r="P11" s="70">
        <f t="shared" si="6"/>
        <v>157</v>
      </c>
      <c r="T11" s="72">
        <f t="shared" si="4"/>
        <v>6852.3333333333339</v>
      </c>
      <c r="U11" s="72">
        <f t="shared" si="5"/>
        <v>78.5</v>
      </c>
      <c r="V11" s="72">
        <v>1</v>
      </c>
      <c r="X11" s="83">
        <v>6852.3333333333339</v>
      </c>
      <c r="Y11" s="86">
        <v>78.5</v>
      </c>
      <c r="Z11" s="89">
        <v>1</v>
      </c>
      <c r="AB11" s="92">
        <v>1.8556561438108474E-3</v>
      </c>
      <c r="AD11" s="92">
        <v>1.3758819894632006E-3</v>
      </c>
      <c r="AF11" s="99">
        <v>21.125768432593304</v>
      </c>
      <c r="AG11" s="100">
        <v>-21.344062022788698</v>
      </c>
      <c r="AH11" s="101">
        <v>1.2182935901953926</v>
      </c>
      <c r="AJ11" s="104">
        <v>-1.0625181290357943E-17</v>
      </c>
      <c r="AO11" s="381"/>
      <c r="AP11" s="381"/>
      <c r="AQ11" s="381"/>
      <c r="AR11" s="381"/>
      <c r="AS11" s="381"/>
      <c r="AT11" s="381"/>
      <c r="AU11" s="381"/>
      <c r="AV11" s="381"/>
    </row>
    <row r="12" spans="1:48" x14ac:dyDescent="0.2">
      <c r="A12" s="36">
        <v>1</v>
      </c>
      <c r="B12" s="79" t="str">
        <f>_xll.qlMakeDatedOIS(,E12,F12,OvernightIndex,0,,,,EvaluationDate)</f>
        <v>obj_003bb#0001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41897</v>
      </c>
      <c r="F12" s="66">
        <f>_xll.qlInterestRateIndexMaturity($A$8,E12)</f>
        <v>41988</v>
      </c>
      <c r="G12" s="74">
        <f>_xll.qlQuoteValue(D12,AllTriggers)</f>
        <v>1.9E-3</v>
      </c>
      <c r="H12" s="68">
        <f>_xll.qlOvernightIndexedSwapFairRate(B12,_xll.ohTrigger(C12,InterestRatesTrigger))</f>
        <v>5.010103952770976E-4</v>
      </c>
      <c r="I12" s="69">
        <f>G12-H12</f>
        <v>1.3989896047229024E-3</v>
      </c>
      <c r="J12" s="36" t="b">
        <v>0</v>
      </c>
      <c r="K12" s="68">
        <f>(I12-_xll.ohFilter($I$6:$I$9,$J$6:$J$9))/(P12-_xll.ohFilter($P$6:$P$9,$J$6:$J$9))</f>
        <v>-1.3384024525980582E-6</v>
      </c>
      <c r="L12" s="68">
        <f>_xll.ohFilter($I$6:$I$9,$J$6:$J$9)-K12*_xll.ohFilter($P$6:$P$9,$J$6:$J$9)</f>
        <v>1.6037651799704054E-3</v>
      </c>
      <c r="M12" s="70"/>
      <c r="N12" s="71">
        <f t="shared" si="7"/>
        <v>31</v>
      </c>
      <c r="O12" s="71">
        <f t="shared" si="8"/>
        <v>122</v>
      </c>
      <c r="P12" s="70">
        <f t="shared" si="6"/>
        <v>153</v>
      </c>
      <c r="T12" s="72">
        <f t="shared" si="4"/>
        <v>6542.3333333333339</v>
      </c>
      <c r="U12" s="72">
        <f t="shared" si="5"/>
        <v>76.5</v>
      </c>
      <c r="V12" s="72">
        <v>1</v>
      </c>
      <c r="X12" s="72"/>
      <c r="Y12" s="72"/>
      <c r="Z12" s="72"/>
    </row>
    <row r="13" spans="1:48" x14ac:dyDescent="0.2">
      <c r="A13" s="36">
        <v>2</v>
      </c>
      <c r="B13" s="79" t="str">
        <f>_xll.qlMakeDatedOIS(,E13,F13,OvernightIndex,0,,,,EvaluationDate)</f>
        <v>obj_003be#0001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41927</v>
      </c>
      <c r="F13" s="66">
        <f>_xll.qlInterestRateIndexMaturity($A$8,E13)</f>
        <v>42019</v>
      </c>
      <c r="G13" s="74">
        <f>_xll.qlQuoteValue(D13,AllTriggers)</f>
        <v>1.8799999999999999E-3</v>
      </c>
      <c r="H13" s="68">
        <f>_xll.qlOvernightIndexedSwapFairRate(B13,_xll.ohTrigger(C13,InterestRatesTrigger))</f>
        <v>4.8306097056242654E-4</v>
      </c>
      <c r="I13" s="69">
        <f>G13-H13</f>
        <v>1.3969390294375733E-3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-6.7513599990512124E-7</v>
      </c>
      <c r="L13" s="68">
        <f>_xll.ohFilter($I$6:$I$9,$J$6:$J$9)-K13*_xll.ohFilter($P$6:$P$9,$J$6:$J$9)</f>
        <v>1.5414181334172693E-3</v>
      </c>
      <c r="M13" s="70"/>
      <c r="N13" s="71">
        <f t="shared" si="7"/>
        <v>61</v>
      </c>
      <c r="O13" s="71">
        <f t="shared" si="8"/>
        <v>153</v>
      </c>
      <c r="P13" s="70">
        <f t="shared" si="6"/>
        <v>214</v>
      </c>
      <c r="T13" s="72">
        <f t="shared" si="4"/>
        <v>12154.333333333334</v>
      </c>
      <c r="U13" s="72">
        <f t="shared" si="5"/>
        <v>107</v>
      </c>
      <c r="V13" s="72">
        <v>1</v>
      </c>
      <c r="X13" s="72"/>
      <c r="Y13" s="72"/>
      <c r="Z13" s="72"/>
    </row>
    <row r="14" spans="1:48" x14ac:dyDescent="0.2">
      <c r="A14" s="36">
        <v>3</v>
      </c>
      <c r="B14" s="79" t="str">
        <f>_xll.qlMakeDatedOIS(,E14,F14,OvernightIndex,0,,,,EvaluationDate)</f>
        <v>obj_003bd#0001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41960</v>
      </c>
      <c r="F14" s="66">
        <f>_xll.qlInterestRateIndexMaturity($A$8,E14)</f>
        <v>42052</v>
      </c>
      <c r="G14" s="74">
        <f>_xll.qlQuoteValue(D14,AllTriggers)</f>
        <v>1.8599999999999999E-3</v>
      </c>
      <c r="H14" s="68">
        <f>_xll.qlOvernightIndexedSwapFairRate(B14,_xll.ohTrigger(C14,InterestRatesTrigger))</f>
        <v>5.3197613612482081E-4</v>
      </c>
      <c r="I14" s="69">
        <f>G14-H14</f>
        <v>1.3280238638751791E-3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-8.0608325565058465E-7</v>
      </c>
      <c r="L14" s="68">
        <f>_xll.ohFilter($I$6:$I$9,$J$6:$J$9)-K14*_xll.ohFilter($P$6:$P$9,$J$6:$J$9)</f>
        <v>1.5537271754573429E-3</v>
      </c>
      <c r="M14" s="70"/>
      <c r="N14" s="71">
        <f t="shared" si="7"/>
        <v>94</v>
      </c>
      <c r="O14" s="71">
        <f t="shared" si="8"/>
        <v>186</v>
      </c>
      <c r="P14" s="70">
        <f t="shared" si="6"/>
        <v>280</v>
      </c>
      <c r="T14" s="72">
        <f t="shared" si="4"/>
        <v>20305.333333333336</v>
      </c>
      <c r="U14" s="72">
        <f t="shared" si="5"/>
        <v>140</v>
      </c>
      <c r="V14" s="72">
        <v>1</v>
      </c>
      <c r="X14" s="72"/>
      <c r="Y14" s="72"/>
      <c r="Z14" s="72"/>
    </row>
    <row r="15" spans="1:48" x14ac:dyDescent="0.2">
      <c r="A15" s="36">
        <v>6</v>
      </c>
      <c r="B15" s="43" t="str">
        <f>_xll.qlMakeDatedOIS(,E15,F15,OvernightIndex,0,,,,EvaluationDate)</f>
        <v>obj_003b6#0001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41866</v>
      </c>
      <c r="F15" s="47">
        <f>_xll.qlCalendarAdvance(Calendar,E15,A16,"mf")</f>
        <v>42051</v>
      </c>
      <c r="G15" s="48">
        <f>_xll.qlQuoteValue($D15,AllTriggers)</f>
        <v>3.0999999999999999E-3</v>
      </c>
      <c r="H15" s="49">
        <f>_xll.qlOvernightIndexedSwapFairRate(B15,_xll.ohTrigger(C15,InterestRatesTrigger))</f>
        <v>5.2124537933690329E-4</v>
      </c>
      <c r="I15" s="50">
        <f t="shared" si="1"/>
        <v>2.5787546206630964E-3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185</v>
      </c>
      <c r="P15" s="52">
        <f t="shared" si="6"/>
        <v>185</v>
      </c>
      <c r="Q15" s="51"/>
      <c r="R15" s="51"/>
      <c r="S15" s="51"/>
      <c r="T15" s="54">
        <f t="shared" si="4"/>
        <v>11408.333333333332</v>
      </c>
      <c r="U15" s="54">
        <f t="shared" si="5"/>
        <v>92.5</v>
      </c>
      <c r="V15" s="54">
        <v>1</v>
      </c>
    </row>
    <row r="16" spans="1:48" x14ac:dyDescent="0.2">
      <c r="A16" s="36" t="str">
        <f>_xll.qlPeriodEquivalent(A15&amp;"M")</f>
        <v>6M</v>
      </c>
      <c r="B16" s="55" t="str">
        <f>_xll.qlMakeDatedOIS(,E16,F16,OvernightIndex,0,,,,EvaluationDate)</f>
        <v>obj_00668#0001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41866</v>
      </c>
      <c r="F16" s="59">
        <f>_xll.qlInterestRateIndexMaturity(A17,E16)</f>
        <v>42051</v>
      </c>
      <c r="G16" s="60">
        <f>_xll.qlQuoteValue(D16,AllTriggers)</f>
        <v>2.99E-3</v>
      </c>
      <c r="H16" s="61">
        <f>_xll.qlOvernightIndexedSwapFairRate(B16,_xll.ohTrigger(C16,InterestRatesTrigger))</f>
        <v>5.2124537933690329E-4</v>
      </c>
      <c r="I16" s="62">
        <f t="shared" si="1"/>
        <v>2.4687546206630965E-3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0</v>
      </c>
      <c r="O16" s="53">
        <f t="shared" si="8"/>
        <v>185</v>
      </c>
      <c r="P16" s="52">
        <f t="shared" si="6"/>
        <v>185</v>
      </c>
      <c r="Q16" s="51"/>
      <c r="R16" s="51"/>
      <c r="S16" s="51"/>
      <c r="T16" s="54">
        <f t="shared" si="4"/>
        <v>11408.333333333332</v>
      </c>
      <c r="U16" s="54">
        <f t="shared" si="5"/>
        <v>92.5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-41866</v>
      </c>
      <c r="O17" s="53">
        <f t="shared" si="8"/>
        <v>-41866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-41866</v>
      </c>
      <c r="V17" s="54">
        <v>1</v>
      </c>
      <c r="AF17" s="36" t="s">
        <v>53</v>
      </c>
      <c r="AJ17" s="36" t="s">
        <v>54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-5.2303566048404374E-7</v>
      </c>
      <c r="L18" s="61">
        <f>_xll.ohFilter($I$15:$I$18,$J$15:$J$18)-K18*_xll.ohFilter($P$15:$P$18,$J$15:$J$18)</f>
        <v>2.5655162178526447E-3</v>
      </c>
      <c r="M18" s="52"/>
      <c r="N18" s="53">
        <f t="shared" si="7"/>
        <v>-41866</v>
      </c>
      <c r="O18" s="53">
        <f t="shared" si="8"/>
        <v>-41866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-41866</v>
      </c>
      <c r="V18" s="54">
        <v>1</v>
      </c>
      <c r="X18" s="81">
        <f t="array" ref="X18:X20">_xll.ohFilter(T15:T24,$J15:$J24)</f>
        <v>11408.333333333332</v>
      </c>
      <c r="Y18" s="84">
        <f t="array" ref="Y18:Y20">_xll.ohFilter(U15:U24,$J15:$J24)</f>
        <v>92.5</v>
      </c>
      <c r="Z18" s="87">
        <f t="array" ref="Z18:Z20">_xll.ohFilter(V15:V24,$J15:$J24)</f>
        <v>1</v>
      </c>
      <c r="AB18" s="90">
        <f t="array" ref="AB18:AB20">MMULT(AF18:AH20,AD18:AD20)</f>
        <v>4.6029111525174721E-8</v>
      </c>
      <c r="AD18" s="90">
        <f t="array" ref="AD18:AD20">_xll.ohFilter(I15:I24,$J15:$J24)</f>
        <v>2.4687546206630965E-3</v>
      </c>
      <c r="AF18" s="93">
        <f t="array" ref="AF18:AH20">MINVERSE(X18:Z20)</f>
        <v>5.4141851651326369E-4</v>
      </c>
      <c r="AG18" s="94">
        <v>-1.0738133910846398E-3</v>
      </c>
      <c r="AH18" s="95">
        <v>5.3239487457137588E-4</v>
      </c>
      <c r="AJ18" s="102">
        <f t="array" ref="AJ18:AJ20">MMULT(X18:Z20,AB18:AB20)-AD18:AD20</f>
        <v>1.3010426069826053E-18</v>
      </c>
    </row>
    <row r="19" spans="1:36" x14ac:dyDescent="0.2">
      <c r="A19" s="36">
        <v>1</v>
      </c>
      <c r="B19" s="79" t="str">
        <f>_xll.qlMakeDatedOIS(,E19,F19,OvernightIndex,0,,,,EvaluationDate)</f>
        <v>obj_003c2#0001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41897</v>
      </c>
      <c r="F19" s="66">
        <f>_xll.qlInterestRateIndexMaturity($A$17,E19)</f>
        <v>42079</v>
      </c>
      <c r="G19" s="67">
        <f>_xll.qlQuoteValue(D19,AllTriggers)</f>
        <v>2.9300000000000003E-3</v>
      </c>
      <c r="H19" s="68">
        <f>_xll.qlOvernightIndexedSwapFairRate(B19,_xll.ohTrigger(C19,InterestRatesTrigger))</f>
        <v>5.2620898370263575E-4</v>
      </c>
      <c r="I19" s="69">
        <f t="shared" si="1"/>
        <v>2.4037910162973647E-3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-1.1010780400971501E-6</v>
      </c>
      <c r="L19" s="68">
        <f>_xll.ohFilter($I$15:$I$18,$J$15:$J$18)-K19*_xll.ohFilter($P$15:$P$18,$J$15:$J$18)</f>
        <v>2.6724540580810694E-3</v>
      </c>
      <c r="M19" s="70"/>
      <c r="N19" s="71">
        <f t="shared" ref="N19:N27" si="11">E19-SettlementDate</f>
        <v>31</v>
      </c>
      <c r="O19" s="71">
        <f t="shared" ref="O19:O27" si="12">F19-SettlementDate</f>
        <v>213</v>
      </c>
      <c r="P19" s="70">
        <f t="shared" si="6"/>
        <v>244</v>
      </c>
      <c r="T19" s="72">
        <f t="shared" si="4"/>
        <v>17644.333333333332</v>
      </c>
      <c r="U19" s="72">
        <f t="shared" si="5"/>
        <v>122</v>
      </c>
      <c r="V19" s="72">
        <v>1</v>
      </c>
      <c r="X19" s="82">
        <v>17644.333333333332</v>
      </c>
      <c r="Y19" s="85">
        <v>122</v>
      </c>
      <c r="Z19" s="88">
        <v>1</v>
      </c>
      <c r="AA19" s="41" t="s">
        <v>55</v>
      </c>
      <c r="AB19" s="91">
        <v>-1.1932242163956673E-5</v>
      </c>
      <c r="AC19" s="41" t="s">
        <v>56</v>
      </c>
      <c r="AD19" s="91">
        <v>2.4037910162973647E-3</v>
      </c>
      <c r="AF19" s="96">
        <v>-0.14834867352463432</v>
      </c>
      <c r="AG19" s="97">
        <v>0.2608915358238581</v>
      </c>
      <c r="AH19" s="98">
        <v>-0.11254286229922374</v>
      </c>
      <c r="AJ19" s="103">
        <v>4.3368086899420177E-19</v>
      </c>
    </row>
    <row r="20" spans="1:36" x14ac:dyDescent="0.2">
      <c r="A20" s="36">
        <v>2</v>
      </c>
      <c r="B20" s="79" t="str">
        <f>_xll.qlMakeDatedOIS(,E20,F20,OvernightIndex,0,,,,EvaluationDate)</f>
        <v>obj_003b9#0001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41927</v>
      </c>
      <c r="F20" s="66">
        <f>_xll.qlInterestRateIndexMaturity($A$17,E20)</f>
        <v>42109</v>
      </c>
      <c r="G20" s="67">
        <f>_xll.qlQuoteValue(D20,AllTriggers)</f>
        <v>2.9200000000000003E-3</v>
      </c>
      <c r="H20" s="68">
        <f>_xll.qlOvernightIndexedSwapFairRate(B20,_xll.ohTrigger(C20,InterestRatesTrigger))</f>
        <v>4.9581695188439785E-4</v>
      </c>
      <c r="I20" s="69">
        <f t="shared" si="1"/>
        <v>2.4241830481156025E-3</v>
      </c>
      <c r="J20" s="36" t="b">
        <f t="shared" si="10"/>
        <v>1</v>
      </c>
      <c r="K20" s="68">
        <f>(I20-_xll.ohFilter($I$15:$I$18,$J$15:$J$18))/(P20-_xll.ohFilter($P$15:$P$18,$J$15:$J$18))</f>
        <v>-3.745510298108738E-7</v>
      </c>
      <c r="L20" s="68">
        <f>_xll.ohFilter($I$15:$I$18,$J$15:$J$18)-K20*_xll.ohFilter($P$15:$P$18,$J$15:$J$18)</f>
        <v>2.5380465611781083E-3</v>
      </c>
      <c r="M20" s="70"/>
      <c r="N20" s="71">
        <f t="shared" si="11"/>
        <v>61</v>
      </c>
      <c r="O20" s="71">
        <f t="shared" si="12"/>
        <v>243</v>
      </c>
      <c r="P20" s="70">
        <f t="shared" si="6"/>
        <v>304</v>
      </c>
      <c r="T20" s="72">
        <f t="shared" si="4"/>
        <v>25864.333333333336</v>
      </c>
      <c r="U20" s="72">
        <f t="shared" si="5"/>
        <v>152</v>
      </c>
      <c r="V20" s="72">
        <v>1</v>
      </c>
      <c r="X20" s="83">
        <v>25864.333333333336</v>
      </c>
      <c r="Y20" s="86">
        <v>152</v>
      </c>
      <c r="Z20" s="89">
        <v>1</v>
      </c>
      <c r="AB20" s="92">
        <v>3.0473715735127218E-3</v>
      </c>
      <c r="AD20" s="92">
        <v>2.4241830481156025E-3</v>
      </c>
      <c r="AF20" s="99">
        <v>8.5455693918065254</v>
      </c>
      <c r="AG20" s="100">
        <v>-11.882045960416276</v>
      </c>
      <c r="AH20" s="101">
        <v>4.3364765686097497</v>
      </c>
      <c r="AJ20" s="104">
        <v>-8.6736173798840355E-19</v>
      </c>
    </row>
    <row r="21" spans="1:36" x14ac:dyDescent="0.2">
      <c r="A21" s="36">
        <v>3</v>
      </c>
      <c r="B21" s="79" t="str">
        <f>_xll.qlMakeDatedOIS(,E21,F21,OvernightIndex,0,,,,EvaluationDate)</f>
        <v>obj_003b7#0001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41960</v>
      </c>
      <c r="F21" s="66">
        <f>_xll.qlInterestRateIndexMaturity($A$17,E21)</f>
        <v>42142</v>
      </c>
      <c r="G21" s="67">
        <f>_xll.qlQuoteValue(D21,AllTriggers)</f>
        <v>2.9100000000000003E-3</v>
      </c>
      <c r="H21" s="68">
        <f>_xll.qlOvernightIndexedSwapFairRate(B21,_xll.ohTrigger(C21,InterestRatesTrigger))</f>
        <v>4.5853879297256346E-4</v>
      </c>
      <c r="I21" s="69">
        <f t="shared" si="1"/>
        <v>2.4514612070274367E-3</v>
      </c>
      <c r="J21" s="36" t="b">
        <f t="shared" si="10"/>
        <v>1</v>
      </c>
      <c r="K21" s="68">
        <f>(I21-_xll.ohFilter($I$15:$I$18,$J$15:$J$18))/(P21-_xll.ohFilter($P$15:$P$18,$J$15:$J$18))</f>
        <v>-9.3477911544107211E-8</v>
      </c>
      <c r="L21" s="68">
        <f>_xll.ohFilter($I$15:$I$18,$J$15:$J$18)-K21*_xll.ohFilter($P$15:$P$18,$J$15:$J$18)</f>
        <v>2.4860480342987564E-3</v>
      </c>
      <c r="M21" s="70"/>
      <c r="N21" s="71">
        <f t="shared" si="11"/>
        <v>94</v>
      </c>
      <c r="O21" s="71">
        <f t="shared" si="12"/>
        <v>276</v>
      </c>
      <c r="P21" s="70">
        <f t="shared" si="6"/>
        <v>370</v>
      </c>
      <c r="T21" s="72">
        <f t="shared" si="4"/>
        <v>36985.333333333336</v>
      </c>
      <c r="U21" s="72">
        <f t="shared" si="5"/>
        <v>185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obj_003b5#0001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41988</v>
      </c>
      <c r="F22" s="66">
        <f>_xll.qlInterestRateIndexMaturity($A$17,E22)</f>
        <v>42170</v>
      </c>
      <c r="G22" s="67">
        <f>_xll.qlQuoteValue(D22,AllTriggers)</f>
        <v>2.8900000000000002E-3</v>
      </c>
      <c r="H22" s="68">
        <f>_xll.qlOvernightIndexedSwapFairRate(B22,_xll.ohTrigger(C22,InterestRatesTrigger))</f>
        <v>4.0567551764792483E-4</v>
      </c>
      <c r="I22" s="69">
        <f t="shared" si="1"/>
        <v>2.4843244823520754E-3</v>
      </c>
      <c r="J22" s="36" t="b">
        <f t="shared" si="10"/>
        <v>1</v>
      </c>
      <c r="K22" s="68">
        <f>(I22-_xll.ohFilter($I$15:$I$18,$J$15:$J$18))/(P22-_xll.ohFilter($P$15:$P$18,$J$15:$J$18))</f>
        <v>6.4605235223978627E-8</v>
      </c>
      <c r="L22" s="68">
        <f>_xll.ohFilter($I$15:$I$18,$J$15:$J$18)-K22*_xll.ohFilter($P$15:$P$18,$J$15:$J$18)</f>
        <v>2.4568026521466606E-3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obj_003bf#0001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42019</v>
      </c>
      <c r="F23" s="66">
        <f>_xll.qlInterestRateIndexMaturity($A$17,E23)</f>
        <v>42200</v>
      </c>
      <c r="G23" s="67">
        <f>_xll.qlQuoteValue(D23,AllTriggers)</f>
        <v>2.8600000000000001E-3</v>
      </c>
      <c r="H23" s="68">
        <f>_xll.qlOvernightIndexedSwapFairRate(B23,_xll.ohTrigger(C23,InterestRatesTrigger))</f>
        <v>3.6336581168900213E-4</v>
      </c>
      <c r="I23" s="69">
        <f t="shared" si="1"/>
        <v>2.4966341883109981E-3</v>
      </c>
      <c r="J23" s="36" t="b">
        <f t="shared" si="10"/>
        <v>1</v>
      </c>
      <c r="K23" s="68">
        <f>(I23-_xll.ohFilter($I$15:$I$18,$J$15:$J$18))/(P23-_xll.ohFilter($P$15:$P$18,$J$15:$J$18))</f>
        <v>9.2316449165236837E-8</v>
      </c>
      <c r="L23" s="68">
        <f>_xll.ohFilter($I$15:$I$18,$J$15:$J$18)-K23*_xll.ohFilter($P$15:$P$18,$J$15:$J$18)</f>
        <v>2.4516760775675278E-3</v>
      </c>
      <c r="M23" s="70"/>
      <c r="N23" s="71">
        <f t="shared" si="11"/>
        <v>153</v>
      </c>
      <c r="O23" s="71">
        <f t="shared" si="12"/>
        <v>334</v>
      </c>
      <c r="P23" s="70">
        <f t="shared" si="6"/>
        <v>487</v>
      </c>
      <c r="T23" s="72">
        <f t="shared" si="4"/>
        <v>62022.333333333336</v>
      </c>
      <c r="U23" s="72">
        <f t="shared" si="5"/>
        <v>243.5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obj_003c1#0001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42051</v>
      </c>
      <c r="F24" s="66">
        <f>_xll.qlInterestRateIndexMaturity($A$17,E24)</f>
        <v>42233</v>
      </c>
      <c r="G24" s="67">
        <f>_xll.qlQuoteValue(D24,AllTriggers)</f>
        <v>2.8500000000000001E-3</v>
      </c>
      <c r="H24" s="68">
        <f>_xll.qlOvernightIndexedSwapFairRate(B24,_xll.ohTrigger(C24,InterestRatesTrigger))</f>
        <v>2.9684139302818882E-4</v>
      </c>
      <c r="I24" s="69">
        <f t="shared" si="1"/>
        <v>2.5531586069718112E-3</v>
      </c>
      <c r="J24" s="36" t="b">
        <f t="shared" si="10"/>
        <v>1</v>
      </c>
      <c r="K24" s="68">
        <f>(I24-_xll.ohFilter($I$15:$I$18,$J$15:$J$18))/(P24-_xll.ohFilter($P$15:$P$18,$J$15:$J$18))</f>
        <v>2.2998361392020339E-7</v>
      </c>
      <c r="L24" s="68">
        <f>_xll.ohFilter($I$15:$I$18,$J$15:$J$18)-K24*_xll.ohFilter($P$15:$P$18,$J$15:$J$18)</f>
        <v>2.4262076520878591E-3</v>
      </c>
      <c r="M24" s="70"/>
      <c r="N24" s="71">
        <f t="shared" si="11"/>
        <v>185</v>
      </c>
      <c r="O24" s="71">
        <f t="shared" si="12"/>
        <v>367</v>
      </c>
      <c r="P24" s="70">
        <f t="shared" si="6"/>
        <v>552</v>
      </c>
      <c r="T24" s="72">
        <f t="shared" si="4"/>
        <v>78936.333333333328</v>
      </c>
      <c r="U24" s="72">
        <f t="shared" si="5"/>
        <v>276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obj_003bc#0001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41866</v>
      </c>
      <c r="F25" s="47">
        <f>_xll.qlCalendarAdvance(Calendar,E25,A26,"mf")</f>
        <v>42233</v>
      </c>
      <c r="G25" s="48">
        <f>_xll.qlQuoteValue($D25,AllTriggers)</f>
        <v>4.8999999999999998E-3</v>
      </c>
      <c r="H25" s="49">
        <f>_xll.qlOvernightIndexedSwapFairRate(B25,_xll.ohTrigger(C25,InterestRatesTrigger))</f>
        <v>4.0999999999995256E-4</v>
      </c>
      <c r="I25" s="50">
        <f t="shared" si="1"/>
        <v>4.4900000000000469E-3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367</v>
      </c>
      <c r="P25" s="52">
        <f t="shared" si="6"/>
        <v>367</v>
      </c>
      <c r="Q25" s="51"/>
      <c r="R25" s="51"/>
      <c r="S25" s="51"/>
      <c r="T25" s="54">
        <f t="shared" si="4"/>
        <v>44896.333333333336</v>
      </c>
      <c r="U25" s="54">
        <f t="shared" si="5"/>
        <v>183.5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obj_00669#0001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41866</v>
      </c>
      <c r="F26" s="59">
        <f>_xll.qlInterestRateIndexMaturity(A27,E26)</f>
        <v>42233</v>
      </c>
      <c r="G26" s="60">
        <f>_xll.qlQuoteValue(D26,AllTriggers)</f>
        <v>4.79E-3</v>
      </c>
      <c r="H26" s="61">
        <f>_xll.qlOvernightIndexedSwapFairRate(B26,_xll.ohTrigger(C26,InterestRatesTrigger))</f>
        <v>4.0999999999995256E-4</v>
      </c>
      <c r="I26" s="62">
        <f t="shared" si="1"/>
        <v>4.3800000000000471E-3</v>
      </c>
      <c r="J26" s="51" t="b">
        <f>NOT(ISERROR(I26))</f>
        <v>1</v>
      </c>
      <c r="K26" s="63">
        <f>K27</f>
        <v>2.0874040821097833E-7</v>
      </c>
      <c r="L26" s="61">
        <f>_xll.ohFilter($I$25:$I$26,$J$25:$J$26)-K26*_xll.ohFilter($P$25:$P$26,$J$25:$J$26)</f>
        <v>4.3033922701866184E-3</v>
      </c>
      <c r="M26" s="52"/>
      <c r="N26" s="53">
        <f t="shared" si="11"/>
        <v>0</v>
      </c>
      <c r="O26" s="53">
        <f t="shared" si="12"/>
        <v>367</v>
      </c>
      <c r="P26" s="52">
        <f t="shared" si="6"/>
        <v>367</v>
      </c>
      <c r="Q26" s="51"/>
      <c r="R26" s="51"/>
      <c r="S26" s="51"/>
      <c r="T26" s="54">
        <f t="shared" si="4"/>
        <v>44896.333333333336</v>
      </c>
      <c r="U26" s="54">
        <f t="shared" si="5"/>
        <v>183.5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obj_003ba#0001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42233</v>
      </c>
      <c r="F27" s="66">
        <f>_xll.qlInterestRateIndexMaturity(A27,E27)</f>
        <v>42599</v>
      </c>
      <c r="G27" s="67">
        <f>_xll.qlQuoteValue(D27,AllTriggers)</f>
        <v>5.0099999999999997E-3</v>
      </c>
      <c r="H27" s="68">
        <f>_xll.qlOvernightIndexedSwapFairRate(B27,_xll.ohTrigger(C27,InterestRatesTrigger))</f>
        <v>4.7699328078130553E-4</v>
      </c>
      <c r="I27" s="69">
        <f t="shared" si="1"/>
        <v>4.5330067192186942E-3</v>
      </c>
      <c r="J27" s="36" t="b">
        <f>NOT(ISERROR(I27))</f>
        <v>1</v>
      </c>
      <c r="K27" s="68">
        <f>(I27-_xll.ohFilter($I$25:$I$26,$J$25:$J$26))/(P27-_xll.ohFilter($P$25:$P$26,$J$25:$J$26))</f>
        <v>2.0874040821097833E-7</v>
      </c>
      <c r="L27" s="68">
        <f>_xll.ohFilter($I$25:$I$26,$J$25:$J$26)-K27*_xll.ohFilter($P$25:$P$26,$J$25:$J$26)</f>
        <v>4.3033922701866184E-3</v>
      </c>
      <c r="M27" s="70"/>
      <c r="N27" s="71">
        <f t="shared" si="11"/>
        <v>367</v>
      </c>
      <c r="O27" s="71">
        <f t="shared" si="12"/>
        <v>733</v>
      </c>
      <c r="P27" s="70">
        <f t="shared" si="6"/>
        <v>1100</v>
      </c>
      <c r="T27" s="72">
        <f t="shared" si="4"/>
        <v>313663</v>
      </c>
      <c r="U27" s="72">
        <f t="shared" si="5"/>
        <v>550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57</v>
      </c>
      <c r="H29" s="41" t="s">
        <v>57</v>
      </c>
      <c r="I29" s="41" t="s">
        <v>57</v>
      </c>
      <c r="J29" s="41" t="s">
        <v>57</v>
      </c>
      <c r="AC29" s="36" t="s">
        <v>57</v>
      </c>
      <c r="AD29" s="36" t="s">
        <v>142</v>
      </c>
      <c r="AE29" s="36" t="s">
        <v>143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58</v>
      </c>
      <c r="O30" s="41" t="b">
        <v>0</v>
      </c>
      <c r="P30" s="41" t="b">
        <v>1</v>
      </c>
      <c r="S30" s="111" t="s">
        <v>58</v>
      </c>
      <c r="T30" s="112">
        <f>AB9</f>
        <v>7.8151336857670223E-8</v>
      </c>
      <c r="U30" s="113">
        <f>AB18</f>
        <v>4.6029111525174721E-8</v>
      </c>
      <c r="AB30" s="378">
        <f>SettlementDate</f>
        <v>41866</v>
      </c>
      <c r="AC30" s="105">
        <f>$H$32</f>
        <v>1.4779553494261878E-3</v>
      </c>
      <c r="AD30" s="105">
        <f t="shared" ref="AD30:AD61" si="13">$O$32+$O$31*(AB30-SettlementDate)</f>
        <v>1.6922973657627482E-3</v>
      </c>
      <c r="AE30" s="105">
        <f t="shared" ref="AE30:AE61" si="14">$T$32+$T$31*(AB30-SettlementDate)+$T$30*(AB30-SettlementDate)^2</f>
        <v>1.8556561438108474E-3</v>
      </c>
    </row>
    <row r="31" spans="1:36" x14ac:dyDescent="0.2">
      <c r="D31" s="36">
        <v>4</v>
      </c>
      <c r="E31" s="42"/>
      <c r="F31" s="42" t="s">
        <v>59</v>
      </c>
      <c r="G31" s="114">
        <f>_xll.ohFilter(I2:I3,J2:J3)</f>
        <v>3.400000028286463E-4</v>
      </c>
      <c r="H31" s="115">
        <f>_xll.ohFilter(I6:I9,J6:J9)</f>
        <v>1.4779553494261878E-3</v>
      </c>
      <c r="I31" s="115">
        <f>_xll.ohFilter(I15:I18,J15:J18)</f>
        <v>2.4687546206630965E-3</v>
      </c>
      <c r="J31" s="116">
        <f>_xll.ohFilter(I25:I26,J25:J26)</f>
        <v>4.3800000000000471E-3</v>
      </c>
      <c r="M31" s="41" t="s">
        <v>46</v>
      </c>
      <c r="N31" s="105">
        <f>K4</f>
        <v>-5.8033567380092449E-7</v>
      </c>
      <c r="O31" s="105">
        <f>K9</f>
        <v>-2.2802342163463867E-6</v>
      </c>
      <c r="P31" s="105">
        <f>AVERAGE(K19:K21)</f>
        <v>-5.2303566048404374E-7</v>
      </c>
      <c r="Q31" s="105">
        <f>K26</f>
        <v>2.0874040821097833E-7</v>
      </c>
      <c r="R31" s="105"/>
      <c r="S31" s="117" t="s">
        <v>46</v>
      </c>
      <c r="T31" s="118">
        <f>AB10</f>
        <v>-1.2933670890981312E-5</v>
      </c>
      <c r="U31" s="69">
        <f>AB19</f>
        <v>-1.1932242163956673E-5</v>
      </c>
      <c r="AB31" s="378">
        <f>_xll.qlCalendarAdvance(Calendar,AB30,"1d","mf")</f>
        <v>41869</v>
      </c>
      <c r="AC31" s="105">
        <f t="shared" ref="AC31:AC94" si="15">$H$32</f>
        <v>1.4779553494261878E-3</v>
      </c>
      <c r="AD31" s="105">
        <f t="shared" si="13"/>
        <v>1.685456663113709E-3</v>
      </c>
      <c r="AE31" s="105">
        <f t="shared" si="14"/>
        <v>1.8175584931696225E-3</v>
      </c>
    </row>
    <row r="32" spans="1:36" x14ac:dyDescent="0.2">
      <c r="E32" s="42"/>
      <c r="F32" s="42" t="s">
        <v>60</v>
      </c>
      <c r="G32" s="114">
        <f>IF(G31&lt;H31,G31,H31)</f>
        <v>3.400000028286463E-4</v>
      </c>
      <c r="H32" s="115">
        <f>H31</f>
        <v>1.4779553494261878E-3</v>
      </c>
      <c r="I32" s="115">
        <f>IF(I31&lt;H31,H31,I31)</f>
        <v>2.4687546206630965E-3</v>
      </c>
      <c r="J32" s="116">
        <f>IF(J31&lt;I31,I31,J31)</f>
        <v>4.3800000000000471E-3</v>
      </c>
      <c r="M32" s="41" t="s">
        <v>47</v>
      </c>
      <c r="N32" s="105">
        <f>L4</f>
        <v>3.5799040871647498E-4</v>
      </c>
      <c r="O32" s="105">
        <f>L9</f>
        <v>1.6922973657627482E-3</v>
      </c>
      <c r="P32" s="105">
        <f>L18</f>
        <v>2.5655162178526447E-3</v>
      </c>
      <c r="Q32" s="105">
        <f>L26</f>
        <v>4.3033922701866184E-3</v>
      </c>
      <c r="R32" s="105"/>
      <c r="S32" s="117" t="s">
        <v>47</v>
      </c>
      <c r="T32" s="118">
        <f>AB11</f>
        <v>1.8556561438108474E-3</v>
      </c>
      <c r="U32" s="69">
        <f>AB20</f>
        <v>3.0473715735127218E-3</v>
      </c>
      <c r="AB32" s="378">
        <f>_xll.qlCalendarAdvance(Calendar,AB31,"1d","mf")</f>
        <v>41870</v>
      </c>
      <c r="AC32" s="105">
        <f t="shared" si="15"/>
        <v>1.4779553494261878E-3</v>
      </c>
      <c r="AD32" s="105">
        <f t="shared" si="13"/>
        <v>1.6831764288973627E-3</v>
      </c>
      <c r="AE32" s="105">
        <f t="shared" si="14"/>
        <v>1.8051718816366449E-3</v>
      </c>
    </row>
    <row r="33" spans="2:31" x14ac:dyDescent="0.2">
      <c r="B33" s="37" t="s">
        <v>39</v>
      </c>
      <c r="C33" s="38"/>
      <c r="D33" s="37" t="s">
        <v>40</v>
      </c>
      <c r="E33" s="38" t="s">
        <v>41</v>
      </c>
      <c r="F33" s="39" t="s">
        <v>42</v>
      </c>
      <c r="G33" s="37" t="s">
        <v>61</v>
      </c>
      <c r="H33" s="38" t="s">
        <v>62</v>
      </c>
      <c r="I33" s="38" t="s">
        <v>63</v>
      </c>
      <c r="J33" s="40" t="s">
        <v>31</v>
      </c>
      <c r="K33" s="37" t="s">
        <v>64</v>
      </c>
      <c r="L33" s="40" t="s">
        <v>44</v>
      </c>
      <c r="N33" s="37" t="s">
        <v>61</v>
      </c>
      <c r="O33" s="38" t="s">
        <v>62</v>
      </c>
      <c r="P33" s="38" t="s">
        <v>63</v>
      </c>
      <c r="Q33" s="40" t="s">
        <v>31</v>
      </c>
      <c r="R33" s="38"/>
      <c r="S33" s="119"/>
      <c r="T33" s="38" t="s">
        <v>62</v>
      </c>
      <c r="U33" s="40" t="s">
        <v>63</v>
      </c>
      <c r="AB33" s="378">
        <f>_xll.qlCalendarAdvance(Calendar,AB32,"1d","mf")</f>
        <v>41871</v>
      </c>
      <c r="AC33" s="105">
        <f t="shared" si="15"/>
        <v>1.4779553494261878E-3</v>
      </c>
      <c r="AD33" s="105">
        <f t="shared" si="13"/>
        <v>1.6808961946810162E-3</v>
      </c>
      <c r="AE33" s="105">
        <f t="shared" si="14"/>
        <v>1.7929415727773825E-3</v>
      </c>
    </row>
    <row r="34" spans="2:31" x14ac:dyDescent="0.2">
      <c r="B34" s="43" t="str">
        <f>_xll.qlMakeDatedOIS(,E34,F34,OvernightIndex,0,,,,EvaluationDate)</f>
        <v>obj_00398#0001</v>
      </c>
      <c r="C34" s="106" t="b">
        <f>_xll.qlInstrumentSetPricingEngine(B34,OisEngine)</f>
        <v>1</v>
      </c>
      <c r="D34" s="120" t="s">
        <v>65</v>
      </c>
      <c r="E34" s="121">
        <f t="shared" ref="E34:E49" si="16">SettlementDate</f>
        <v>41866</v>
      </c>
      <c r="F34" s="122">
        <f>_xll.qlCalendarAdvance(Calendar,SettlementDate,D34,"Following")</f>
        <v>41869</v>
      </c>
      <c r="G34" s="123">
        <f t="shared" ref="G34:J49" si="17">$L34+IF(G$30,G$32,N34)</f>
        <v>7.562493980206341E-4</v>
      </c>
      <c r="H34" s="123">
        <f t="shared" si="17"/>
        <v>2.0854566594392708E-3</v>
      </c>
      <c r="I34" s="123">
        <f t="shared" si="17"/>
        <v>3.429611293926924E-3</v>
      </c>
      <c r="J34" s="123">
        <f t="shared" si="17"/>
        <v>4.7040184877368135E-3</v>
      </c>
      <c r="K34" s="272">
        <f t="shared" ref="K34:K49" si="18">F34-SettlementDate</f>
        <v>3</v>
      </c>
      <c r="L34" s="125">
        <f>_xll.qlOvernightIndexedSwapFairRate(B34,_xll.ohTrigger(C34,InterestRatesTrigger))</f>
        <v>3.9999999632556182E-4</v>
      </c>
      <c r="N34" s="126">
        <f>N$31*$K34+N$32</f>
        <v>3.5624940169507222E-4</v>
      </c>
      <c r="O34" s="118">
        <f t="shared" ref="O34:P40" si="19">IF(O$30,T34,O$31*$K34+O$32)</f>
        <v>1.685456663113709E-3</v>
      </c>
      <c r="P34" s="118">
        <f t="shared" si="19"/>
        <v>3.0296112976013622E-3</v>
      </c>
      <c r="Q34" s="69">
        <f t="shared" ref="Q34:Q49" si="20">Q$31*$K34+Q$32</f>
        <v>4.3040184914112517E-3</v>
      </c>
      <c r="R34" s="118"/>
      <c r="S34" s="127" t="s">
        <v>65</v>
      </c>
      <c r="T34" s="118">
        <f t="shared" ref="T34:U40" si="21">$K34*$K34/3*T$30+$K34/2*T$31+T$32</f>
        <v>1.8364900914849484E-3</v>
      </c>
      <c r="U34" s="69">
        <f t="shared" si="21"/>
        <v>3.0296112976013622E-3</v>
      </c>
      <c r="AB34" s="378">
        <f>_xll.qlCalendarAdvance(Calendar,AB33,"1d","mf")</f>
        <v>41872</v>
      </c>
      <c r="AC34" s="105">
        <f t="shared" si="15"/>
        <v>1.4779553494261878E-3</v>
      </c>
      <c r="AD34" s="105">
        <f t="shared" si="13"/>
        <v>1.6786159604646699E-3</v>
      </c>
      <c r="AE34" s="105">
        <f t="shared" si="14"/>
        <v>1.7808675665918355E-3</v>
      </c>
    </row>
    <row r="35" spans="2:31" x14ac:dyDescent="0.2">
      <c r="B35" s="79" t="str">
        <f>_xll.qlMakeDatedOIS(,E35,F35,OvernightIndex,0,,,,EvaluationDate)</f>
        <v>obj_00392#0001</v>
      </c>
      <c r="C35" s="70" t="b">
        <f>_xll.qlInstrumentSetPricingEngine(B35,OisEngine)</f>
        <v>1</v>
      </c>
      <c r="D35" s="128" t="s">
        <v>66</v>
      </c>
      <c r="E35" s="65">
        <f t="shared" si="16"/>
        <v>41866</v>
      </c>
      <c r="F35" s="129">
        <f>_xll.qlCalendarAdvance(Calendar,SettlementDate,D35,"Following")</f>
        <v>41873</v>
      </c>
      <c r="G35" s="123">
        <f t="shared" si="17"/>
        <v>7.139280586619277E-4</v>
      </c>
      <c r="H35" s="123">
        <f t="shared" si="17"/>
        <v>2.0363357259103824E-3</v>
      </c>
      <c r="I35" s="123">
        <f t="shared" si="17"/>
        <v>3.3663605344225103E-3</v>
      </c>
      <c r="J35" s="123">
        <f t="shared" si="17"/>
        <v>4.6648534527061547E-3</v>
      </c>
      <c r="K35" s="130">
        <f t="shared" si="18"/>
        <v>7</v>
      </c>
      <c r="L35" s="131">
        <f>_xll.qlOvernightIndexedSwapFairRate(B35,_xll.ohTrigger(C35,InterestRatesTrigger))</f>
        <v>3.5999999966205914E-4</v>
      </c>
      <c r="N35" s="126">
        <f>N$31*$K35+N$32</f>
        <v>3.5392805899986851E-4</v>
      </c>
      <c r="O35" s="118">
        <f t="shared" si="19"/>
        <v>1.6763357262483233E-3</v>
      </c>
      <c r="P35" s="118">
        <f t="shared" si="19"/>
        <v>3.0063605347604512E-3</v>
      </c>
      <c r="Q35" s="69">
        <f t="shared" si="20"/>
        <v>4.3048534530440953E-3</v>
      </c>
      <c r="R35" s="118"/>
      <c r="S35" s="132" t="s">
        <v>66</v>
      </c>
      <c r="T35" s="118">
        <f t="shared" si="21"/>
        <v>1.8116647675277546E-3</v>
      </c>
      <c r="U35" s="69">
        <f t="shared" si="21"/>
        <v>3.0063605347604512E-3</v>
      </c>
      <c r="AB35" s="378">
        <f>_xll.qlCalendarAdvance(Calendar,AB34,"1d","mf")</f>
        <v>41873</v>
      </c>
      <c r="AC35" s="105">
        <f t="shared" si="15"/>
        <v>1.4779553494261878E-3</v>
      </c>
      <c r="AD35" s="105">
        <f t="shared" si="13"/>
        <v>1.6763357262483233E-3</v>
      </c>
      <c r="AE35" s="105">
        <f t="shared" si="14"/>
        <v>1.7689498630800039E-3</v>
      </c>
    </row>
    <row r="36" spans="2:31" x14ac:dyDescent="0.2">
      <c r="B36" s="79" t="str">
        <f>_xll.qlMakeDatedOIS(,E36,F36,OvernightIndex,0,,,,EvaluationDate)</f>
        <v>obj_0039a#0001</v>
      </c>
      <c r="C36" s="70" t="b">
        <f>_xll.qlInstrumentSetPricingEngine(B36,OisEngine)</f>
        <v>1</v>
      </c>
      <c r="D36" s="128" t="s">
        <v>67</v>
      </c>
      <c r="E36" s="65">
        <f t="shared" si="16"/>
        <v>41866</v>
      </c>
      <c r="F36" s="129">
        <f>_xll.qlCalendarAdvance(Calendar,SettlementDate,D36,"Following")</f>
        <v>41880</v>
      </c>
      <c r="G36" s="123">
        <f t="shared" si="17"/>
        <v>7.1986570928168924E-4</v>
      </c>
      <c r="H36" s="123">
        <f t="shared" si="17"/>
        <v>2.0303740867323259E-3</v>
      </c>
      <c r="I36" s="123">
        <f t="shared" si="17"/>
        <v>3.3368531136497635E-3</v>
      </c>
      <c r="J36" s="123">
        <f t="shared" si="17"/>
        <v>4.6763146358999993E-3</v>
      </c>
      <c r="K36" s="130">
        <f t="shared" si="18"/>
        <v>14</v>
      </c>
      <c r="L36" s="131">
        <f>_xll.qlOvernightIndexedSwapFairRate(B36,_xll.ohTrigger(C36,InterestRatesTrigger))</f>
        <v>3.699999999984272E-4</v>
      </c>
      <c r="N36" s="126">
        <f>N$31*$K36+N$32</f>
        <v>3.4986570928326205E-4</v>
      </c>
      <c r="O36" s="118">
        <f t="shared" si="19"/>
        <v>1.6603740867338988E-3</v>
      </c>
      <c r="P36" s="118">
        <f t="shared" si="19"/>
        <v>2.9668531136513364E-3</v>
      </c>
      <c r="Q36" s="69">
        <f t="shared" si="20"/>
        <v>4.3063146359015722E-3</v>
      </c>
      <c r="R36" s="118"/>
      <c r="S36" s="132" t="s">
        <v>67</v>
      </c>
      <c r="T36" s="118">
        <f t="shared" si="21"/>
        <v>1.7702263349153461E-3</v>
      </c>
      <c r="U36" s="69">
        <f t="shared" si="21"/>
        <v>2.9668531136513364E-3</v>
      </c>
      <c r="AB36" s="378">
        <f>_xll.qlCalendarAdvance(Calendar,AB35,"1d","mf")</f>
        <v>41876</v>
      </c>
      <c r="AC36" s="105">
        <f t="shared" si="15"/>
        <v>1.4779553494261878E-3</v>
      </c>
      <c r="AD36" s="105">
        <f t="shared" si="13"/>
        <v>1.6694950235992842E-3</v>
      </c>
      <c r="AE36" s="105">
        <f t="shared" si="14"/>
        <v>1.7341345685868014E-3</v>
      </c>
    </row>
    <row r="37" spans="2:31" x14ac:dyDescent="0.2">
      <c r="B37" s="133" t="str">
        <f>_xll.qlMakeDatedOIS(,E37,F37,OvernightIndex,0,,,,EvaluationDate)</f>
        <v>obj_003b1#0001</v>
      </c>
      <c r="C37" s="134" t="b">
        <f>_xll.qlInstrumentSetPricingEngine(B37,OisEngine)</f>
        <v>1</v>
      </c>
      <c r="D37" s="135" t="s">
        <v>68</v>
      </c>
      <c r="E37" s="136">
        <f t="shared" si="16"/>
        <v>41866</v>
      </c>
      <c r="F37" s="137">
        <f>_xll.qlCalendarAdvance(Calendar,SettlementDate,D37,"Following")</f>
        <v>41887</v>
      </c>
      <c r="G37" s="138">
        <f t="shared" si="17"/>
        <v>9.4580336066685212E-4</v>
      </c>
      <c r="H37" s="138">
        <f t="shared" si="17"/>
        <v>2.2444124483196708E-3</v>
      </c>
      <c r="I37" s="138">
        <f t="shared" si="17"/>
        <v>3.5288493112855738E-3</v>
      </c>
      <c r="J37" s="138">
        <f t="shared" si="17"/>
        <v>4.9077758198592461E-3</v>
      </c>
      <c r="K37" s="139">
        <f t="shared" si="18"/>
        <v>21</v>
      </c>
      <c r="L37" s="140">
        <f>_xll.qlOvernightIndexedSwapFairRate(B37,_xll.ohTrigger(C37,InterestRatesTrigger))</f>
        <v>6.000000011001966E-4</v>
      </c>
      <c r="N37" s="141">
        <f>N$31*$K37+N$32</f>
        <v>3.4580335956665558E-4</v>
      </c>
      <c r="O37" s="142">
        <f t="shared" si="19"/>
        <v>1.644412447219474E-3</v>
      </c>
      <c r="P37" s="142">
        <f t="shared" si="19"/>
        <v>2.9288493101853772E-3</v>
      </c>
      <c r="Q37" s="143">
        <f t="shared" si="20"/>
        <v>4.3077758187590491E-3</v>
      </c>
      <c r="R37" s="142"/>
      <c r="S37" s="144" t="s">
        <v>68</v>
      </c>
      <c r="T37" s="142">
        <f t="shared" si="21"/>
        <v>1.7313408459736211E-3</v>
      </c>
      <c r="U37" s="143">
        <f t="shared" si="21"/>
        <v>2.9288493101853772E-3</v>
      </c>
      <c r="AB37" s="378">
        <f>_xll.qlCalendarAdvance(Calendar,AB36,"1d","mf")</f>
        <v>41877</v>
      </c>
      <c r="AC37" s="105">
        <f t="shared" si="15"/>
        <v>1.4779553494261878E-3</v>
      </c>
      <c r="AD37" s="105">
        <f t="shared" si="13"/>
        <v>1.6672147893829379E-3</v>
      </c>
      <c r="AE37" s="105">
        <f t="shared" si="14"/>
        <v>1.722842075769831E-3</v>
      </c>
    </row>
    <row r="38" spans="2:31" x14ac:dyDescent="0.2">
      <c r="B38" s="79" t="str">
        <f>_xll.qlMakeDatedOIS(,E38,F38,OvernightIndex,0,,,,EvaluationDate)</f>
        <v>obj_003ab#0001</v>
      </c>
      <c r="C38" s="70" t="b">
        <f>_xll.qlInstrumentSetPricingEngine(B38,OisEngine)</f>
        <v>1</v>
      </c>
      <c r="D38" s="128" t="s">
        <v>61</v>
      </c>
      <c r="E38" s="65">
        <f t="shared" si="16"/>
        <v>41866</v>
      </c>
      <c r="F38" s="129">
        <f>_xll.qlCalendarAdvance(Calendar,SettlementDate,D38,"mf",TRUE)</f>
        <v>41897</v>
      </c>
      <c r="G38" s="145">
        <f t="shared" si="17"/>
        <v>8.9999999999999998E-4</v>
      </c>
      <c r="H38" s="145">
        <f t="shared" si="17"/>
        <v>2.1816101022273638E-3</v>
      </c>
      <c r="I38" s="145">
        <f t="shared" si="17"/>
        <v>3.437166475867978E-3</v>
      </c>
      <c r="J38" s="145">
        <f t="shared" si="17"/>
        <v>4.869863220012512E-3</v>
      </c>
      <c r="K38" s="124">
        <f t="shared" si="18"/>
        <v>31</v>
      </c>
      <c r="L38" s="131">
        <f>_xll.qlOvernightIndexedSwapFairRate(B38,_xll.ohTrigger(C38,InterestRatesTrigger))</f>
        <v>5.5999999717135367E-4</v>
      </c>
      <c r="N38" s="126">
        <f>N$31*$K38+N$32</f>
        <v>3.400000028286463E-4</v>
      </c>
      <c r="O38" s="118">
        <f t="shared" si="19"/>
        <v>1.6216101050560102E-3</v>
      </c>
      <c r="P38" s="118">
        <f t="shared" si="19"/>
        <v>2.8771664786966245E-3</v>
      </c>
      <c r="Q38" s="69">
        <f t="shared" si="20"/>
        <v>4.3098632228411584E-3</v>
      </c>
      <c r="R38" s="118"/>
      <c r="S38" s="132" t="s">
        <v>61</v>
      </c>
      <c r="T38" s="118">
        <f t="shared" si="21"/>
        <v>1.6802187232407106E-3</v>
      </c>
      <c r="U38" s="69">
        <f t="shared" si="21"/>
        <v>2.8771664786966245E-3</v>
      </c>
      <c r="AB38" s="378">
        <f>_xll.qlCalendarAdvance(Calendar,AB37,"1d","mf")</f>
        <v>41878</v>
      </c>
      <c r="AC38" s="105">
        <f t="shared" si="15"/>
        <v>1.4779553494261878E-3</v>
      </c>
      <c r="AD38" s="105">
        <f t="shared" si="13"/>
        <v>1.6649345551665916E-3</v>
      </c>
      <c r="AE38" s="105">
        <f t="shared" si="14"/>
        <v>1.711705885626576E-3</v>
      </c>
    </row>
    <row r="39" spans="2:31" x14ac:dyDescent="0.2">
      <c r="B39" s="79" t="str">
        <f>_xll.qlMakeDatedOIS(,E39,F39,OvernightIndex,0,,,,EvaluationDate)</f>
        <v>obj_0039c#0001</v>
      </c>
      <c r="C39" s="70" t="b">
        <f>_xll.qlInstrumentSetPricingEngine(B39,OisEngine)</f>
        <v>1</v>
      </c>
      <c r="D39" s="128" t="s">
        <v>69</v>
      </c>
      <c r="E39" s="65">
        <f t="shared" si="16"/>
        <v>41866</v>
      </c>
      <c r="F39" s="129">
        <f>_xll.qlCalendarAdvance(Calendar,SettlementDate,D39,"mf",TRUE)</f>
        <v>41927</v>
      </c>
      <c r="G39" s="146"/>
      <c r="H39" s="123">
        <f t="shared" si="17"/>
        <v>2.100593842366712E-3</v>
      </c>
      <c r="I39" s="123">
        <f t="shared" si="17"/>
        <v>3.2879203926415284E-3</v>
      </c>
      <c r="J39" s="123">
        <f t="shared" si="17"/>
        <v>4.8635161988885818E-3</v>
      </c>
      <c r="K39" s="130">
        <f t="shared" si="18"/>
        <v>61</v>
      </c>
      <c r="L39" s="131">
        <f>_xll.qlOvernightIndexedSwapFairRate(B39,_xll.ohTrigger(C39,InterestRatesTrigger))</f>
        <v>5.4739076380109347E-4</v>
      </c>
      <c r="N39" s="146"/>
      <c r="O39" s="118">
        <f t="shared" si="19"/>
        <v>1.5532030785656186E-3</v>
      </c>
      <c r="P39" s="118">
        <f t="shared" si="19"/>
        <v>2.7405296288404348E-3</v>
      </c>
      <c r="Q39" s="69">
        <f t="shared" si="20"/>
        <v>4.3161254350874883E-3</v>
      </c>
      <c r="R39" s="118"/>
      <c r="S39" s="132" t="s">
        <v>69</v>
      </c>
      <c r="T39" s="118">
        <f t="shared" si="21"/>
        <v>1.5581128897850477E-3</v>
      </c>
      <c r="U39" s="69">
        <f t="shared" si="21"/>
        <v>2.7405296288404348E-3</v>
      </c>
      <c r="AB39" s="378">
        <f>_xll.qlCalendarAdvance(Calendar,AB38,"1d","mf")</f>
        <v>41879</v>
      </c>
      <c r="AC39" s="105">
        <f t="shared" si="15"/>
        <v>1.4779553494261878E-3</v>
      </c>
      <c r="AD39" s="105">
        <f t="shared" si="13"/>
        <v>1.6626543209502451E-3</v>
      </c>
      <c r="AE39" s="105">
        <f t="shared" si="14"/>
        <v>1.7007259981570368E-3</v>
      </c>
    </row>
    <row r="40" spans="2:31" x14ac:dyDescent="0.2">
      <c r="B40" s="79" t="str">
        <f>_xll.qlMakeDatedOIS(,E40,F40,OvernightIndex,0,,,,EvaluationDate)</f>
        <v>obj_003aa#0001</v>
      </c>
      <c r="C40" s="70" t="b">
        <f>_xll.qlInstrumentSetPricingEngine(B40,OisEngine)</f>
        <v>1</v>
      </c>
      <c r="D40" s="128" t="s">
        <v>62</v>
      </c>
      <c r="E40" s="65">
        <f t="shared" si="16"/>
        <v>41866</v>
      </c>
      <c r="F40" s="129">
        <f>_xll.qlCalendarAdvance(Calendar,SettlementDate,D40,"mf",TRUE)</f>
        <v>41960</v>
      </c>
      <c r="G40" s="147"/>
      <c r="H40" s="123">
        <f t="shared" si="17"/>
        <v>1.99E-3</v>
      </c>
      <c r="I40" s="123">
        <f t="shared" si="17"/>
        <v>3.1341719188593851E-3</v>
      </c>
      <c r="J40" s="123">
        <f t="shared" si="17"/>
        <v>4.8350585191322629E-3</v>
      </c>
      <c r="K40" s="130">
        <f t="shared" si="18"/>
        <v>94</v>
      </c>
      <c r="L40" s="131">
        <f>_xll.qlOvernightIndexedSwapFairRate(B40,_xll.ohTrigger(C40,InterestRatesTrigger))</f>
        <v>5.1204465057381218E-4</v>
      </c>
      <c r="N40" s="147"/>
      <c r="O40" s="118">
        <f t="shared" si="19"/>
        <v>1.4779553494261878E-3</v>
      </c>
      <c r="P40" s="118">
        <f t="shared" si="19"/>
        <v>2.6221272682855727E-3</v>
      </c>
      <c r="Q40" s="69">
        <f t="shared" si="20"/>
        <v>4.3230138685584505E-3</v>
      </c>
      <c r="R40" s="118"/>
      <c r="S40" s="132" t="s">
        <v>62</v>
      </c>
      <c r="T40" s="118">
        <f t="shared" si="21"/>
        <v>1.4779553494261837E-3</v>
      </c>
      <c r="U40" s="69">
        <f t="shared" si="21"/>
        <v>2.6221272682855727E-3</v>
      </c>
      <c r="AB40" s="378">
        <f>_xll.qlCalendarAdvance(Calendar,AB39,"1d","mf")</f>
        <v>41880</v>
      </c>
      <c r="AC40" s="105">
        <f t="shared" si="15"/>
        <v>1.4779553494261878E-3</v>
      </c>
      <c r="AD40" s="105">
        <f t="shared" si="13"/>
        <v>1.6603740867338988E-3</v>
      </c>
      <c r="AE40" s="105">
        <f t="shared" si="14"/>
        <v>1.6899024133612125E-3</v>
      </c>
    </row>
    <row r="41" spans="2:31" x14ac:dyDescent="0.2">
      <c r="B41" s="79" t="str">
        <f>_xll.qlMakeDatedOIS(,E41,F41,OvernightIndex,0,,,,EvaluationDate)</f>
        <v>obj_003a9#0001</v>
      </c>
      <c r="C41" s="70" t="b">
        <f>_xll.qlInstrumentSetPricingEngine(B41,OisEngine)</f>
        <v>1</v>
      </c>
      <c r="D41" s="128" t="s">
        <v>70</v>
      </c>
      <c r="E41" s="65">
        <f t="shared" si="16"/>
        <v>41866</v>
      </c>
      <c r="F41" s="129">
        <f>_xll.qlCalendarAdvance(Calendar,SettlementDate,D41,"mf",TRUE)</f>
        <v>41988</v>
      </c>
      <c r="G41" s="148"/>
      <c r="H41" s="149"/>
      <c r="I41" s="123">
        <f t="shared" si="17"/>
        <v>3.0638881440993079E-3</v>
      </c>
      <c r="J41" s="123">
        <f t="shared" si="17"/>
        <v>4.8448761772627346E-3</v>
      </c>
      <c r="K41" s="130">
        <f t="shared" si="18"/>
        <v>122</v>
      </c>
      <c r="L41" s="131">
        <f>_xll.qlOvernightIndexedSwapFairRate(B41,_xll.ohTrigger(C41,InterestRatesTrigger))</f>
        <v>5.1601757727437654E-4</v>
      </c>
      <c r="N41" s="148"/>
      <c r="O41" s="149"/>
      <c r="P41" s="118">
        <f>IF(P$30,U41,P$31*$K41+P$32)</f>
        <v>2.5478705668249314E-3</v>
      </c>
      <c r="Q41" s="69">
        <f t="shared" si="20"/>
        <v>4.3288585999883581E-3</v>
      </c>
      <c r="R41" s="118"/>
      <c r="S41" s="132" t="s">
        <v>70</v>
      </c>
      <c r="T41" s="149"/>
      <c r="U41" s="69">
        <f>$K41*$K41/3*U$30+$K41/2*U$31+U$32</f>
        <v>2.5478705668249314E-3</v>
      </c>
      <c r="AB41" s="378">
        <f>_xll.qlCalendarAdvance(Calendar,AB40,"1d","mf")</f>
        <v>41883</v>
      </c>
      <c r="AC41" s="105">
        <f t="shared" si="15"/>
        <v>1.4779553494261878E-3</v>
      </c>
      <c r="AD41" s="105">
        <f t="shared" si="13"/>
        <v>1.6535333840848596E-3</v>
      </c>
      <c r="AE41" s="105">
        <f t="shared" si="14"/>
        <v>1.6583694750160317E-3</v>
      </c>
    </row>
    <row r="42" spans="2:31" x14ac:dyDescent="0.2">
      <c r="B42" s="79" t="str">
        <f>_xll.qlMakeDatedOIS(,E42,F42,OvernightIndex,0,,,,EvaluationDate)</f>
        <v>obj_0039d#0001</v>
      </c>
      <c r="C42" s="70" t="b">
        <f>_xll.qlInstrumentSetPricingEngine(B42,OisEngine)</f>
        <v>1</v>
      </c>
      <c r="D42" s="128" t="s">
        <v>71</v>
      </c>
      <c r="E42" s="65">
        <f t="shared" si="16"/>
        <v>41866</v>
      </c>
      <c r="F42" s="129">
        <f>_xll.qlCalendarAdvance(Calendar,SettlementDate,D42,"mf",TRUE)</f>
        <v>42019</v>
      </c>
      <c r="G42" s="148"/>
      <c r="H42" s="150"/>
      <c r="I42" s="123">
        <f t="shared" si="17"/>
        <v>3.0024559434110483E-3</v>
      </c>
      <c r="J42" s="123">
        <f t="shared" si="17"/>
        <v>4.8440652908529717E-3</v>
      </c>
      <c r="K42" s="130">
        <f t="shared" si="18"/>
        <v>153</v>
      </c>
      <c r="L42" s="131">
        <f>_xll.qlOvernightIndexedSwapFairRate(B42,_xll.ohTrigger(C42,InterestRatesTrigger))</f>
        <v>5.0873573821007354E-4</v>
      </c>
      <c r="N42" s="148"/>
      <c r="O42" s="150"/>
      <c r="P42" s="118">
        <f>IF(P$30,U42,P$31*$K42+P$32)</f>
        <v>2.4937202052009748E-3</v>
      </c>
      <c r="Q42" s="69">
        <f t="shared" si="20"/>
        <v>4.3353295526428982E-3</v>
      </c>
      <c r="R42" s="118"/>
      <c r="S42" s="132" t="s">
        <v>71</v>
      </c>
      <c r="T42" s="150"/>
      <c r="U42" s="69">
        <f>$K42*$K42/3*U$30+$K42/2*U$31+U$32</f>
        <v>2.4937202052009748E-3</v>
      </c>
      <c r="AB42" s="378">
        <f>_xll.qlCalendarAdvance(Calendar,AB41,"1d","mf")</f>
        <v>41884</v>
      </c>
      <c r="AC42" s="105">
        <f t="shared" si="15"/>
        <v>1.4779553494261878E-3</v>
      </c>
      <c r="AD42" s="105">
        <f t="shared" si="13"/>
        <v>1.6512531498685131E-3</v>
      </c>
      <c r="AE42" s="105">
        <f t="shared" si="14"/>
        <v>1.6481711009150688E-3</v>
      </c>
    </row>
    <row r="43" spans="2:31" x14ac:dyDescent="0.2">
      <c r="B43" s="79" t="str">
        <f>_xll.qlMakeDatedOIS(,E43,F43,OvernightIndex,0,,,,EvaluationDate)</f>
        <v>obj_0039e#0001</v>
      </c>
      <c r="C43" s="70" t="b">
        <f>_xll.qlInstrumentSetPricingEngine(B43,OisEngine)</f>
        <v>1</v>
      </c>
      <c r="D43" s="151" t="s">
        <v>63</v>
      </c>
      <c r="E43" s="65">
        <f t="shared" si="16"/>
        <v>41866</v>
      </c>
      <c r="F43" s="129">
        <f>_xll.qlCalendarAdvance(Calendar,SettlementDate,D43,"mf",TRUE)</f>
        <v>42051</v>
      </c>
      <c r="G43" s="148"/>
      <c r="H43" s="150"/>
      <c r="I43" s="123">
        <f t="shared" si="17"/>
        <v>2.9900000000000013E-3</v>
      </c>
      <c r="J43" s="123">
        <f t="shared" si="17"/>
        <v>4.8632546250425525E-3</v>
      </c>
      <c r="K43" s="130">
        <f t="shared" si="18"/>
        <v>185</v>
      </c>
      <c r="L43" s="131">
        <f>_xll.qlOvernightIndexedSwapFairRate(B43,_xll.ohTrigger(C43,InterestRatesTrigger))</f>
        <v>5.2124537933690329E-4</v>
      </c>
      <c r="N43" s="148"/>
      <c r="O43" s="150"/>
      <c r="P43" s="118">
        <f>IF(P$30,U43,P$31*$K43+P$32)</f>
        <v>2.4687546206630978E-3</v>
      </c>
      <c r="Q43" s="69">
        <f t="shared" si="20"/>
        <v>4.3420092457056494E-3</v>
      </c>
      <c r="R43" s="118"/>
      <c r="S43" s="152" t="s">
        <v>63</v>
      </c>
      <c r="T43" s="153"/>
      <c r="U43" s="143">
        <f>$K43*$K43/3*U$30+$K43/2*U$31+U$32</f>
        <v>2.4687546206630978E-3</v>
      </c>
      <c r="AB43" s="378">
        <f>_xll.qlCalendarAdvance(Calendar,AB42,"1d","mf")</f>
        <v>41885</v>
      </c>
      <c r="AC43" s="105">
        <f t="shared" si="15"/>
        <v>1.4779553494261878E-3</v>
      </c>
      <c r="AD43" s="105">
        <f t="shared" si="13"/>
        <v>1.6489729156521668E-3</v>
      </c>
      <c r="AE43" s="105">
        <f t="shared" si="14"/>
        <v>1.6381290294878214E-3</v>
      </c>
    </row>
    <row r="44" spans="2:31" x14ac:dyDescent="0.2">
      <c r="B44" s="79" t="str">
        <f>_xll.qlMakeDatedOIS(,E44,F44,OvernightIndex,0,,,,EvaluationDate)</f>
        <v>obj_003a1#0001</v>
      </c>
      <c r="C44" s="70" t="b">
        <f>_xll.qlInstrumentSetPricingEngine(B44,OisEngine)</f>
        <v>1</v>
      </c>
      <c r="D44" s="151" t="s">
        <v>72</v>
      </c>
      <c r="E44" s="65">
        <f t="shared" si="16"/>
        <v>41866</v>
      </c>
      <c r="F44" s="129">
        <f>_xll.qlCalendarAdvance(Calendar,SettlementDate,D44,"mf",TRUE)</f>
        <v>42079</v>
      </c>
      <c r="G44" s="148"/>
      <c r="H44" s="154"/>
      <c r="I44" s="149"/>
      <c r="J44" s="123">
        <f t="shared" si="17"/>
        <v>4.8790025836616558E-3</v>
      </c>
      <c r="K44" s="130">
        <f t="shared" si="18"/>
        <v>213</v>
      </c>
      <c r="L44" s="131">
        <f>_xll.qlOvernightIndexedSwapFairRate(B44,_xll.ohTrigger(C44,InterestRatesTrigger))</f>
        <v>5.3114860652609861E-4</v>
      </c>
      <c r="N44" s="155" t="s">
        <v>73</v>
      </c>
      <c r="O44" s="156"/>
      <c r="P44" s="149"/>
      <c r="Q44" s="69">
        <f t="shared" si="20"/>
        <v>4.347853977135557E-3</v>
      </c>
      <c r="R44" s="118"/>
      <c r="S44" s="118"/>
      <c r="AB44" s="378">
        <f>_xll.qlCalendarAdvance(Calendar,AB43,"1d","mf")</f>
        <v>41886</v>
      </c>
      <c r="AC44" s="105">
        <f t="shared" si="15"/>
        <v>1.4779553494261878E-3</v>
      </c>
      <c r="AD44" s="105">
        <f t="shared" si="13"/>
        <v>1.6466926814358205E-3</v>
      </c>
      <c r="AE44" s="105">
        <f t="shared" si="14"/>
        <v>1.6282432607342893E-3</v>
      </c>
    </row>
    <row r="45" spans="2:31" x14ac:dyDescent="0.2">
      <c r="B45" s="79" t="str">
        <f>_xll.qlMakeDatedOIS(,E45,F45,OvernightIndex,0,,,,EvaluationDate)</f>
        <v>obj_003a7#0001</v>
      </c>
      <c r="C45" s="70" t="b">
        <f>_xll.qlInstrumentSetPricingEngine(B45,OisEngine)</f>
        <v>1</v>
      </c>
      <c r="D45" s="151" t="s">
        <v>74</v>
      </c>
      <c r="E45" s="65">
        <f t="shared" si="16"/>
        <v>41866</v>
      </c>
      <c r="F45" s="129">
        <f>_xll.qlCalendarAdvance(Calendar,SettlementDate,D45,"mf",TRUE)</f>
        <v>42109</v>
      </c>
      <c r="G45" s="148"/>
      <c r="H45" s="154"/>
      <c r="I45" s="150"/>
      <c r="J45" s="123">
        <f t="shared" si="17"/>
        <v>4.8629140975407414E-3</v>
      </c>
      <c r="K45" s="130">
        <f t="shared" si="18"/>
        <v>243</v>
      </c>
      <c r="L45" s="131">
        <f>_xll.qlOvernightIndexedSwapFairRate(B45,_xll.ohTrigger(C45,InterestRatesTrigger))</f>
        <v>5.087979081588558E-4</v>
      </c>
      <c r="N45" s="157"/>
      <c r="O45" s="158" t="s">
        <v>75</v>
      </c>
      <c r="P45" s="159"/>
      <c r="Q45" s="69">
        <f t="shared" si="20"/>
        <v>4.3541161893818859E-3</v>
      </c>
      <c r="R45" s="118"/>
      <c r="S45" s="118"/>
      <c r="AB45" s="378">
        <f>_xll.qlCalendarAdvance(Calendar,AB44,"1d","mf")</f>
        <v>41887</v>
      </c>
      <c r="AC45" s="105">
        <f t="shared" si="15"/>
        <v>1.4779553494261878E-3</v>
      </c>
      <c r="AD45" s="105">
        <f t="shared" si="13"/>
        <v>1.644412447219474E-3</v>
      </c>
      <c r="AE45" s="105">
        <f t="shared" si="14"/>
        <v>1.6185137946544725E-3</v>
      </c>
    </row>
    <row r="46" spans="2:31" x14ac:dyDescent="0.2">
      <c r="B46" s="79" t="str">
        <f>_xll.qlMakeDatedOIS(,E46,F46,OvernightIndex,0,,,,EvaluationDate)</f>
        <v>obj_003a2#0001</v>
      </c>
      <c r="C46" s="70" t="b">
        <f>_xll.qlInstrumentSetPricingEngine(B46,OisEngine)</f>
        <v>1</v>
      </c>
      <c r="D46" s="151" t="s">
        <v>76</v>
      </c>
      <c r="E46" s="65">
        <f t="shared" si="16"/>
        <v>41866</v>
      </c>
      <c r="F46" s="129">
        <f>_xll.qlCalendarAdvance(Calendar,SettlementDate,D46,"mf",TRUE)</f>
        <v>42139</v>
      </c>
      <c r="G46" s="148"/>
      <c r="H46" s="154"/>
      <c r="I46" s="150"/>
      <c r="J46" s="123">
        <f t="shared" si="17"/>
        <v>4.8403784016282569E-3</v>
      </c>
      <c r="K46" s="130">
        <f t="shared" si="18"/>
        <v>273</v>
      </c>
      <c r="L46" s="131">
        <f>_xll.qlOvernightIndexedSwapFairRate(B46,_xll.ohTrigger(C46,InterestRatesTrigger))</f>
        <v>4.8000000000004089E-4</v>
      </c>
      <c r="N46" s="148"/>
      <c r="O46" s="156"/>
      <c r="P46" s="160" t="s">
        <v>77</v>
      </c>
      <c r="Q46" s="69">
        <f t="shared" si="20"/>
        <v>4.3603784016282158E-3</v>
      </c>
      <c r="R46" s="118"/>
      <c r="S46" s="118"/>
      <c r="AB46" s="378">
        <f>_xll.qlCalendarAdvance(Calendar,AB45,"1d","mf")</f>
        <v>41890</v>
      </c>
      <c r="AC46" s="105">
        <f t="shared" si="15"/>
        <v>1.4779553494261878E-3</v>
      </c>
      <c r="AD46" s="105">
        <f t="shared" si="13"/>
        <v>1.6375717445704348E-3</v>
      </c>
      <c r="AE46" s="105">
        <f t="shared" si="14"/>
        <v>1.5902632124573141E-3</v>
      </c>
    </row>
    <row r="47" spans="2:31" x14ac:dyDescent="0.2">
      <c r="B47" s="79" t="str">
        <f>_xll.qlMakeDatedOIS(,E47,F47,OvernightIndex,0,,,,EvaluationDate)</f>
        <v>obj_00394#0001</v>
      </c>
      <c r="C47" s="70" t="b">
        <f>_xll.qlInstrumentSetPricingEngine(B47,OisEngine)</f>
        <v>1</v>
      </c>
      <c r="D47" s="151" t="s">
        <v>78</v>
      </c>
      <c r="E47" s="65">
        <f t="shared" si="16"/>
        <v>41866</v>
      </c>
      <c r="F47" s="129">
        <f>_xll.qlCalendarAdvance(Calendar,SettlementDate,D47,"mf",TRUE)</f>
        <v>42170</v>
      </c>
      <c r="G47" s="148"/>
      <c r="H47" s="154"/>
      <c r="I47" s="150"/>
      <c r="J47" s="123">
        <f t="shared" si="17"/>
        <v>4.8168493542828112E-3</v>
      </c>
      <c r="K47" s="130">
        <f t="shared" si="18"/>
        <v>304</v>
      </c>
      <c r="L47" s="131">
        <f>_xll.qlOvernightIndexedSwapFairRate(B47,_xll.ohTrigger(C47,InterestRatesTrigger))</f>
        <v>4.5000000000005566E-4</v>
      </c>
      <c r="N47" s="148"/>
      <c r="O47" s="154"/>
      <c r="P47" s="150"/>
      <c r="Q47" s="69">
        <f t="shared" si="20"/>
        <v>4.3668493542827558E-3</v>
      </c>
      <c r="R47" s="118"/>
      <c r="S47" s="118"/>
      <c r="AB47" s="378">
        <f>_xll.qlCalendarAdvance(Calendar,AB46,"1d","mf")</f>
        <v>41891</v>
      </c>
      <c r="AC47" s="105">
        <f t="shared" si="15"/>
        <v>1.4779553494261878E-3</v>
      </c>
      <c r="AD47" s="105">
        <f t="shared" si="13"/>
        <v>1.6352915103540885E-3</v>
      </c>
      <c r="AE47" s="105">
        <f t="shared" si="14"/>
        <v>1.5811589570723585E-3</v>
      </c>
    </row>
    <row r="48" spans="2:31" x14ac:dyDescent="0.2">
      <c r="B48" s="79" t="str">
        <f>_xll.qlMakeDatedOIS(,E48,F48,OvernightIndex,0,,,,EvaluationDate)</f>
        <v>obj_003b4#0001</v>
      </c>
      <c r="C48" s="70" t="b">
        <f>_xll.qlInstrumentSetPricingEngine(B48,OisEngine)</f>
        <v>1</v>
      </c>
      <c r="D48" s="151" t="s">
        <v>79</v>
      </c>
      <c r="E48" s="65">
        <f t="shared" si="16"/>
        <v>41866</v>
      </c>
      <c r="F48" s="129">
        <f>_xll.qlCalendarAdvance(Calendar,SettlementDate,D48,"mf",TRUE)</f>
        <v>42200</v>
      </c>
      <c r="G48" s="148"/>
      <c r="H48" s="154"/>
      <c r="I48" s="150"/>
      <c r="J48" s="123">
        <f t="shared" si="17"/>
        <v>4.803111566528958E-3</v>
      </c>
      <c r="K48" s="130">
        <f t="shared" si="18"/>
        <v>334</v>
      </c>
      <c r="L48" s="131">
        <f>_xll.qlOvernightIndexedSwapFairRate(B48,_xll.ohTrigger(C48,InterestRatesTrigger))</f>
        <v>4.2999999999987319E-4</v>
      </c>
      <c r="N48" s="148"/>
      <c r="O48" s="154"/>
      <c r="P48" s="150"/>
      <c r="Q48" s="69">
        <f t="shared" si="20"/>
        <v>4.3731115665290848E-3</v>
      </c>
      <c r="R48" s="118"/>
      <c r="S48" s="118"/>
      <c r="AB48" s="378">
        <f>_xll.qlCalendarAdvance(Calendar,AB47,"1d","mf")</f>
        <v>41892</v>
      </c>
      <c r="AC48" s="105">
        <f t="shared" si="15"/>
        <v>1.4779553494261878E-3</v>
      </c>
      <c r="AD48" s="105">
        <f t="shared" si="13"/>
        <v>1.6330112761377422E-3</v>
      </c>
      <c r="AE48" s="105">
        <f t="shared" si="14"/>
        <v>1.5722110043611182E-3</v>
      </c>
    </row>
    <row r="49" spans="2:31" x14ac:dyDescent="0.2">
      <c r="B49" s="133" t="str">
        <f>_xll.qlMakeDatedOIS(,E49,F49,OvernightIndex,0,,,,EvaluationDate)</f>
        <v>obj_00393#0001</v>
      </c>
      <c r="C49" s="134" t="b">
        <f>_xll.qlInstrumentSetPricingEngine(B49,OisEngine)</f>
        <v>1</v>
      </c>
      <c r="D49" s="151" t="s">
        <v>80</v>
      </c>
      <c r="E49" s="65">
        <f t="shared" si="16"/>
        <v>41866</v>
      </c>
      <c r="F49" s="129">
        <f>_xll.qlCalendarAdvance(Calendar,SettlementDate,D49,"mf",TRUE)</f>
        <v>42233</v>
      </c>
      <c r="G49" s="148"/>
      <c r="H49" s="154"/>
      <c r="I49" s="150"/>
      <c r="J49" s="123">
        <f t="shared" si="17"/>
        <v>4.79E-3</v>
      </c>
      <c r="K49" s="130">
        <f t="shared" si="18"/>
        <v>367</v>
      </c>
      <c r="L49" s="131">
        <f>_xll.qlOvernightIndexedSwapFairRate(B49,_xll.ohTrigger(C49,InterestRatesTrigger))</f>
        <v>4.0999999999995256E-4</v>
      </c>
      <c r="N49" s="161"/>
      <c r="O49" s="162"/>
      <c r="P49" s="153"/>
      <c r="Q49" s="143">
        <f t="shared" si="20"/>
        <v>4.3800000000000471E-3</v>
      </c>
      <c r="R49" s="118"/>
      <c r="S49" s="118"/>
      <c r="AB49" s="378">
        <f>_xll.qlCalendarAdvance(Calendar,AB48,"1d","mf")</f>
        <v>41893</v>
      </c>
      <c r="AC49" s="105">
        <f t="shared" si="15"/>
        <v>1.4779553494261878E-3</v>
      </c>
      <c r="AD49" s="105">
        <f t="shared" si="13"/>
        <v>1.6307310419213957E-3</v>
      </c>
      <c r="AE49" s="105">
        <f t="shared" si="14"/>
        <v>1.5634193543235936E-3</v>
      </c>
    </row>
    <row r="50" spans="2:31" x14ac:dyDescent="0.2">
      <c r="D50" s="106"/>
      <c r="E50" s="106"/>
      <c r="F50" s="106"/>
      <c r="G50" s="106"/>
      <c r="H50" s="106"/>
      <c r="I50" s="106"/>
      <c r="J50" s="106"/>
      <c r="K50" s="106"/>
      <c r="L50" s="106"/>
      <c r="AB50" s="378">
        <f>_xll.qlCalendarAdvance(Calendar,AB49,"1d","mf")</f>
        <v>41894</v>
      </c>
      <c r="AC50" s="105">
        <f t="shared" si="15"/>
        <v>1.4779553494261878E-3</v>
      </c>
      <c r="AD50" s="105">
        <f t="shared" si="13"/>
        <v>1.6284508077050494E-3</v>
      </c>
      <c r="AE50" s="105">
        <f t="shared" si="14"/>
        <v>1.5547840069597841E-3</v>
      </c>
    </row>
    <row r="51" spans="2:31" x14ac:dyDescent="0.2">
      <c r="N51" s="163"/>
      <c r="O51" s="163"/>
      <c r="P51" s="163"/>
      <c r="Q51" s="163"/>
      <c r="R51" s="163"/>
      <c r="S51" s="163"/>
      <c r="AB51" s="378">
        <f>_xll.qlCalendarAdvance(Calendar,AB50,"1d","mf")</f>
        <v>41897</v>
      </c>
      <c r="AC51" s="105">
        <f t="shared" si="15"/>
        <v>1.4779553494261878E-3</v>
      </c>
      <c r="AD51" s="105">
        <f t="shared" si="13"/>
        <v>1.6216101050560102E-3</v>
      </c>
      <c r="AE51" s="105">
        <f t="shared" si="14"/>
        <v>1.5298157809106479E-3</v>
      </c>
    </row>
    <row r="52" spans="2:31" x14ac:dyDescent="0.2">
      <c r="AB52" s="378">
        <f>_xll.qlCalendarAdvance(Calendar,AB51,"1d","mf")</f>
        <v>41898</v>
      </c>
      <c r="AC52" s="105">
        <f t="shared" si="15"/>
        <v>1.4779553494261878E-3</v>
      </c>
      <c r="AD52" s="105">
        <f t="shared" si="13"/>
        <v>1.6193298708396637E-3</v>
      </c>
      <c r="AE52" s="105">
        <f t="shared" si="14"/>
        <v>1.5218056442416997E-3</v>
      </c>
    </row>
    <row r="53" spans="2:31" x14ac:dyDescent="0.2">
      <c r="AB53" s="378">
        <f>_xll.qlCalendarAdvance(Calendar,AB52,"1d","mf")</f>
        <v>41899</v>
      </c>
      <c r="AC53" s="105">
        <f t="shared" si="15"/>
        <v>1.4779553494261878E-3</v>
      </c>
      <c r="AD53" s="105">
        <f t="shared" si="13"/>
        <v>1.6170496366233174E-3</v>
      </c>
      <c r="AE53" s="105">
        <f t="shared" si="14"/>
        <v>1.5139518102464669E-3</v>
      </c>
    </row>
    <row r="54" spans="2:31" x14ac:dyDescent="0.2">
      <c r="AB54" s="378">
        <f>_xll.qlCalendarAdvance(Calendar,AB53,"1d","mf")</f>
        <v>41900</v>
      </c>
      <c r="AC54" s="105">
        <f t="shared" si="15"/>
        <v>1.4779553494261878E-3</v>
      </c>
      <c r="AD54" s="105">
        <f t="shared" si="13"/>
        <v>1.6147694024069711E-3</v>
      </c>
      <c r="AE54" s="105">
        <f t="shared" si="14"/>
        <v>1.5062542789249496E-3</v>
      </c>
    </row>
    <row r="55" spans="2:31" x14ac:dyDescent="0.2">
      <c r="AB55" s="378">
        <f>_xll.qlCalendarAdvance(Calendar,AB54,"1d","mf")</f>
        <v>41901</v>
      </c>
      <c r="AC55" s="105">
        <f t="shared" si="15"/>
        <v>1.4779553494261878E-3</v>
      </c>
      <c r="AD55" s="105">
        <f t="shared" si="13"/>
        <v>1.6124891681906246E-3</v>
      </c>
      <c r="AE55" s="105">
        <f t="shared" si="14"/>
        <v>1.4987130502771475E-3</v>
      </c>
    </row>
    <row r="56" spans="2:31" x14ac:dyDescent="0.2">
      <c r="AB56" s="378">
        <f>_xll.qlCalendarAdvance(Calendar,AB55,"1d","mf")</f>
        <v>41904</v>
      </c>
      <c r="AC56" s="105">
        <f t="shared" si="15"/>
        <v>1.4779553494261878E-3</v>
      </c>
      <c r="AD56" s="105">
        <f t="shared" si="13"/>
        <v>1.6056484655415854E-3</v>
      </c>
      <c r="AE56" s="105">
        <f t="shared" si="14"/>
        <v>1.4770271803760332E-3</v>
      </c>
    </row>
    <row r="57" spans="2:31" x14ac:dyDescent="0.2">
      <c r="AB57" s="378">
        <f>_xll.qlCalendarAdvance(Calendar,AB56,"1d","mf")</f>
        <v>41905</v>
      </c>
      <c r="AC57" s="105">
        <f t="shared" si="15"/>
        <v>1.4779553494261878E-3</v>
      </c>
      <c r="AD57" s="105">
        <f t="shared" si="13"/>
        <v>1.6033682313252391E-3</v>
      </c>
      <c r="AE57" s="105">
        <f t="shared" si="14"/>
        <v>1.4701111624230926E-3</v>
      </c>
    </row>
    <row r="58" spans="2:31" x14ac:dyDescent="0.2">
      <c r="AB58" s="378">
        <f>_xll.qlCalendarAdvance(Calendar,AB57,"1d","mf")</f>
        <v>41906</v>
      </c>
      <c r="AC58" s="105">
        <f t="shared" si="15"/>
        <v>1.4779553494261878E-3</v>
      </c>
      <c r="AD58" s="105">
        <f t="shared" si="13"/>
        <v>1.6010879971088926E-3</v>
      </c>
      <c r="AE58" s="105">
        <f t="shared" si="14"/>
        <v>1.4633514471438672E-3</v>
      </c>
    </row>
    <row r="59" spans="2:31" x14ac:dyDescent="0.2">
      <c r="AB59" s="378">
        <f>_xll.qlCalendarAdvance(Calendar,AB58,"1d","mf")</f>
        <v>41907</v>
      </c>
      <c r="AC59" s="105">
        <f t="shared" si="15"/>
        <v>1.4779553494261878E-3</v>
      </c>
      <c r="AD59" s="105">
        <f t="shared" si="13"/>
        <v>1.5988077628925463E-3</v>
      </c>
      <c r="AE59" s="105">
        <f t="shared" si="14"/>
        <v>1.4567480345383571E-3</v>
      </c>
    </row>
    <row r="60" spans="2:31" x14ac:dyDescent="0.2">
      <c r="AB60" s="378">
        <f>_xll.qlCalendarAdvance(Calendar,AB59,"1d","mf")</f>
        <v>41908</v>
      </c>
      <c r="AC60" s="105">
        <f t="shared" si="15"/>
        <v>1.4779553494261878E-3</v>
      </c>
      <c r="AD60" s="105">
        <f t="shared" si="13"/>
        <v>1.5965275286762E-3</v>
      </c>
      <c r="AE60" s="105">
        <f t="shared" si="14"/>
        <v>1.4503009246065626E-3</v>
      </c>
    </row>
    <row r="61" spans="2:31" x14ac:dyDescent="0.2">
      <c r="AB61" s="378">
        <f>_xll.qlCalendarAdvance(Calendar,AB60,"1d","mf")</f>
        <v>41911</v>
      </c>
      <c r="AC61" s="105">
        <f t="shared" si="15"/>
        <v>1.4779553494261878E-3</v>
      </c>
      <c r="AD61" s="105">
        <f t="shared" si="13"/>
        <v>1.5896868260271608E-3</v>
      </c>
      <c r="AE61" s="105">
        <f t="shared" si="14"/>
        <v>1.4318974108534707E-3</v>
      </c>
    </row>
    <row r="62" spans="2:31" x14ac:dyDescent="0.2">
      <c r="AB62" s="378">
        <f>_xll.qlCalendarAdvance(Calendar,AB61,"1d","mf")</f>
        <v>41912</v>
      </c>
      <c r="AC62" s="105">
        <f t="shared" si="15"/>
        <v>1.4779553494261878E-3</v>
      </c>
      <c r="AD62" s="105">
        <f t="shared" ref="AD62:AD93" si="22">$O$32+$O$31*(AB62-SettlementDate)</f>
        <v>1.5874065918108143E-3</v>
      </c>
      <c r="AE62" s="105">
        <f t="shared" ref="AE62:AE93" si="23">$T$32+$T$31*(AB62-SettlementDate)+$T$30*(AB62-SettlementDate)^2</f>
        <v>1.4260755116165373E-3</v>
      </c>
    </row>
    <row r="63" spans="2:31" x14ac:dyDescent="0.2">
      <c r="AB63" s="378">
        <f>_xll.qlCalendarAdvance(Calendar,AB62,"1d","mf")</f>
        <v>41913</v>
      </c>
      <c r="AC63" s="105">
        <f t="shared" si="15"/>
        <v>1.4779553494261878E-3</v>
      </c>
      <c r="AD63" s="105">
        <f t="shared" si="22"/>
        <v>1.585126357594468E-3</v>
      </c>
      <c r="AE63" s="105">
        <f t="shared" si="23"/>
        <v>1.4204099150533192E-3</v>
      </c>
    </row>
    <row r="64" spans="2:31" x14ac:dyDescent="0.2">
      <c r="AB64" s="378">
        <f>_xll.qlCalendarAdvance(Calendar,AB63,"1d","mf")</f>
        <v>41914</v>
      </c>
      <c r="AC64" s="105">
        <f t="shared" si="15"/>
        <v>1.4779553494261878E-3</v>
      </c>
      <c r="AD64" s="105">
        <f t="shared" si="22"/>
        <v>1.5828461233781217E-3</v>
      </c>
      <c r="AE64" s="105">
        <f t="shared" si="23"/>
        <v>1.4149006211638165E-3</v>
      </c>
    </row>
    <row r="65" spans="28:31" x14ac:dyDescent="0.2">
      <c r="AB65" s="378">
        <f>_xll.qlCalendarAdvance(Calendar,AB64,"1d","mf")</f>
        <v>41915</v>
      </c>
      <c r="AC65" s="105">
        <f t="shared" si="15"/>
        <v>1.4779553494261878E-3</v>
      </c>
      <c r="AD65" s="105">
        <f t="shared" si="22"/>
        <v>1.5805658891617752E-3</v>
      </c>
      <c r="AE65" s="105">
        <f t="shared" si="23"/>
        <v>1.4095476299480292E-3</v>
      </c>
    </row>
    <row r="66" spans="28:31" x14ac:dyDescent="0.2">
      <c r="AB66" s="378">
        <f>_xll.qlCalendarAdvance(Calendar,AB65,"1d","mf")</f>
        <v>41918</v>
      </c>
      <c r="AC66" s="105">
        <f t="shared" si="15"/>
        <v>1.4779553494261878E-3</v>
      </c>
      <c r="AD66" s="105">
        <f t="shared" si="22"/>
        <v>1.573725186512736E-3</v>
      </c>
      <c r="AE66" s="105">
        <f t="shared" si="23"/>
        <v>1.3944264723429595E-3</v>
      </c>
    </row>
    <row r="67" spans="28:31" x14ac:dyDescent="0.2">
      <c r="AB67" s="378">
        <f>_xll.qlCalendarAdvance(Calendar,AB66,"1d","mf")</f>
        <v>41919</v>
      </c>
      <c r="AC67" s="105">
        <f t="shared" si="15"/>
        <v>1.4779553494261878E-3</v>
      </c>
      <c r="AD67" s="105">
        <f t="shared" si="22"/>
        <v>1.5714449522963897E-3</v>
      </c>
      <c r="AE67" s="105">
        <f t="shared" si="23"/>
        <v>1.3896986918220334E-3</v>
      </c>
    </row>
    <row r="68" spans="28:31" x14ac:dyDescent="0.2">
      <c r="AB68" s="378">
        <f>_xll.qlCalendarAdvance(Calendar,AB67,"1d","mf")</f>
        <v>41920</v>
      </c>
      <c r="AC68" s="105">
        <f t="shared" si="15"/>
        <v>1.4779553494261878E-3</v>
      </c>
      <c r="AD68" s="105">
        <f t="shared" si="22"/>
        <v>1.5691647180800432E-3</v>
      </c>
      <c r="AE68" s="105">
        <f t="shared" si="23"/>
        <v>1.3851272139748228E-3</v>
      </c>
    </row>
    <row r="69" spans="28:31" x14ac:dyDescent="0.2">
      <c r="AB69" s="378">
        <f>_xll.qlCalendarAdvance(Calendar,AB68,"1d","mf")</f>
        <v>41921</v>
      </c>
      <c r="AC69" s="105">
        <f t="shared" si="15"/>
        <v>1.4779553494261878E-3</v>
      </c>
      <c r="AD69" s="105">
        <f t="shared" si="22"/>
        <v>1.5668844838636969E-3</v>
      </c>
      <c r="AE69" s="105">
        <f t="shared" si="23"/>
        <v>1.3807120388013277E-3</v>
      </c>
    </row>
    <row r="70" spans="28:31" x14ac:dyDescent="0.2">
      <c r="AB70" s="378">
        <f>_xll.qlCalendarAdvance(Calendar,AB69,"1d","mf")</f>
        <v>41922</v>
      </c>
      <c r="AC70" s="105">
        <f t="shared" si="15"/>
        <v>1.4779553494261878E-3</v>
      </c>
      <c r="AD70" s="105">
        <f t="shared" si="22"/>
        <v>1.5646042496473506E-3</v>
      </c>
      <c r="AE70" s="105">
        <f t="shared" si="23"/>
        <v>1.3764531663015478E-3</v>
      </c>
    </row>
    <row r="71" spans="28:31" x14ac:dyDescent="0.2">
      <c r="AB71" s="378">
        <f>_xll.qlCalendarAdvance(Calendar,AB70,"1d","mf")</f>
        <v>41925</v>
      </c>
      <c r="AC71" s="105">
        <f t="shared" si="15"/>
        <v>1.4779553494261878E-3</v>
      </c>
      <c r="AD71" s="105">
        <f t="shared" si="22"/>
        <v>1.5577635469983114E-3</v>
      </c>
      <c r="AE71" s="105">
        <f t="shared" si="23"/>
        <v>1.3646143648445E-3</v>
      </c>
    </row>
    <row r="72" spans="28:31" x14ac:dyDescent="0.2">
      <c r="AB72" s="378">
        <f>_xll.qlCalendarAdvance(Calendar,AB71,"1d","mf")</f>
        <v>41926</v>
      </c>
      <c r="AC72" s="105">
        <f t="shared" si="15"/>
        <v>1.4779553494261878E-3</v>
      </c>
      <c r="AD72" s="105">
        <f t="shared" si="22"/>
        <v>1.5554833127819649E-3</v>
      </c>
      <c r="AE72" s="105">
        <f t="shared" si="23"/>
        <v>1.3609807030395813E-3</v>
      </c>
    </row>
    <row r="73" spans="28:31" x14ac:dyDescent="0.2">
      <c r="AB73" s="378">
        <f>_xll.qlCalendarAdvance(Calendar,AB72,"1d","mf")</f>
        <v>41927</v>
      </c>
      <c r="AC73" s="105">
        <f t="shared" si="15"/>
        <v>1.4779553494261878E-3</v>
      </c>
      <c r="AD73" s="105">
        <f t="shared" si="22"/>
        <v>1.5532030785656186E-3</v>
      </c>
      <c r="AE73" s="105">
        <f t="shared" si="23"/>
        <v>1.3575033439083783E-3</v>
      </c>
    </row>
    <row r="74" spans="28:31" x14ac:dyDescent="0.2">
      <c r="AB74" s="378">
        <f>_xll.qlCalendarAdvance(Calendar,AB73,"1d","mf")</f>
        <v>41928</v>
      </c>
      <c r="AC74" s="105">
        <f t="shared" si="15"/>
        <v>1.4779553494261878E-3</v>
      </c>
      <c r="AD74" s="105">
        <f t="shared" si="22"/>
        <v>1.5509228443492721E-3</v>
      </c>
      <c r="AE74" s="105">
        <f t="shared" si="23"/>
        <v>1.3541822874508901E-3</v>
      </c>
    </row>
    <row r="75" spans="28:31" x14ac:dyDescent="0.2">
      <c r="AB75" s="378">
        <f>_xll.qlCalendarAdvance(Calendar,AB74,"1d","mf")</f>
        <v>41929</v>
      </c>
      <c r="AC75" s="105">
        <f t="shared" si="15"/>
        <v>1.4779553494261878E-3</v>
      </c>
      <c r="AD75" s="105">
        <f t="shared" si="22"/>
        <v>1.5486426101329258E-3</v>
      </c>
      <c r="AE75" s="105">
        <f t="shared" si="23"/>
        <v>1.3510175336671178E-3</v>
      </c>
    </row>
    <row r="76" spans="28:31" x14ac:dyDescent="0.2">
      <c r="AB76" s="378">
        <f>_xll.qlCalendarAdvance(Calendar,AB75,"1d","mf")</f>
        <v>41932</v>
      </c>
      <c r="AC76" s="105">
        <f t="shared" si="15"/>
        <v>1.4779553494261878E-3</v>
      </c>
      <c r="AD76" s="105">
        <f t="shared" si="22"/>
        <v>1.5418019074838866E-3</v>
      </c>
      <c r="AE76" s="105">
        <f t="shared" si="23"/>
        <v>1.3424610883580924E-3</v>
      </c>
    </row>
    <row r="77" spans="28:31" x14ac:dyDescent="0.2">
      <c r="AB77" s="378">
        <f>_xll.qlCalendarAdvance(Calendar,AB76,"1d","mf")</f>
        <v>41933</v>
      </c>
      <c r="AC77" s="105">
        <f t="shared" si="15"/>
        <v>1.4779553494261878E-3</v>
      </c>
      <c r="AD77" s="105">
        <f t="shared" si="22"/>
        <v>1.5395216732675403E-3</v>
      </c>
      <c r="AE77" s="105">
        <f t="shared" si="23"/>
        <v>1.3399215452691811E-3</v>
      </c>
    </row>
    <row r="78" spans="28:31" x14ac:dyDescent="0.2">
      <c r="AB78" s="378">
        <f>_xll.qlCalendarAdvance(Calendar,AB77,"1d","mf")</f>
        <v>41934</v>
      </c>
      <c r="AC78" s="105">
        <f t="shared" si="15"/>
        <v>1.4779553494261878E-3</v>
      </c>
      <c r="AD78" s="105">
        <f t="shared" si="22"/>
        <v>1.5372414390511938E-3</v>
      </c>
      <c r="AE78" s="105">
        <f t="shared" si="23"/>
        <v>1.3375383048539852E-3</v>
      </c>
    </row>
    <row r="79" spans="28:31" x14ac:dyDescent="0.2">
      <c r="AB79" s="378">
        <f>_xll.qlCalendarAdvance(Calendar,AB78,"1d","mf")</f>
        <v>41935</v>
      </c>
      <c r="AC79" s="105">
        <f t="shared" si="15"/>
        <v>1.4779553494261878E-3</v>
      </c>
      <c r="AD79" s="105">
        <f t="shared" si="22"/>
        <v>1.5349612048348475E-3</v>
      </c>
      <c r="AE79" s="105">
        <f t="shared" si="23"/>
        <v>1.3353113671125047E-3</v>
      </c>
    </row>
    <row r="80" spans="28:31" x14ac:dyDescent="0.2">
      <c r="AB80" s="378">
        <f>_xll.qlCalendarAdvance(Calendar,AB79,"1d","mf")</f>
        <v>41936</v>
      </c>
      <c r="AC80" s="105">
        <f t="shared" si="15"/>
        <v>1.4779553494261878E-3</v>
      </c>
      <c r="AD80" s="105">
        <f t="shared" si="22"/>
        <v>1.5326809706185012E-3</v>
      </c>
      <c r="AE80" s="105">
        <f t="shared" si="23"/>
        <v>1.3332407320447396E-3</v>
      </c>
    </row>
    <row r="81" spans="28:31" x14ac:dyDescent="0.2">
      <c r="AB81" s="378">
        <f>_xll.qlCalendarAdvance(Calendar,AB80,"1d","mf")</f>
        <v>41939</v>
      </c>
      <c r="AC81" s="105">
        <f t="shared" si="15"/>
        <v>1.4779553494261878E-3</v>
      </c>
      <c r="AD81" s="105">
        <f t="shared" si="22"/>
        <v>1.5258402679694618E-3</v>
      </c>
      <c r="AE81" s="105">
        <f t="shared" si="23"/>
        <v>1.3279666428837361E-3</v>
      </c>
    </row>
    <row r="82" spans="28:31" x14ac:dyDescent="0.2">
      <c r="AB82" s="378">
        <f>_xll.qlCalendarAdvance(Calendar,AB81,"1d","mf")</f>
        <v>41940</v>
      </c>
      <c r="AC82" s="105">
        <f t="shared" si="15"/>
        <v>1.4779553494261878E-3</v>
      </c>
      <c r="AD82" s="105">
        <f t="shared" si="22"/>
        <v>1.5235600337531155E-3</v>
      </c>
      <c r="AE82" s="105">
        <f t="shared" si="23"/>
        <v>1.3265212185108325E-3</v>
      </c>
    </row>
    <row r="83" spans="28:31" x14ac:dyDescent="0.2">
      <c r="AB83" s="378">
        <f>_xll.qlCalendarAdvance(Calendar,AB82,"1d","mf")</f>
        <v>41941</v>
      </c>
      <c r="AC83" s="105">
        <f t="shared" si="15"/>
        <v>1.4779553494261878E-3</v>
      </c>
      <c r="AD83" s="105">
        <f t="shared" si="22"/>
        <v>1.5212797995367692E-3</v>
      </c>
      <c r="AE83" s="105">
        <f t="shared" si="23"/>
        <v>1.325232096811644E-3</v>
      </c>
    </row>
    <row r="84" spans="28:31" x14ac:dyDescent="0.2">
      <c r="AB84" s="378">
        <f>_xll.qlCalendarAdvance(Calendar,AB83,"1d","mf")</f>
        <v>41942</v>
      </c>
      <c r="AC84" s="105">
        <f t="shared" si="15"/>
        <v>1.4779553494261878E-3</v>
      </c>
      <c r="AD84" s="105">
        <f t="shared" si="22"/>
        <v>1.5189995653204227E-3</v>
      </c>
      <c r="AE84" s="105">
        <f t="shared" si="23"/>
        <v>1.3240992777861708E-3</v>
      </c>
    </row>
    <row r="85" spans="28:31" x14ac:dyDescent="0.2">
      <c r="AB85" s="378">
        <f>_xll.qlCalendarAdvance(Calendar,AB84,"1d","mf")</f>
        <v>41943</v>
      </c>
      <c r="AC85" s="105">
        <f t="shared" si="15"/>
        <v>1.4779553494261878E-3</v>
      </c>
      <c r="AD85" s="105">
        <f t="shared" si="22"/>
        <v>1.5167193311040764E-3</v>
      </c>
      <c r="AE85" s="105">
        <f t="shared" si="23"/>
        <v>1.3231227614344131E-3</v>
      </c>
    </row>
    <row r="86" spans="28:31" x14ac:dyDescent="0.2">
      <c r="AB86" s="378">
        <f>_xll.qlCalendarAdvance(Calendar,AB85,"1d","mf")</f>
        <v>41946</v>
      </c>
      <c r="AC86" s="105">
        <f t="shared" si="15"/>
        <v>1.4779553494261878E-3</v>
      </c>
      <c r="AD86" s="105">
        <f t="shared" si="22"/>
        <v>1.5098786284550372E-3</v>
      </c>
      <c r="AE86" s="105">
        <f t="shared" si="23"/>
        <v>1.3211310284214318E-3</v>
      </c>
    </row>
    <row r="87" spans="28:31" x14ac:dyDescent="0.2">
      <c r="AB87" s="378">
        <f>_xll.qlCalendarAdvance(Calendar,AB86,"1d","mf")</f>
        <v>41947</v>
      </c>
      <c r="AC87" s="105">
        <f t="shared" si="15"/>
        <v>1.4779553494261878E-3</v>
      </c>
      <c r="AD87" s="105">
        <f t="shared" si="22"/>
        <v>1.5075983942386909E-3</v>
      </c>
      <c r="AE87" s="105">
        <f t="shared" si="23"/>
        <v>1.3207797227645355E-3</v>
      </c>
    </row>
    <row r="88" spans="28:31" x14ac:dyDescent="0.2">
      <c r="AB88" s="378">
        <f>_xll.qlCalendarAdvance(Calendar,AB87,"1d","mf")</f>
        <v>41948</v>
      </c>
      <c r="AC88" s="105">
        <f t="shared" si="15"/>
        <v>1.4779553494261878E-3</v>
      </c>
      <c r="AD88" s="105">
        <f t="shared" si="22"/>
        <v>1.5053181600223444E-3</v>
      </c>
      <c r="AE88" s="105">
        <f t="shared" si="23"/>
        <v>1.3205847197813544E-3</v>
      </c>
    </row>
    <row r="89" spans="28:31" x14ac:dyDescent="0.2">
      <c r="AB89" s="378">
        <f>_xll.qlCalendarAdvance(Calendar,AB88,"1d","mf")</f>
        <v>41949</v>
      </c>
      <c r="AC89" s="105">
        <f t="shared" si="15"/>
        <v>1.4779553494261878E-3</v>
      </c>
      <c r="AD89" s="105">
        <f t="shared" si="22"/>
        <v>1.5030379258059981E-3</v>
      </c>
      <c r="AE89" s="105">
        <f t="shared" si="23"/>
        <v>1.3205460194718886E-3</v>
      </c>
    </row>
    <row r="90" spans="28:31" x14ac:dyDescent="0.2">
      <c r="AB90" s="378">
        <f>_xll.qlCalendarAdvance(Calendar,AB89,"1d","mf")</f>
        <v>41950</v>
      </c>
      <c r="AC90" s="105">
        <f t="shared" si="15"/>
        <v>1.4779553494261878E-3</v>
      </c>
      <c r="AD90" s="105">
        <f t="shared" si="22"/>
        <v>1.5007576915896516E-3</v>
      </c>
      <c r="AE90" s="105">
        <f t="shared" si="23"/>
        <v>1.3206636218361383E-3</v>
      </c>
    </row>
    <row r="91" spans="28:31" x14ac:dyDescent="0.2">
      <c r="AB91" s="378">
        <f>_xll.qlCalendarAdvance(Calendar,AB90,"1d","mf")</f>
        <v>41953</v>
      </c>
      <c r="AC91" s="105">
        <f t="shared" si="15"/>
        <v>1.4779553494261878E-3</v>
      </c>
      <c r="AD91" s="105">
        <f t="shared" si="22"/>
        <v>1.4939169889406124E-3</v>
      </c>
      <c r="AE91" s="105">
        <f t="shared" si="23"/>
        <v>1.3219542449711789E-3</v>
      </c>
    </row>
    <row r="92" spans="28:31" x14ac:dyDescent="0.2">
      <c r="AB92" s="378">
        <f>_xll.qlCalendarAdvance(Calendar,AB91,"1d","mf")</f>
        <v>41954</v>
      </c>
      <c r="AC92" s="105">
        <f t="shared" si="15"/>
        <v>1.4779553494261878E-3</v>
      </c>
      <c r="AD92" s="105">
        <f t="shared" si="22"/>
        <v>1.4916367547242661E-3</v>
      </c>
      <c r="AE92" s="105">
        <f t="shared" si="23"/>
        <v>1.3226970580302901E-3</v>
      </c>
    </row>
    <row r="93" spans="28:31" x14ac:dyDescent="0.2">
      <c r="AB93" s="378">
        <f>_xll.qlCalendarAdvance(Calendar,AB92,"1d","mf")</f>
        <v>41955</v>
      </c>
      <c r="AC93" s="105">
        <f t="shared" si="15"/>
        <v>1.4779553494261878E-3</v>
      </c>
      <c r="AD93" s="105">
        <f t="shared" si="22"/>
        <v>1.4893565205079198E-3</v>
      </c>
      <c r="AE93" s="105">
        <f t="shared" si="23"/>
        <v>1.3235961737631165E-3</v>
      </c>
    </row>
    <row r="94" spans="28:31" x14ac:dyDescent="0.2">
      <c r="AB94" s="378">
        <f>_xll.qlCalendarAdvance(Calendar,AB93,"1d","mf")</f>
        <v>41956</v>
      </c>
      <c r="AC94" s="105">
        <f t="shared" si="15"/>
        <v>1.4779553494261878E-3</v>
      </c>
      <c r="AD94" s="105">
        <f t="shared" ref="AD94:AD96" si="24">$O$32+$O$31*(AB94-SettlementDate)</f>
        <v>1.4870762862915733E-3</v>
      </c>
      <c r="AE94" s="105">
        <f t="shared" ref="AE94:AE96" si="25">$T$32+$T$31*(AB94-SettlementDate)+$T$30*(AB94-SettlementDate)^2</f>
        <v>1.324651592169658E-3</v>
      </c>
    </row>
    <row r="95" spans="28:31" x14ac:dyDescent="0.2">
      <c r="AB95" s="378">
        <f>_xll.qlCalendarAdvance(Calendar,AB94,"1d","mf")</f>
        <v>41957</v>
      </c>
      <c r="AC95" s="105">
        <f t="shared" ref="AC95:AC96" si="26">$H$32</f>
        <v>1.4779553494261878E-3</v>
      </c>
      <c r="AD95" s="105">
        <f t="shared" si="24"/>
        <v>1.484796052075227E-3</v>
      </c>
      <c r="AE95" s="105">
        <f t="shared" si="25"/>
        <v>1.3258633132499152E-3</v>
      </c>
    </row>
    <row r="96" spans="28:31" x14ac:dyDescent="0.2">
      <c r="AB96" s="378">
        <f>_xll.qlCalendarAdvance(Calendar,AB95,"1d","mf")</f>
        <v>41960</v>
      </c>
      <c r="AC96" s="105">
        <f t="shared" si="26"/>
        <v>1.4779553494261878E-3</v>
      </c>
      <c r="AD96" s="105">
        <f t="shared" si="24"/>
        <v>1.4779553494261878E-3</v>
      </c>
      <c r="AE96" s="105">
        <f t="shared" si="25"/>
        <v>1.3304362925329783E-3</v>
      </c>
    </row>
    <row r="97" spans="28:31" x14ac:dyDescent="0.2">
      <c r="AB97" s="378"/>
      <c r="AC97" s="105"/>
      <c r="AD97" s="105"/>
      <c r="AE97" s="105"/>
    </row>
    <row r="98" spans="28:31" x14ac:dyDescent="0.2">
      <c r="AB98" s="378"/>
      <c r="AC98" s="105"/>
      <c r="AD98" s="105"/>
      <c r="AE98" s="105"/>
    </row>
    <row r="99" spans="28:31" x14ac:dyDescent="0.2">
      <c r="AB99" s="378"/>
      <c r="AC99" s="105"/>
      <c r="AD99" s="105"/>
      <c r="AE99" s="105"/>
    </row>
    <row r="100" spans="28:31" x14ac:dyDescent="0.2">
      <c r="AB100" s="378"/>
      <c r="AC100" s="105"/>
      <c r="AD100" s="105"/>
      <c r="AE100" s="105"/>
    </row>
    <row r="101" spans="28:31" x14ac:dyDescent="0.2">
      <c r="AB101" s="378"/>
      <c r="AC101" s="105"/>
      <c r="AD101" s="105"/>
      <c r="AE101" s="105"/>
    </row>
    <row r="102" spans="28:31" x14ac:dyDescent="0.2">
      <c r="AB102" s="378"/>
      <c r="AC102" s="105"/>
      <c r="AD102" s="105"/>
      <c r="AE102" s="105"/>
    </row>
    <row r="103" spans="28:31" x14ac:dyDescent="0.2">
      <c r="AB103" s="378"/>
      <c r="AC103" s="105"/>
      <c r="AD103" s="105"/>
      <c r="AE103" s="105"/>
    </row>
    <row r="104" spans="28:31" x14ac:dyDescent="0.2">
      <c r="AB104" s="378"/>
      <c r="AC104" s="105"/>
      <c r="AD104" s="105"/>
      <c r="AE104" s="105"/>
    </row>
    <row r="105" spans="28:31" x14ac:dyDescent="0.2">
      <c r="AB105" s="378"/>
      <c r="AC105" s="105"/>
      <c r="AD105" s="105"/>
      <c r="AE105" s="105"/>
    </row>
    <row r="106" spans="28:31" x14ac:dyDescent="0.2">
      <c r="AB106" s="378"/>
      <c r="AC106" s="105"/>
      <c r="AD106" s="105"/>
      <c r="AE106" s="105"/>
    </row>
    <row r="107" spans="28:31" x14ac:dyDescent="0.2">
      <c r="AB107" s="378"/>
      <c r="AC107" s="105"/>
      <c r="AD107" s="105"/>
      <c r="AE107" s="105"/>
    </row>
    <row r="108" spans="28:31" x14ac:dyDescent="0.2">
      <c r="AB108" s="378"/>
      <c r="AC108" s="105"/>
      <c r="AD108" s="105"/>
      <c r="AE108" s="105"/>
    </row>
    <row r="109" spans="28:31" x14ac:dyDescent="0.2">
      <c r="AB109" s="378"/>
      <c r="AC109" s="105"/>
      <c r="AD109" s="105"/>
      <c r="AE109" s="105"/>
    </row>
    <row r="110" spans="28:31" x14ac:dyDescent="0.2">
      <c r="AB110" s="378"/>
      <c r="AC110" s="105"/>
      <c r="AD110" s="105"/>
      <c r="AE110" s="105"/>
    </row>
    <row r="111" spans="28:31" x14ac:dyDescent="0.2">
      <c r="AB111" s="378"/>
      <c r="AC111" s="105"/>
      <c r="AD111" s="105"/>
      <c r="AE111" s="105"/>
    </row>
    <row r="112" spans="28:31" x14ac:dyDescent="0.2">
      <c r="AB112" s="378"/>
      <c r="AC112" s="105"/>
      <c r="AD112" s="105"/>
      <c r="AE112" s="105"/>
    </row>
    <row r="113" spans="28:31" x14ac:dyDescent="0.2">
      <c r="AB113" s="378"/>
      <c r="AC113" s="105"/>
      <c r="AD113" s="105"/>
      <c r="AE113" s="105"/>
    </row>
    <row r="114" spans="28:31" x14ac:dyDescent="0.2">
      <c r="AB114" s="378"/>
      <c r="AC114" s="105"/>
      <c r="AD114" s="105"/>
      <c r="AE114" s="105"/>
    </row>
    <row r="115" spans="28:31" x14ac:dyDescent="0.2">
      <c r="AB115" s="378"/>
      <c r="AC115" s="105"/>
      <c r="AD115" s="105"/>
      <c r="AE115" s="105"/>
    </row>
    <row r="116" spans="28:31" x14ac:dyDescent="0.2">
      <c r="AB116" s="378"/>
      <c r="AC116" s="105"/>
      <c r="AD116" s="105"/>
      <c r="AE116" s="105"/>
    </row>
    <row r="117" spans="28:31" x14ac:dyDescent="0.2">
      <c r="AB117" s="378"/>
      <c r="AC117" s="105"/>
      <c r="AD117" s="105"/>
      <c r="AE117" s="105"/>
    </row>
    <row r="118" spans="28:31" x14ac:dyDescent="0.2">
      <c r="AB118" s="378"/>
      <c r="AC118" s="105"/>
      <c r="AD118" s="105"/>
      <c r="AE118" s="105"/>
    </row>
    <row r="119" spans="28:31" x14ac:dyDescent="0.2">
      <c r="AB119" s="378"/>
      <c r="AC119" s="105"/>
      <c r="AD119" s="105"/>
      <c r="AE119" s="105"/>
    </row>
    <row r="120" spans="28:31" x14ac:dyDescent="0.2">
      <c r="AB120" s="378"/>
      <c r="AC120" s="105"/>
      <c r="AD120" s="105"/>
      <c r="AE120" s="105"/>
    </row>
    <row r="121" spans="28:31" x14ac:dyDescent="0.2">
      <c r="AB121" s="378"/>
      <c r="AC121" s="105"/>
      <c r="AD121" s="105"/>
      <c r="AE121" s="105"/>
    </row>
    <row r="122" spans="28:31" x14ac:dyDescent="0.2">
      <c r="AB122" s="378"/>
      <c r="AC122" s="105"/>
      <c r="AD122" s="105"/>
      <c r="AE122" s="105"/>
    </row>
    <row r="123" spans="28:31" x14ac:dyDescent="0.2">
      <c r="AB123" s="378"/>
      <c r="AC123" s="105"/>
      <c r="AD123" s="105"/>
      <c r="AE123" s="105"/>
    </row>
    <row r="124" spans="28:31" x14ac:dyDescent="0.2">
      <c r="AB124" s="378"/>
      <c r="AC124" s="105"/>
      <c r="AD124" s="105"/>
      <c r="AE124" s="105"/>
    </row>
    <row r="125" spans="28:31" x14ac:dyDescent="0.2">
      <c r="AB125" s="378"/>
      <c r="AC125" s="105"/>
      <c r="AD125" s="105"/>
      <c r="AE125" s="105"/>
    </row>
    <row r="126" spans="28:31" x14ac:dyDescent="0.2">
      <c r="AB126" s="378"/>
      <c r="AC126" s="105"/>
      <c r="AD126" s="105"/>
      <c r="AE126" s="105"/>
    </row>
    <row r="127" spans="28:31" x14ac:dyDescent="0.2">
      <c r="AB127" s="378"/>
      <c r="AC127" s="105"/>
      <c r="AD127" s="105"/>
      <c r="AE127" s="105"/>
    </row>
    <row r="128" spans="28:31" x14ac:dyDescent="0.2">
      <c r="AB128" s="378"/>
      <c r="AC128" s="105"/>
      <c r="AD128" s="105"/>
      <c r="AE128" s="105"/>
    </row>
    <row r="129" spans="28:31" x14ac:dyDescent="0.2">
      <c r="AB129" s="378"/>
      <c r="AC129" s="105"/>
      <c r="AD129" s="105"/>
      <c r="AE129" s="105"/>
    </row>
    <row r="130" spans="28:31" x14ac:dyDescent="0.2">
      <c r="AB130" s="378"/>
      <c r="AC130" s="105"/>
      <c r="AD130" s="105"/>
      <c r="AE130" s="105"/>
    </row>
    <row r="131" spans="28:31" x14ac:dyDescent="0.2">
      <c r="AB131" s="378"/>
      <c r="AC131" s="105"/>
      <c r="AD131" s="105"/>
      <c r="AE131" s="105"/>
    </row>
    <row r="132" spans="28:31" x14ac:dyDescent="0.2">
      <c r="AB132" s="378"/>
      <c r="AC132" s="105"/>
      <c r="AD132" s="105"/>
      <c r="AE132" s="105"/>
    </row>
    <row r="133" spans="28:31" x14ac:dyDescent="0.2">
      <c r="AB133" s="378"/>
      <c r="AC133" s="105"/>
      <c r="AD133" s="105"/>
      <c r="AE133" s="105"/>
    </row>
    <row r="134" spans="28:31" x14ac:dyDescent="0.2">
      <c r="AB134" s="378"/>
      <c r="AC134" s="105"/>
      <c r="AD134" s="105"/>
      <c r="AE134" s="105"/>
    </row>
    <row r="135" spans="28:31" x14ac:dyDescent="0.2">
      <c r="AB135" s="378"/>
      <c r="AC135" s="105"/>
      <c r="AD135" s="105"/>
      <c r="AE135" s="105"/>
    </row>
    <row r="136" spans="28:31" x14ac:dyDescent="0.2">
      <c r="AB136" s="378"/>
      <c r="AC136" s="105"/>
      <c r="AD136" s="105"/>
      <c r="AE136" s="105"/>
    </row>
    <row r="137" spans="28:31" x14ac:dyDescent="0.2">
      <c r="AB137" s="378"/>
      <c r="AC137" s="105"/>
      <c r="AD137" s="105"/>
      <c r="AE137" s="105"/>
    </row>
    <row r="138" spans="28:31" x14ac:dyDescent="0.2">
      <c r="AB138" s="378"/>
      <c r="AC138" s="105"/>
      <c r="AD138" s="105"/>
      <c r="AE138" s="105"/>
    </row>
    <row r="139" spans="28:31" x14ac:dyDescent="0.2">
      <c r="AB139" s="378"/>
      <c r="AC139" s="105"/>
      <c r="AD139" s="105"/>
      <c r="AE139" s="105"/>
    </row>
    <row r="140" spans="28:31" x14ac:dyDescent="0.2">
      <c r="AB140" s="378"/>
      <c r="AC140" s="105"/>
      <c r="AD140" s="105"/>
      <c r="AE140" s="105"/>
    </row>
    <row r="141" spans="28:31" x14ac:dyDescent="0.2">
      <c r="AB141" s="378"/>
      <c r="AC141" s="105"/>
      <c r="AD141" s="105"/>
      <c r="AE141" s="105"/>
    </row>
    <row r="142" spans="28:31" x14ac:dyDescent="0.2">
      <c r="AB142" s="378"/>
      <c r="AC142" s="105"/>
      <c r="AD142" s="105"/>
      <c r="AE142" s="105"/>
    </row>
    <row r="143" spans="28:31" x14ac:dyDescent="0.2">
      <c r="AB143" s="378"/>
      <c r="AC143" s="105"/>
      <c r="AD143" s="105"/>
      <c r="AE143" s="105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555" t="s">
        <v>102</v>
      </c>
      <c r="C1" s="556"/>
      <c r="D1" s="556"/>
      <c r="E1" s="193" t="s">
        <v>103</v>
      </c>
      <c r="F1" s="193" t="s">
        <v>104</v>
      </c>
      <c r="G1" s="193" t="s">
        <v>105</v>
      </c>
      <c r="H1" s="193" t="s">
        <v>106</v>
      </c>
      <c r="I1" s="193" t="s">
        <v>107</v>
      </c>
      <c r="J1" s="193" t="s">
        <v>108</v>
      </c>
      <c r="K1" s="193" t="s">
        <v>109</v>
      </c>
      <c r="L1" s="194" t="s">
        <v>110</v>
      </c>
    </row>
    <row r="2" spans="2:13" x14ac:dyDescent="0.2">
      <c r="B2" s="196"/>
      <c r="C2" s="197" t="s">
        <v>31</v>
      </c>
      <c r="D2" s="198" t="s">
        <v>111</v>
      </c>
      <c r="E2" s="265" t="str">
        <f>Contribution!$D$40</f>
        <v>EUR1YD_SYNTH1Y_Quote#0001</v>
      </c>
      <c r="F2" s="265" t="str">
        <f>_xll.qlDepositRateHelper(,E2,$F$10,)</f>
        <v>obj_00396#0001</v>
      </c>
      <c r="G2" s="199">
        <f>_xll.qlRateHelperQuoteValue(F2,InterestRatesTrigger)</f>
        <v>4.79E-3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41866</v>
      </c>
      <c r="L2" s="202">
        <f>_xll.qlRateHelperLatestDate($F2,InterestRatesTrigger)</f>
        <v>42233</v>
      </c>
    </row>
    <row r="3" spans="2:13" ht="11.25" customHeight="1" x14ac:dyDescent="0.2">
      <c r="B3" s="203">
        <v>12</v>
      </c>
      <c r="C3" s="204" t="s">
        <v>112</v>
      </c>
      <c r="D3" s="204" t="s">
        <v>113</v>
      </c>
      <c r="E3" s="266" t="s">
        <v>114</v>
      </c>
      <c r="F3" s="266" t="str">
        <f>_xll.qlFraRateHelper(,E3,B3&amp;"M",$F$10)</f>
        <v>obj_003b0#0001</v>
      </c>
      <c r="G3" s="205">
        <f>_xll.qlRateHelperQuoteValue(F3,InterestRatesTrigger)</f>
        <v>5.0099999999999997E-3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42233</v>
      </c>
      <c r="L3" s="208">
        <f>_xll.qlRateHelperLatestDate($F3,InterestRatesTrigger)</f>
        <v>42599</v>
      </c>
      <c r="M3" s="209"/>
    </row>
    <row r="4" spans="2:13" x14ac:dyDescent="0.2">
      <c r="B4" s="210" t="s">
        <v>115</v>
      </c>
      <c r="C4" s="211" t="s">
        <v>116</v>
      </c>
      <c r="D4" s="212" t="s">
        <v>117</v>
      </c>
      <c r="E4" s="267" t="s">
        <v>118</v>
      </c>
      <c r="F4" s="267" t="str">
        <f>_xll.qlSwapRateHelper2(,E4,D4,Calendar,"annual","mf","30/360 (Bond Basis)",$F$10,0,"0D",Discounting)</f>
        <v>obj_00391#0001</v>
      </c>
      <c r="G4" s="213">
        <f>_xll.qlRateHelperQuoteValue(F4,InterestRatesTrigger)</f>
        <v>5.4900000000000001E-3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41866</v>
      </c>
      <c r="L4" s="216">
        <f>_xll.qlRateHelperLatestDate($F4,InterestRatesTrigger)</f>
        <v>42962</v>
      </c>
    </row>
    <row r="5" spans="2:13" x14ac:dyDescent="0.2">
      <c r="B5" s="217" t="s">
        <v>115</v>
      </c>
      <c r="C5" s="218" t="s">
        <v>116</v>
      </c>
      <c r="D5" s="219" t="s">
        <v>119</v>
      </c>
      <c r="E5" s="268" t="s">
        <v>120</v>
      </c>
      <c r="F5" s="268" t="str">
        <f>_xll.qlSwapRateHelper2(,E5,D5,Calendar,"annual","mf","30/360 (Bond Basis)",$F$10,0,"0D",Discounting)</f>
        <v>obj_00390#0001</v>
      </c>
      <c r="G5" s="220">
        <f>_xll.qlRateHelperQuoteValue(F5,InterestRatesTrigger)</f>
        <v>6.3599999999999993E-3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41866</v>
      </c>
      <c r="L5" s="223">
        <f>_xll.qlRateHelperLatestDate($F5,InterestRatesTrigger)</f>
        <v>43327</v>
      </c>
    </row>
    <row r="6" spans="2:13" x14ac:dyDescent="0.2">
      <c r="B6" s="224" t="s">
        <v>115</v>
      </c>
      <c r="C6" s="197" t="s">
        <v>116</v>
      </c>
      <c r="D6" s="198" t="s">
        <v>121</v>
      </c>
      <c r="E6" s="265" t="s">
        <v>122</v>
      </c>
      <c r="F6" s="265" t="str">
        <f>_xll.qlSwapRateHelper2(,E6,D6,Calendar,"annual","mf","30/360 (Bond Basis)",$F$10,0,"0D",Discounting)</f>
        <v>obj_0038f#0001</v>
      </c>
      <c r="G6" s="199">
        <f>_xll.qlRateHelperQuoteValue(F6,InterestRatesTrigger)</f>
        <v>7.5000000000000006E-3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41866</v>
      </c>
      <c r="L6" s="202">
        <f>_xll.qlRateHelperLatestDate($F6,InterestRatesTrigger)</f>
        <v>43692</v>
      </c>
    </row>
    <row r="10" spans="2:13" x14ac:dyDescent="0.2">
      <c r="F10" s="195" t="str">
        <f>_xll.qlEuribor(,IborTenor,,,EvaluationDate)</f>
        <v>obj_00374#0001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tabSelected="1" workbookViewId="0">
      <selection activeCell="R21" sqref="R21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81</v>
      </c>
      <c r="K2" s="175"/>
      <c r="L2" s="283" t="s">
        <v>82</v>
      </c>
      <c r="M2" s="175"/>
      <c r="N2" s="275" t="s">
        <v>83</v>
      </c>
      <c r="O2" s="287" t="s">
        <v>84</v>
      </c>
      <c r="P2" s="353">
        <f>_xll.ohTrigger(O3:O7)</f>
        <v>16</v>
      </c>
    </row>
    <row r="3" spans="1:16" x14ac:dyDescent="0.2">
      <c r="A3" s="335">
        <v>1</v>
      </c>
      <c r="B3" s="323" t="s">
        <v>85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EURSND_SYNTH1M_Quote#0001</v>
      </c>
      <c r="E3" s="319" t="str">
        <f>_xll.ohRangeRetrieveError(D3)</f>
        <v/>
      </c>
      <c r="F3" s="173"/>
      <c r="H3" s="174"/>
      <c r="I3" s="277" t="s">
        <v>85</v>
      </c>
      <c r="J3" s="278">
        <f>SynthDepo!G34</f>
        <v>7.562493980206341E-4</v>
      </c>
      <c r="K3" s="178" t="s">
        <v>86</v>
      </c>
      <c r="L3" s="284">
        <v>7.562493980206341E-4</v>
      </c>
      <c r="M3" s="175"/>
      <c r="N3" s="288">
        <f t="array" ref="N3:N84">QuoteLive</f>
        <v>7.562493980206341E-4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87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EURSWD_SYNTH1M_Quote#0001</v>
      </c>
      <c r="E4" s="320" t="str">
        <f>_xll.ohRangeRetrieveError(D4)</f>
        <v/>
      </c>
      <c r="F4" s="173"/>
      <c r="H4" s="174"/>
      <c r="I4" s="277" t="s">
        <v>87</v>
      </c>
      <c r="J4" s="278">
        <f>SynthDepo!G35</f>
        <v>7.139280586619277E-4</v>
      </c>
      <c r="K4" s="178" t="s">
        <v>86</v>
      </c>
      <c r="L4" s="284">
        <v>7.139280586619277E-4</v>
      </c>
      <c r="M4" s="175"/>
      <c r="N4" s="288">
        <v>7.139280586619277E-4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88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EUR2WD_SYNTH1M_Quote#0001</v>
      </c>
      <c r="E5" s="320" t="str">
        <f>_xll.ohRangeRetrieveError(D5)</f>
        <v/>
      </c>
      <c r="F5" s="173"/>
      <c r="H5" s="174"/>
      <c r="I5" s="277" t="s">
        <v>88</v>
      </c>
      <c r="J5" s="278">
        <f>SynthDepo!G36</f>
        <v>7.1986570928168924E-4</v>
      </c>
      <c r="K5" s="178" t="s">
        <v>86</v>
      </c>
      <c r="L5" s="284">
        <v>7.1986570928168924E-4</v>
      </c>
      <c r="M5" s="175"/>
      <c r="N5" s="288">
        <v>7.1986570928168924E-4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89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EUR3WD_SYNTH1M_Quote#0001</v>
      </c>
      <c r="E6" s="320" t="str">
        <f>_xll.ohRangeRetrieveError(D6)</f>
        <v/>
      </c>
      <c r="F6" s="173"/>
      <c r="H6" s="174"/>
      <c r="I6" s="279" t="s">
        <v>89</v>
      </c>
      <c r="J6" s="280">
        <f>SynthDepo!G37</f>
        <v>9.4580336066685212E-4</v>
      </c>
      <c r="K6" s="178" t="s">
        <v>86</v>
      </c>
      <c r="L6" s="285">
        <v>9.4580336066685212E-4</v>
      </c>
      <c r="M6" s="175"/>
      <c r="N6" s="290">
        <v>9.4580336066685212E-4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90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EUR1MD_SYNTH1M_Quote#0001</v>
      </c>
      <c r="E7" s="331" t="str">
        <f>_xll.ohRangeRetrieveError(D7)</f>
        <v/>
      </c>
      <c r="F7" s="173"/>
      <c r="H7" s="297"/>
      <c r="I7" s="281" t="s">
        <v>90</v>
      </c>
      <c r="J7" s="282">
        <f>SynthDepo!G38</f>
        <v>8.9999999999999998E-4</v>
      </c>
      <c r="K7" s="298" t="s">
        <v>86</v>
      </c>
      <c r="L7" s="286">
        <v>8.9999999999999998E-4</v>
      </c>
      <c r="M7" s="297"/>
      <c r="N7" s="292">
        <v>8.9999999999999998E-4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85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EURSND_SYNTH3M_Quote#0001</v>
      </c>
      <c r="E8" s="319"/>
      <c r="F8" s="181"/>
      <c r="H8" s="184"/>
      <c r="I8" s="299" t="s">
        <v>85</v>
      </c>
      <c r="J8" s="300">
        <f>SynthDepo!H34</f>
        <v>2.0854566594392708E-3</v>
      </c>
      <c r="K8" s="185"/>
      <c r="L8" s="301">
        <v>2.0854566594392708E-3</v>
      </c>
      <c r="M8" s="183"/>
      <c r="N8" s="302">
        <v>2.0854566594392708E-3</v>
      </c>
      <c r="O8" s="303">
        <f>_xll.qlSimpleQuoteSetValue(D8,ROUND($N8,6),EvaluationDate)</f>
        <v>0</v>
      </c>
      <c r="P8" s="354">
        <f>_xll.ohTrigger(O8:O14)</f>
        <v>16</v>
      </c>
    </row>
    <row r="9" spans="1:16" x14ac:dyDescent="0.2">
      <c r="A9" s="318" t="str">
        <f>_xll.qlPeriodEquivalent(Months3M&amp;"M")</f>
        <v>3M</v>
      </c>
      <c r="B9" s="326" t="s">
        <v>87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EURSWD_SYNTH3M_Quote#0001</v>
      </c>
      <c r="E9" s="320"/>
      <c r="F9" s="181"/>
      <c r="H9" s="184"/>
      <c r="I9" s="294" t="s">
        <v>87</v>
      </c>
      <c r="J9" s="278">
        <f>SynthDepo!H35</f>
        <v>2.0363357259103824E-3</v>
      </c>
      <c r="K9" s="185"/>
      <c r="L9" s="284">
        <v>2.0363357259103824E-3</v>
      </c>
      <c r="M9" s="183"/>
      <c r="N9" s="288">
        <v>2.0363357259103824E-3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88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EUR2WD_SYNTH3M_Quote#0001</v>
      </c>
      <c r="E10" s="320"/>
      <c r="F10" s="181"/>
      <c r="H10" s="184"/>
      <c r="I10" s="294" t="s">
        <v>88</v>
      </c>
      <c r="J10" s="278">
        <f>SynthDepo!H36</f>
        <v>2.0303740867323259E-3</v>
      </c>
      <c r="K10" s="185"/>
      <c r="L10" s="284">
        <v>2.0303740867323259E-3</v>
      </c>
      <c r="M10" s="183"/>
      <c r="N10" s="288">
        <v>2.0303740867323259E-3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89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EUR3WD_SYNTH3M_Quote#0001</v>
      </c>
      <c r="E11" s="320"/>
      <c r="F11" s="181"/>
      <c r="H11" s="184"/>
      <c r="I11" s="295" t="s">
        <v>89</v>
      </c>
      <c r="J11" s="280">
        <f>SynthDepo!H37</f>
        <v>2.2444124483196708E-3</v>
      </c>
      <c r="K11" s="185"/>
      <c r="L11" s="285">
        <v>2.2444124483196708E-3</v>
      </c>
      <c r="M11" s="183"/>
      <c r="N11" s="290">
        <v>2.2444124483196708E-3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90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EUR1MD_SYNTH3M_Quote#0001</v>
      </c>
      <c r="E12" s="321"/>
      <c r="F12" s="181"/>
      <c r="H12" s="184"/>
      <c r="I12" s="294" t="s">
        <v>90</v>
      </c>
      <c r="J12" s="278">
        <f>SynthDepo!H38</f>
        <v>2.1816101022273638E-3</v>
      </c>
      <c r="K12" s="185"/>
      <c r="L12" s="284">
        <v>2.1816101022273638E-3</v>
      </c>
      <c r="M12" s="183"/>
      <c r="N12" s="288">
        <v>2.1816101022273638E-3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91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EUR2MD_SYNTH3M_Quote#0001</v>
      </c>
      <c r="E13" s="321"/>
      <c r="F13" s="181"/>
      <c r="H13" s="184"/>
      <c r="I13" s="294" t="s">
        <v>91</v>
      </c>
      <c r="J13" s="278">
        <f>SynthDepo!H39</f>
        <v>2.100593842366712E-3</v>
      </c>
      <c r="K13" s="185"/>
      <c r="L13" s="284">
        <v>2.100593842366712E-3</v>
      </c>
      <c r="M13" s="183"/>
      <c r="N13" s="288">
        <v>2.100593842366712E-3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92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EUR3MD_SYNTH3M_Quote#0001</v>
      </c>
      <c r="E14" s="322"/>
      <c r="F14" s="181"/>
      <c r="H14" s="184"/>
      <c r="I14" s="296" t="s">
        <v>92</v>
      </c>
      <c r="J14" s="282">
        <f>SynthDepo!H40</f>
        <v>1.99E-3</v>
      </c>
      <c r="K14" s="185"/>
      <c r="L14" s="286">
        <v>1.99E-3</v>
      </c>
      <c r="M14" s="183"/>
      <c r="N14" s="292">
        <v>1.99E-3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85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EURSND_SYNTH6M_Quote#0001</v>
      </c>
      <c r="E15" s="319" t="str">
        <f>_xll.ohRangeRetrieveError(D15)</f>
        <v/>
      </c>
      <c r="F15" s="181"/>
      <c r="H15" s="184"/>
      <c r="I15" s="299" t="s">
        <v>85</v>
      </c>
      <c r="J15" s="300">
        <f>SynthDepo!I34</f>
        <v>3.429611293926924E-3</v>
      </c>
      <c r="K15" s="185"/>
      <c r="L15" s="301">
        <v>3.429611293926924E-3</v>
      </c>
      <c r="M15" s="183"/>
      <c r="N15" s="302">
        <v>3.429611293926924E-3</v>
      </c>
      <c r="O15" s="303">
        <f>_xll.qlSimpleQuoteSetValue(D15,ROUND($N15,6),EvaluationDate)</f>
        <v>0</v>
      </c>
      <c r="P15" s="355">
        <f>_xll.ohTrigger(O15:O24)</f>
        <v>16</v>
      </c>
    </row>
    <row r="16" spans="1:16" x14ac:dyDescent="0.2">
      <c r="A16" s="336" t="str">
        <f>_xll.qlPeriodEquivalent(Months6M&amp;"M")</f>
        <v>6M</v>
      </c>
      <c r="B16" s="340" t="s">
        <v>87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EURSWD_SYNTH6M_Quote#0001</v>
      </c>
      <c r="E16" s="320" t="str">
        <f>_xll.ohRangeRetrieveError(D16)</f>
        <v/>
      </c>
      <c r="F16" s="181"/>
      <c r="H16" s="184"/>
      <c r="I16" s="294" t="s">
        <v>87</v>
      </c>
      <c r="J16" s="278">
        <f>SynthDepo!I35</f>
        <v>3.3663605344225103E-3</v>
      </c>
      <c r="K16" s="185"/>
      <c r="L16" s="284">
        <v>3.3663605344225103E-3</v>
      </c>
      <c r="M16" s="183"/>
      <c r="N16" s="288">
        <v>3.3663605344225103E-3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88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EUR2WD_SYNTH6M_Quote#0001</v>
      </c>
      <c r="E17" s="320" t="str">
        <f>_xll.ohRangeRetrieveError(D17)</f>
        <v/>
      </c>
      <c r="F17" s="181"/>
      <c r="H17" s="182"/>
      <c r="I17" s="294" t="s">
        <v>88</v>
      </c>
      <c r="J17" s="278">
        <f>SynthDepo!I36</f>
        <v>3.3368531136497635E-3</v>
      </c>
      <c r="K17" s="185"/>
      <c r="L17" s="284">
        <v>3.3368531136497635E-3</v>
      </c>
      <c r="M17" s="183"/>
      <c r="N17" s="288">
        <v>3.3368531136497635E-3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89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EUR3WD_SYNTH6M_Quote#0001</v>
      </c>
      <c r="E18" s="320" t="str">
        <f>_xll.ohRangeRetrieveError(D18)</f>
        <v/>
      </c>
      <c r="F18" s="181"/>
      <c r="H18" s="182"/>
      <c r="I18" s="294" t="s">
        <v>89</v>
      </c>
      <c r="J18" s="278">
        <f>SynthDepo!I37</f>
        <v>3.5288493112855738E-3</v>
      </c>
      <c r="K18" s="185"/>
      <c r="L18" s="284">
        <v>3.5288493112855738E-3</v>
      </c>
      <c r="M18" s="183"/>
      <c r="N18" s="288">
        <v>3.5288493112855738E-3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90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EUR1MD_SYNTH6M_Quote#0001</v>
      </c>
      <c r="E19" s="320" t="str">
        <f>_xll.ohRangeRetrieveError(D19)</f>
        <v/>
      </c>
      <c r="F19" s="181"/>
      <c r="H19" s="182"/>
      <c r="I19" s="294" t="s">
        <v>90</v>
      </c>
      <c r="J19" s="278">
        <f>SynthDepo!I38</f>
        <v>3.437166475867978E-3</v>
      </c>
      <c r="K19" s="185"/>
      <c r="L19" s="284">
        <v>3.437166475867978E-3</v>
      </c>
      <c r="M19" s="183"/>
      <c r="N19" s="288">
        <v>3.437166475867978E-3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91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EUR2MD_SYNTH6M_Quote#0001</v>
      </c>
      <c r="E20" s="320" t="str">
        <f>_xll.ohRangeRetrieveError(D20)</f>
        <v/>
      </c>
      <c r="F20" s="181"/>
      <c r="H20" s="182"/>
      <c r="I20" s="294" t="s">
        <v>91</v>
      </c>
      <c r="J20" s="278">
        <f>SynthDepo!I39</f>
        <v>3.2879203926415284E-3</v>
      </c>
      <c r="K20" s="185"/>
      <c r="L20" s="284">
        <v>3.2879203926415284E-3</v>
      </c>
      <c r="M20" s="183"/>
      <c r="N20" s="288">
        <v>3.2879203926415284E-3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92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EUR3MD_SYNTH6M_Quote#0001</v>
      </c>
      <c r="E21" s="320" t="str">
        <f>_xll.ohRangeRetrieveError(D21)</f>
        <v/>
      </c>
      <c r="F21" s="181"/>
      <c r="H21" s="182"/>
      <c r="I21" s="294" t="s">
        <v>92</v>
      </c>
      <c r="J21" s="278">
        <f>SynthDepo!I40</f>
        <v>3.1341719188593851E-3</v>
      </c>
      <c r="K21" s="185"/>
      <c r="L21" s="284">
        <v>3.1341719188593851E-3</v>
      </c>
      <c r="M21" s="183"/>
      <c r="N21" s="288">
        <v>3.1341719188593851E-3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93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EUR4MD_SYNTH6M_Quote#0001</v>
      </c>
      <c r="E22" s="320" t="str">
        <f>_xll.ohRangeRetrieveError(D22)</f>
        <v/>
      </c>
      <c r="F22" s="181"/>
      <c r="H22" s="182"/>
      <c r="I22" s="294" t="s">
        <v>93</v>
      </c>
      <c r="J22" s="278">
        <f>SynthDepo!I41</f>
        <v>3.0638881440993079E-3</v>
      </c>
      <c r="K22" s="185"/>
      <c r="L22" s="284">
        <v>3.0638881440993079E-3</v>
      </c>
      <c r="M22" s="183"/>
      <c r="N22" s="288">
        <v>3.0638881440993079E-3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94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EUR5MD_SYNTH6M_Quote#0001</v>
      </c>
      <c r="E23" s="320" t="str">
        <f>_xll.ohRangeRetrieveError(D23)</f>
        <v/>
      </c>
      <c r="F23" s="181"/>
      <c r="H23" s="182"/>
      <c r="I23" s="294" t="s">
        <v>94</v>
      </c>
      <c r="J23" s="278">
        <f>SynthDepo!I42</f>
        <v>3.0024559434110483E-3</v>
      </c>
      <c r="K23" s="185"/>
      <c r="L23" s="284">
        <v>3.0024559434110483E-3</v>
      </c>
      <c r="M23" s="183"/>
      <c r="N23" s="288">
        <v>3.0024559434110483E-3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95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EUR6MD_SYNTH6M_Quote#0001</v>
      </c>
      <c r="E24" s="320" t="str">
        <f>_xll.ohRangeRetrieveError(D24)</f>
        <v/>
      </c>
      <c r="F24" s="181"/>
      <c r="H24" s="182"/>
      <c r="I24" s="296" t="s">
        <v>95</v>
      </c>
      <c r="J24" s="282">
        <f>SynthDepo!I43</f>
        <v>2.9900000000000013E-3</v>
      </c>
      <c r="K24" s="185"/>
      <c r="L24" s="286">
        <v>2.9900000000000013E-3</v>
      </c>
      <c r="M24" s="183"/>
      <c r="N24" s="292">
        <v>2.9900000000000013E-3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85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EURSND_SYNTH1Y_Quote#0001</v>
      </c>
      <c r="E25" s="319" t="str">
        <f>_xll.ohRangeRetrieveError(D25)</f>
        <v/>
      </c>
      <c r="F25" s="190"/>
      <c r="H25" s="184"/>
      <c r="I25" s="304" t="s">
        <v>85</v>
      </c>
      <c r="J25" s="300">
        <f>SynthDepo!J34</f>
        <v>4.7040184877368135E-3</v>
      </c>
      <c r="K25" s="185"/>
      <c r="L25" s="301">
        <v>4.7040184877368135E-3</v>
      </c>
      <c r="M25" s="183"/>
      <c r="N25" s="302">
        <v>4.7040184877368135E-3</v>
      </c>
      <c r="O25" s="303">
        <f>_xll.qlSimpleQuoteSetValue(D25,ROUND($N25,6),EvaluationDate)</f>
        <v>0</v>
      </c>
      <c r="P25" s="355">
        <f>_xll.ohTrigger(O25:O40)</f>
        <v>16</v>
      </c>
    </row>
    <row r="26" spans="1:16" x14ac:dyDescent="0.2">
      <c r="A26" s="336" t="str">
        <f>_xll.qlPeriodEquivalent(Months12M&amp;"M")</f>
        <v>1Y</v>
      </c>
      <c r="B26" s="326" t="s">
        <v>87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EURSWD_SYNTH1Y_Quote#0001</v>
      </c>
      <c r="E26" s="320" t="str">
        <f>_xll.ohRangeRetrieveError(D26)</f>
        <v/>
      </c>
      <c r="F26" s="190"/>
      <c r="H26" s="184"/>
      <c r="I26" s="305" t="s">
        <v>87</v>
      </c>
      <c r="J26" s="278">
        <f>SynthDepo!J35</f>
        <v>4.6648534527061547E-3</v>
      </c>
      <c r="K26" s="185"/>
      <c r="L26" s="284">
        <v>4.6648534527061547E-3</v>
      </c>
      <c r="M26" s="183"/>
      <c r="N26" s="288">
        <v>4.6648534527061547E-3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88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EUR2WD_SYNTH1Y_Quote#0001</v>
      </c>
      <c r="E27" s="320" t="str">
        <f>_xll.ohRangeRetrieveError(D27)</f>
        <v/>
      </c>
      <c r="F27" s="190"/>
      <c r="H27" s="182"/>
      <c r="I27" s="305" t="s">
        <v>88</v>
      </c>
      <c r="J27" s="278">
        <f>SynthDepo!J36</f>
        <v>4.6763146358999993E-3</v>
      </c>
      <c r="K27" s="185"/>
      <c r="L27" s="284">
        <v>4.6763146358999993E-3</v>
      </c>
      <c r="M27" s="183"/>
      <c r="N27" s="288">
        <v>4.6763146358999993E-3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89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EUR3WD_SYNTH1Y_Quote#0001</v>
      </c>
      <c r="E28" s="320" t="str">
        <f>_xll.ohRangeRetrieveError(D28)</f>
        <v/>
      </c>
      <c r="F28" s="190"/>
      <c r="H28" s="182"/>
      <c r="I28" s="305" t="s">
        <v>89</v>
      </c>
      <c r="J28" s="278">
        <f>SynthDepo!J37</f>
        <v>4.9077758198592461E-3</v>
      </c>
      <c r="K28" s="185"/>
      <c r="L28" s="284">
        <v>4.9077758198592461E-3</v>
      </c>
      <c r="M28" s="183"/>
      <c r="N28" s="288">
        <v>4.9077758198592461E-3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90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EUR1MD_SYNTH1Y_Quote#0001</v>
      </c>
      <c r="E29" s="320" t="str">
        <f>_xll.ohRangeRetrieveError(D29)</f>
        <v/>
      </c>
      <c r="F29" s="190"/>
      <c r="H29" s="182"/>
      <c r="I29" s="306" t="s">
        <v>90</v>
      </c>
      <c r="J29" s="280">
        <f>SynthDepo!J38</f>
        <v>4.869863220012512E-3</v>
      </c>
      <c r="K29" s="185"/>
      <c r="L29" s="285">
        <v>4.869863220012512E-3</v>
      </c>
      <c r="M29" s="183"/>
      <c r="N29" s="290">
        <v>4.869863220012512E-3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91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EUR2MD_SYNTH1Y_Quote#0001</v>
      </c>
      <c r="E30" s="320" t="str">
        <f>_xll.ohRangeRetrieveError(D30)</f>
        <v/>
      </c>
      <c r="F30" s="190"/>
      <c r="H30" s="182"/>
      <c r="I30" s="305" t="s">
        <v>91</v>
      </c>
      <c r="J30" s="278">
        <f>SynthDepo!J39</f>
        <v>4.8635161988885818E-3</v>
      </c>
      <c r="K30" s="185"/>
      <c r="L30" s="284">
        <v>4.8635161988885818E-3</v>
      </c>
      <c r="M30" s="183"/>
      <c r="N30" s="288">
        <v>4.8635161988885818E-3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92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EUR3MD_SYNTH1Y_Quote#0001</v>
      </c>
      <c r="E31" s="320" t="str">
        <f>_xll.ohRangeRetrieveError(D31)</f>
        <v/>
      </c>
      <c r="F31" s="190"/>
      <c r="H31" s="182"/>
      <c r="I31" s="305" t="s">
        <v>92</v>
      </c>
      <c r="J31" s="278">
        <f>SynthDepo!J40</f>
        <v>4.8350585191322629E-3</v>
      </c>
      <c r="K31" s="185"/>
      <c r="L31" s="284">
        <v>4.8350585191322629E-3</v>
      </c>
      <c r="M31" s="183"/>
      <c r="N31" s="288">
        <v>4.8350585191322629E-3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93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EUR4MD_SYNTH1Y_Quote#0001</v>
      </c>
      <c r="E32" s="320" t="str">
        <f>_xll.ohRangeRetrieveError(D32)</f>
        <v/>
      </c>
      <c r="F32" s="190"/>
      <c r="H32" s="182"/>
      <c r="I32" s="305" t="s">
        <v>93</v>
      </c>
      <c r="J32" s="278">
        <f>SynthDepo!J41</f>
        <v>4.8448761772627346E-3</v>
      </c>
      <c r="K32" s="185"/>
      <c r="L32" s="284">
        <v>4.8448761772627346E-3</v>
      </c>
      <c r="M32" s="183"/>
      <c r="N32" s="288">
        <v>4.8448761772627346E-3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94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EUR5MD_SYNTH1Y_Quote#0001</v>
      </c>
      <c r="E33" s="320" t="str">
        <f>_xll.ohRangeRetrieveError(D33)</f>
        <v/>
      </c>
      <c r="F33" s="190"/>
      <c r="H33" s="184"/>
      <c r="I33" s="305" t="s">
        <v>94</v>
      </c>
      <c r="J33" s="278">
        <f>SynthDepo!J42</f>
        <v>4.8440652908529717E-3</v>
      </c>
      <c r="K33" s="185"/>
      <c r="L33" s="284">
        <v>4.8440652908529717E-3</v>
      </c>
      <c r="M33" s="183"/>
      <c r="N33" s="288">
        <v>4.8440652908529717E-3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95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EUR6MD_SYNTH1Y_Quote#0001</v>
      </c>
      <c r="E34" s="320" t="str">
        <f>_xll.ohRangeRetrieveError(D34)</f>
        <v/>
      </c>
      <c r="F34" s="190"/>
      <c r="H34" s="184"/>
      <c r="I34" s="305" t="s">
        <v>95</v>
      </c>
      <c r="J34" s="278">
        <f>SynthDepo!J43</f>
        <v>4.8632546250425525E-3</v>
      </c>
      <c r="K34" s="185"/>
      <c r="L34" s="284">
        <v>4.8632546250425525E-3</v>
      </c>
      <c r="M34" s="183"/>
      <c r="N34" s="288">
        <v>4.8632546250425525E-3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96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EUR7MD_SYNTH1Y_Quote#0001</v>
      </c>
      <c r="E35" s="320" t="str">
        <f>_xll.ohRangeRetrieveError(D35)</f>
        <v/>
      </c>
      <c r="F35" s="190"/>
      <c r="H35" s="184"/>
      <c r="I35" s="305" t="s">
        <v>96</v>
      </c>
      <c r="J35" s="278">
        <f>SynthDepo!J44</f>
        <v>4.8790025836616558E-3</v>
      </c>
      <c r="K35" s="185"/>
      <c r="L35" s="284">
        <v>4.8790025836616558E-3</v>
      </c>
      <c r="M35" s="183"/>
      <c r="N35" s="288">
        <v>4.8790025836616558E-3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97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EUR8MD_SYNTH1Y_Quote#0001</v>
      </c>
      <c r="E36" s="320" t="str">
        <f>_xll.ohRangeRetrieveError(D36)</f>
        <v/>
      </c>
      <c r="F36" s="190"/>
      <c r="H36" s="184"/>
      <c r="I36" s="305" t="s">
        <v>97</v>
      </c>
      <c r="J36" s="278">
        <f>SynthDepo!J45</f>
        <v>4.8629140975407414E-3</v>
      </c>
      <c r="K36" s="185"/>
      <c r="L36" s="284">
        <v>4.8629140975407414E-3</v>
      </c>
      <c r="M36" s="183"/>
      <c r="N36" s="288">
        <v>4.8629140975407414E-3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98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EUR9MD_SYNTH1Y_Quote#0001</v>
      </c>
      <c r="E37" s="320" t="str">
        <f>_xll.ohRangeRetrieveError(D37)</f>
        <v/>
      </c>
      <c r="F37" s="190"/>
      <c r="H37" s="184"/>
      <c r="I37" s="305" t="s">
        <v>98</v>
      </c>
      <c r="J37" s="278">
        <f>SynthDepo!J46</f>
        <v>4.8403784016282569E-3</v>
      </c>
      <c r="K37" s="185"/>
      <c r="L37" s="284">
        <v>4.8403784016282569E-3</v>
      </c>
      <c r="M37" s="183"/>
      <c r="N37" s="288">
        <v>4.8403784016282569E-3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99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EUR10MD_SYNTH1Y_Quote#0001</v>
      </c>
      <c r="E38" s="320" t="str">
        <f>_xll.ohRangeRetrieveError(D38)</f>
        <v/>
      </c>
      <c r="F38" s="190"/>
      <c r="H38" s="184"/>
      <c r="I38" s="305" t="s">
        <v>99</v>
      </c>
      <c r="J38" s="278">
        <f>SynthDepo!J47</f>
        <v>4.8168493542828112E-3</v>
      </c>
      <c r="K38" s="185"/>
      <c r="L38" s="284">
        <v>4.8168493542828112E-3</v>
      </c>
      <c r="M38" s="183"/>
      <c r="N38" s="288">
        <v>4.8168493542828112E-3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100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EUR11MD_SYNTH1Y_Quote#0001</v>
      </c>
      <c r="E39" s="320" t="str">
        <f>_xll.ohRangeRetrieveError(D39)</f>
        <v/>
      </c>
      <c r="F39" s="190"/>
      <c r="H39" s="184"/>
      <c r="I39" s="305" t="s">
        <v>100</v>
      </c>
      <c r="J39" s="278">
        <f>SynthDepo!J48</f>
        <v>4.803111566528958E-3</v>
      </c>
      <c r="K39" s="185"/>
      <c r="L39" s="284">
        <v>4.803111566528958E-3</v>
      </c>
      <c r="M39" s="183"/>
      <c r="N39" s="288">
        <v>4.803111566528958E-3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101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EUR1YD_SYNTH1Y_Quote#0001</v>
      </c>
      <c r="E40" s="320" t="str">
        <f>_xll.ohRangeRetrieveError(D40)</f>
        <v/>
      </c>
      <c r="F40" s="190"/>
      <c r="H40" s="184"/>
      <c r="I40" s="350" t="s">
        <v>101</v>
      </c>
      <c r="J40" s="282">
        <f>SynthDepo!J49</f>
        <v>4.79E-3</v>
      </c>
      <c r="K40" s="185"/>
      <c r="L40" s="286">
        <v>4.79E-3</v>
      </c>
      <c r="M40" s="183"/>
      <c r="N40" s="292">
        <v>4.79E-3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EUR1x13F_SYNTH1Y_Quote#0001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SynthFra!N9</f>
        <v>4.7700661411049939E-3</v>
      </c>
      <c r="K41" s="241"/>
      <c r="L41" s="311">
        <v>4.7700661411049939E-3</v>
      </c>
      <c r="M41" s="242"/>
      <c r="N41" s="313">
        <v>4.7700661411049939E-3</v>
      </c>
      <c r="O41" s="314">
        <f>_xll.qlSimpleQuoteSetValue(D41,ROUND(N41,6),EvaluationDate)</f>
        <v>0</v>
      </c>
      <c r="P41" s="355">
        <f>_xll.ohTrigger(O41:O84)</f>
        <v>16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EUR2x14F_SYNTH1Y_Quote#0001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SynthFra!N10</f>
        <v>4.7515568028134595E-3</v>
      </c>
      <c r="K42" s="242"/>
      <c r="L42" s="311">
        <v>4.7515568028134595E-3</v>
      </c>
      <c r="M42" s="242"/>
      <c r="N42" s="313">
        <v>4.7515568028134595E-3</v>
      </c>
      <c r="O42" s="314">
        <f>_xll.qlSimpleQuoteSetValue(D42,ROUND(N42,6),EvaluationDate)</f>
        <v>0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EUR3x15F_SYNTH1Y_Quote#0001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SynthFra!N11</f>
        <v>4.7396889879977432E-3</v>
      </c>
      <c r="K43" s="242"/>
      <c r="L43" s="311">
        <v>4.7396889879977432E-3</v>
      </c>
      <c r="M43" s="242"/>
      <c r="N43" s="313">
        <v>4.7396889879977432E-3</v>
      </c>
      <c r="O43" s="314">
        <f>_xll.qlSimpleQuoteSetValue(D43,ROUND(N43,6),EvaluationDate)</f>
        <v>0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EUR4x16F_SYNTH1Y_Quote#0001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SynthFra!N12</f>
        <v>4.7382947299897012E-3</v>
      </c>
      <c r="K44" s="242"/>
      <c r="L44" s="311">
        <v>4.7382947299897012E-3</v>
      </c>
      <c r="M44" s="242"/>
      <c r="N44" s="313">
        <v>4.7382947299897012E-3</v>
      </c>
      <c r="O44" s="314">
        <f>_xll.qlSimpleQuoteSetValue(D44,ROUND(N44,6),EvaluationDate)</f>
        <v>0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EUR5x17F_SYNTH1Y_Quote#0001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SynthFra!N13</f>
        <v>4.7409566804829774E-3</v>
      </c>
      <c r="K45" s="242"/>
      <c r="L45" s="311">
        <v>4.7409566804829774E-3</v>
      </c>
      <c r="M45" s="242"/>
      <c r="N45" s="313">
        <v>4.7409566804829774E-3</v>
      </c>
      <c r="O45" s="314">
        <f>_xll.qlSimpleQuoteSetValue(D45,ROUND(N45,6),EvaluationDate)</f>
        <v>0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EUR6x18F_SYNTH1Y_Quote#0001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SynthFra!N14</f>
        <v>4.7354559024513111E-3</v>
      </c>
      <c r="K46" s="242"/>
      <c r="L46" s="311">
        <v>4.7354559024513111E-3</v>
      </c>
      <c r="M46" s="242"/>
      <c r="N46" s="313">
        <v>4.7354559024513111E-3</v>
      </c>
      <c r="O46" s="314">
        <f>_xll.qlSimpleQuoteSetValue(D46,ROUND(N46,6),EvaluationDate)</f>
        <v>0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EUR7x19F_SYNTH1Y_Quote#0001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SynthFra!N15</f>
        <v>4.7459620043513442E-3</v>
      </c>
      <c r="K47" s="242"/>
      <c r="L47" s="311">
        <v>4.7459620043513442E-3</v>
      </c>
      <c r="M47" s="242"/>
      <c r="N47" s="313">
        <v>4.7459620043513442E-3</v>
      </c>
      <c r="O47" s="314">
        <f>_xll.qlSimpleQuoteSetValue(D47,ROUND(N47,6),EvaluationDate)</f>
        <v>0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EUR8x20F_SYNTH1Y_Quote#0001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SynthFra!N16</f>
        <v>4.7765964932973146E-3</v>
      </c>
      <c r="K48" s="242"/>
      <c r="L48" s="311">
        <v>4.7765964932973146E-3</v>
      </c>
      <c r="M48" s="242"/>
      <c r="N48" s="313">
        <v>4.7765964932973146E-3</v>
      </c>
      <c r="O48" s="314">
        <f>_xll.qlSimpleQuoteSetValue(D48,ROUND(N48,6),EvaluationDate)</f>
        <v>0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EUR9x21F_SYNTH1Y_Quote#0001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SynthFra!N17</f>
        <v>4.8164173191503441E-3</v>
      </c>
      <c r="K49" s="242"/>
      <c r="L49" s="311">
        <v>4.8164173191503441E-3</v>
      </c>
      <c r="M49" s="242"/>
      <c r="N49" s="313">
        <v>4.8164173191503441E-3</v>
      </c>
      <c r="O49" s="314">
        <f>_xll.qlSimpleQuoteSetValue(D49,ROUND(N49,6),EvaluationDate)</f>
        <v>0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EUR10x22F_SYNTH1Y_Quote#0001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SynthFra!N18</f>
        <v>4.8794754983958995E-3</v>
      </c>
      <c r="K50" s="242"/>
      <c r="L50" s="311">
        <v>4.8794754983958995E-3</v>
      </c>
      <c r="M50" s="242"/>
      <c r="N50" s="313">
        <v>4.8794754983958995E-3</v>
      </c>
      <c r="O50" s="314">
        <f>_xll.qlSimpleQuoteSetValue(D50,ROUND(N50,6),EvaluationDate)</f>
        <v>0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EUR11x23F_SYNTH1Y_Quote#0001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SynthFra!N19</f>
        <v>4.9383818223575852E-3</v>
      </c>
      <c r="K51" s="242"/>
      <c r="L51" s="311">
        <v>4.9383818223575852E-3</v>
      </c>
      <c r="M51" s="242"/>
      <c r="N51" s="313">
        <v>4.9383818223575852E-3</v>
      </c>
      <c r="O51" s="314">
        <f>_xll.qlSimpleQuoteSetValue(D51,ROUND(N51,6),EvaluationDate)</f>
        <v>0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EUR13x25F_SYNTH1Y_Quote#0001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SynthFra!N21</f>
        <v>5.1446630132367475E-3</v>
      </c>
      <c r="K52" s="242"/>
      <c r="L52" s="311">
        <v>5.1446630132367475E-3</v>
      </c>
      <c r="M52" s="242"/>
      <c r="N52" s="313">
        <v>5.1446630132367475E-3</v>
      </c>
      <c r="O52" s="314">
        <f>_xll.qlSimpleQuoteSetValue(D52,ROUND(N52,6),EvaluationDate)</f>
        <v>0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EUR14x26F_SYNTH1Y_Quote#0001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SynthFra!N22</f>
        <v>5.2894906890553163E-3</v>
      </c>
      <c r="K53" s="242"/>
      <c r="L53" s="311">
        <v>5.2894906890553163E-3</v>
      </c>
      <c r="M53" s="242"/>
      <c r="N53" s="313">
        <v>5.2894906890553163E-3</v>
      </c>
      <c r="O53" s="314">
        <f>_xll.qlSimpleQuoteSetValue(D53,ROUND(N53,6),EvaluationDate)</f>
        <v>0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EUR15x27F_SYNTH1Y_Quote#0001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SynthFra!N23</f>
        <v>5.433394050819578E-3</v>
      </c>
      <c r="K54" s="242"/>
      <c r="L54" s="311">
        <v>5.433394050819578E-3</v>
      </c>
      <c r="M54" s="242"/>
      <c r="N54" s="313">
        <v>5.433394050819578E-3</v>
      </c>
      <c r="O54" s="314">
        <f>_xll.qlSimpleQuoteSetValue(D54,ROUND(N54,6),EvaluationDate)</f>
        <v>0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EUR16x28F_SYNTH1Y_Quote#0001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SynthFra!N24</f>
        <v>5.5531179599257238E-3</v>
      </c>
      <c r="K55" s="242"/>
      <c r="L55" s="311">
        <v>5.5531179599257238E-3</v>
      </c>
      <c r="M55" s="242"/>
      <c r="N55" s="313">
        <v>5.5531179599257238E-3</v>
      </c>
      <c r="O55" s="314">
        <f>_xll.qlSimpleQuoteSetValue(D55,ROUND(N55,6),EvaluationDate)</f>
        <v>0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EUR17x29F_SYNTH1Y_Quote#0001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SynthFra!N25</f>
        <v>5.6834582938863603E-3</v>
      </c>
      <c r="K56" s="242"/>
      <c r="L56" s="311">
        <v>5.6834582938863603E-3</v>
      </c>
      <c r="M56" s="242"/>
      <c r="N56" s="313">
        <v>5.6834582938863603E-3</v>
      </c>
      <c r="O56" s="314">
        <f>_xll.qlSimpleQuoteSetValue(D56,ROUND(N56,6),EvaluationDate)</f>
        <v>0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EUR18x30F_SYNTH1Y_Quote#0001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SynthFra!N26</f>
        <v>5.8112493961860624E-3</v>
      </c>
      <c r="K57" s="242"/>
      <c r="L57" s="311">
        <v>5.8112493961860624E-3</v>
      </c>
      <c r="M57" s="242"/>
      <c r="N57" s="313">
        <v>5.8112493961860624E-3</v>
      </c>
      <c r="O57" s="314">
        <f>_xll.qlSimpleQuoteSetValue(D57,ROUND(N57,6),EvaluationDate)</f>
        <v>0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EUR19x31F_SYNTH1Y_Quote#0001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SynthFra!N27</f>
        <v>5.9154011710082204E-3</v>
      </c>
      <c r="K58" s="242"/>
      <c r="L58" s="311">
        <v>5.9154011710082204E-3</v>
      </c>
      <c r="M58" s="242"/>
      <c r="N58" s="313">
        <v>5.9154011710082204E-3</v>
      </c>
      <c r="O58" s="314">
        <f>_xll.qlSimpleQuoteSetValue(D58,ROUND(N58,6),EvaluationDate)</f>
        <v>0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EUR20x32F_SYNTH1Y_Quote#0001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SynthFra!N28</f>
        <v>6.031980065765382E-3</v>
      </c>
      <c r="K59" s="242"/>
      <c r="L59" s="311">
        <v>6.031980065765382E-3</v>
      </c>
      <c r="M59" s="242"/>
      <c r="N59" s="313">
        <v>6.031980065765382E-3</v>
      </c>
      <c r="O59" s="314">
        <f>_xll.qlSimpleQuoteSetValue(D59,ROUND(N59,6),EvaluationDate)</f>
        <v>0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EUR21x33F_SYNTH1Y_Quote#0001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SynthFra!N29</f>
        <v>6.1445746360823082E-3</v>
      </c>
      <c r="K60" s="242"/>
      <c r="L60" s="311">
        <v>6.1445746360823082E-3</v>
      </c>
      <c r="M60" s="242"/>
      <c r="N60" s="313">
        <v>6.1445746360823082E-3</v>
      </c>
      <c r="O60" s="314">
        <f>_xll.qlSimpleQuoteSetValue(D60,ROUND(N60,6),EvaluationDate)</f>
        <v>0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EUR22x34F_SYNTH1Y_Quote#0001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SynthFra!N30</f>
        <v>6.2393291505778601E-3</v>
      </c>
      <c r="K61" s="242"/>
      <c r="L61" s="311">
        <v>6.2393291505778601E-3</v>
      </c>
      <c r="M61" s="242"/>
      <c r="N61" s="313">
        <v>6.2393291505778601E-3</v>
      </c>
      <c r="O61" s="314">
        <f>_xll.qlSimpleQuoteSetValue(D61,ROUND(N61,6),EvaluationDate)</f>
        <v>0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EUR23x35F_SYNTH1Y_Quote#0001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SynthFra!N31</f>
        <v>6.3360222212636803E-3</v>
      </c>
      <c r="K62" s="242"/>
      <c r="L62" s="311">
        <v>6.3360222212636803E-3</v>
      </c>
      <c r="M62" s="242"/>
      <c r="N62" s="313">
        <v>6.3360222212636803E-3</v>
      </c>
      <c r="O62" s="314">
        <f>_xll.qlSimpleQuoteSetValue(D62,ROUND(N62,6),EvaluationDate)</f>
        <v>0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EUR25x37F_SYNTH1Y_Quote#0001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SynthFra!N33</f>
        <v>6.639818956233931E-3</v>
      </c>
      <c r="K63" s="242"/>
      <c r="L63" s="311">
        <v>6.639818956233931E-3</v>
      </c>
      <c r="M63" s="242"/>
      <c r="N63" s="313">
        <v>6.639818956233931E-3</v>
      </c>
      <c r="O63" s="314">
        <f>_xll.qlSimpleQuoteSetValue(D63,ROUND(N63,6),EvaluationDate)</f>
        <v>0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EUR26x38F_SYNTH1Y_Quote#0001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SynthFra!N34</f>
        <v>6.8510723261093424E-3</v>
      </c>
      <c r="K64" s="242"/>
      <c r="L64" s="311">
        <v>6.8510723261093424E-3</v>
      </c>
      <c r="M64" s="242"/>
      <c r="N64" s="313">
        <v>6.8510723261093424E-3</v>
      </c>
      <c r="O64" s="314">
        <f>_xll.qlSimpleQuoteSetValue(D64,ROUND(N64,6),EvaluationDate)</f>
        <v>0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EUR27x39F_SYNTH1Y_Quote#0001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SynthFra!N35</f>
        <v>7.0436982688492755E-3</v>
      </c>
      <c r="K65" s="242"/>
      <c r="L65" s="311">
        <v>7.0436982688492755E-3</v>
      </c>
      <c r="M65" s="242"/>
      <c r="N65" s="313">
        <v>7.0436982688492755E-3</v>
      </c>
      <c r="O65" s="314">
        <f>_xll.qlSimpleQuoteSetValue(D65,ROUND(N65,6),EvaluationDate)</f>
        <v>0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EUR28x40F_SYNTH1Y_Quote#0001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SynthFra!N36</f>
        <v>7.2438428722524009E-3</v>
      </c>
      <c r="K66" s="242"/>
      <c r="L66" s="311">
        <v>7.2438428722524009E-3</v>
      </c>
      <c r="M66" s="242"/>
      <c r="N66" s="313">
        <v>7.2438428722524009E-3</v>
      </c>
      <c r="O66" s="314">
        <f>_xll.qlSimpleQuoteSetValue(D66,ROUND(N66,6),EvaluationDate)</f>
        <v>0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EUR29x41F_SYNTH1Y_Quote#0001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SynthFra!N37</f>
        <v>7.4579744439444307E-3</v>
      </c>
      <c r="K67" s="242"/>
      <c r="L67" s="311">
        <v>7.4579744439444307E-3</v>
      </c>
      <c r="M67" s="242"/>
      <c r="N67" s="313">
        <v>7.4579744439444307E-3</v>
      </c>
      <c r="O67" s="314">
        <f>_xll.qlSimpleQuoteSetValue(D67,ROUND(N67,6),EvaluationDate)</f>
        <v>0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EUR30x42F_SYNTH1Y_Quote#0001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SynthFra!N38</f>
        <v>7.6590058479533846E-3</v>
      </c>
      <c r="K68" s="242"/>
      <c r="L68" s="311">
        <v>7.6590058479533846E-3</v>
      </c>
      <c r="M68" s="242"/>
      <c r="N68" s="313">
        <v>7.6590058479533846E-3</v>
      </c>
      <c r="O68" s="314">
        <f>_xll.qlSimpleQuoteSetValue(D68,ROUND(N68,6),EvaluationDate)</f>
        <v>0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EUR31x43F_SYNTH1Y_Quote#0001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SynthFra!N39</f>
        <v>7.8466083864149657E-3</v>
      </c>
      <c r="K69" s="242"/>
      <c r="L69" s="311">
        <v>7.8466083864149657E-3</v>
      </c>
      <c r="M69" s="242"/>
      <c r="N69" s="313">
        <v>7.8466083864149657E-3</v>
      </c>
      <c r="O69" s="314">
        <f>_xll.qlSimpleQuoteSetValue(D69,ROUND(N69,6),EvaluationDate)</f>
        <v>0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EUR32x44F_SYNTH1Y_Quote#0001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SynthFra!N40</f>
        <v>8.0740132699437667E-3</v>
      </c>
      <c r="K70" s="242"/>
      <c r="L70" s="311">
        <v>8.0740132699437667E-3</v>
      </c>
      <c r="M70" s="242"/>
      <c r="N70" s="313">
        <v>8.0740132699437667E-3</v>
      </c>
      <c r="O70" s="314">
        <f>_xll.qlSimpleQuoteSetValue(D70,ROUND(N70,6),EvaluationDate)</f>
        <v>0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EUR33x45F_SYNTH1Y_Quote#0001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SynthFra!N41</f>
        <v>8.2540136788414216E-3</v>
      </c>
      <c r="K71" s="242"/>
      <c r="L71" s="311">
        <v>8.2540136788414216E-3</v>
      </c>
      <c r="M71" s="242"/>
      <c r="N71" s="313">
        <v>8.2540136788414216E-3</v>
      </c>
      <c r="O71" s="314">
        <f>_xll.qlSimpleQuoteSetValue(D71,ROUND(N71,6),EvaluationDate)</f>
        <v>0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EUR34x46F_SYNTH1Y_Quote#0001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SynthFra!N42</f>
        <v>8.4597312837310056E-3</v>
      </c>
      <c r="K72" s="242"/>
      <c r="L72" s="311">
        <v>8.4597312837310056E-3</v>
      </c>
      <c r="M72" s="242"/>
      <c r="N72" s="313">
        <v>8.4597312837310056E-3</v>
      </c>
      <c r="O72" s="314">
        <f>_xll.qlSimpleQuoteSetValue(D72,ROUND(N72,6),EvaluationDate)</f>
        <v>0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EUR35x47F_SYNTH1Y_Quote#0001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SynthFra!N43</f>
        <v>8.6706802526084654E-3</v>
      </c>
      <c r="K73" s="242"/>
      <c r="L73" s="311">
        <v>8.6706802526084654E-3</v>
      </c>
      <c r="M73" s="242"/>
      <c r="N73" s="313">
        <v>8.6706802526084654E-3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EUR37x49F_SYNTH1Y_Quote#0001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SynthFra!N45</f>
        <v>9.1432212149377481E-3</v>
      </c>
      <c r="K74" s="242"/>
      <c r="L74" s="311">
        <v>9.1432212149377481E-3</v>
      </c>
      <c r="M74" s="242"/>
      <c r="N74" s="313">
        <v>9.1432212149377481E-3</v>
      </c>
      <c r="O74" s="314">
        <f>_xll.qlSimpleQuoteSetValue(D74,ROUND(N74,6),EvaluationDate)</f>
        <v>0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EUR38x50F_SYNTH1Y_Quote#0001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SynthFra!N46</f>
        <v>9.3954275791548678E-3</v>
      </c>
      <c r="K75" s="242"/>
      <c r="L75" s="311">
        <v>9.3954275791548678E-3</v>
      </c>
      <c r="M75" s="242"/>
      <c r="N75" s="313">
        <v>9.3954275791548678E-3</v>
      </c>
      <c r="O75" s="314">
        <f>_xll.qlSimpleQuoteSetValue(D75,ROUND(N75,6),EvaluationDate)</f>
        <v>0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EUR39x51F_SYNTH1Y_Quote#0001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SynthFra!N47</f>
        <v>9.6519392757855437E-3</v>
      </c>
      <c r="K76" s="242"/>
      <c r="L76" s="311">
        <v>9.6519392757855437E-3</v>
      </c>
      <c r="M76" s="242"/>
      <c r="N76" s="313">
        <v>9.6519392757855437E-3</v>
      </c>
      <c r="O76" s="314">
        <f>_xll.qlSimpleQuoteSetValue(D76,ROUND(N76,6),EvaluationDate)</f>
        <v>0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EUR40x52F_SYNTH1Y_Quote#0001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SynthFra!N48</f>
        <v>9.9176410657655142E-3</v>
      </c>
      <c r="K77" s="242"/>
      <c r="L77" s="311">
        <v>9.9176410657655142E-3</v>
      </c>
      <c r="M77" s="242"/>
      <c r="N77" s="313">
        <v>9.9176410657655142E-3</v>
      </c>
      <c r="O77" s="314">
        <f>_xll.qlSimpleQuoteSetValue(D77,ROUND(N77,6),EvaluationDate)</f>
        <v>0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EUR41x53F_SYNTH1Y_Quote#0001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SynthFra!N49</f>
        <v>1.0169476546966039E-2</v>
      </c>
      <c r="K78" s="242"/>
      <c r="L78" s="311">
        <v>1.0169476546966039E-2</v>
      </c>
      <c r="M78" s="242"/>
      <c r="N78" s="313">
        <v>1.0169476546966039E-2</v>
      </c>
      <c r="O78" s="314">
        <f>_xll.qlSimpleQuoteSetValue(D78,ROUND(N78,6),EvaluationDate)</f>
        <v>0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EUR42x54F_SYNTH1Y_Quote#0001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SynthFra!N50</f>
        <v>1.0430748495225153E-2</v>
      </c>
      <c r="K79" s="242"/>
      <c r="L79" s="311">
        <v>1.0430748495225153E-2</v>
      </c>
      <c r="M79" s="242"/>
      <c r="N79" s="313">
        <v>1.0430748495225153E-2</v>
      </c>
      <c r="O79" s="314">
        <f>_xll.qlSimpleQuoteSetValue(D79,ROUND(N79,6),EvaluationDate)</f>
        <v>0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EUR43x55F_SYNTH1Y_Quote#0001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SynthFra!N51</f>
        <v>1.0665919792036266E-2</v>
      </c>
      <c r="K80" s="242"/>
      <c r="L80" s="311">
        <v>1.0665919792036266E-2</v>
      </c>
      <c r="M80" s="242"/>
      <c r="N80" s="313">
        <v>1.0665919792036266E-2</v>
      </c>
      <c r="O80" s="314">
        <f>_xll.qlSimpleQuoteSetValue(D80,ROUND(N80,6),EvaluationDate)</f>
        <v>0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EUR44x56F_SYNTH1Y_Quote#0001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SynthFra!N52</f>
        <v>1.0933906562113356E-2</v>
      </c>
      <c r="K81" s="242"/>
      <c r="L81" s="311">
        <v>1.0933906562113356E-2</v>
      </c>
      <c r="M81" s="242"/>
      <c r="N81" s="313">
        <v>1.0933906562113356E-2</v>
      </c>
      <c r="O81" s="314">
        <f>_xll.qlSimpleQuoteSetValue(D81,ROUND(N81,6),EvaluationDate)</f>
        <v>0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EUR45x57F_SYNTH1Y_Quote#0001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SynthFra!N53</f>
        <v>1.1176202147415193E-2</v>
      </c>
      <c r="K82" s="242"/>
      <c r="L82" s="311">
        <v>1.1176202147415193E-2</v>
      </c>
      <c r="M82" s="242"/>
      <c r="N82" s="313">
        <v>1.1176202147415193E-2</v>
      </c>
      <c r="O82" s="314">
        <f>_xll.qlSimpleQuoteSetValue(D82,ROUND(N82,6),EvaluationDate)</f>
        <v>0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EUR46x58F_SYNTH1Y_Quote#0001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SynthFra!N54</f>
        <v>1.1437519693685599E-2</v>
      </c>
      <c r="K83" s="242"/>
      <c r="L83" s="311">
        <v>1.1437519693685599E-2</v>
      </c>
      <c r="M83" s="242"/>
      <c r="N83" s="313">
        <v>1.1437519693685599E-2</v>
      </c>
      <c r="O83" s="314">
        <f>_xll.qlSimpleQuoteSetValue(D83,ROUND(N83,6),EvaluationDate)</f>
        <v>0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EUR47x59F_SYNTH1Y_Quote#0001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SynthFra!N55</f>
        <v>1.1693071994383112E-2</v>
      </c>
      <c r="K84" s="242"/>
      <c r="L84" s="312">
        <v>1.1693071994383112E-2</v>
      </c>
      <c r="M84" s="242"/>
      <c r="N84" s="351">
        <v>1.1693071994383112E-2</v>
      </c>
      <c r="O84" s="352">
        <f>_xll.qlSimpleQuoteSetValue(D84,ROUND(N84,6),EvaluationDate)</f>
        <v>0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zoomScaleNormal="100" workbookViewId="0">
      <selection activeCell="N8" sqref="N8"/>
    </sheetView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customWidth="1" outlineLevel="1"/>
    <col min="8" max="8" width="17.6640625" style="195" customWidth="1" outlineLevel="1"/>
    <col min="9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" width="9.33203125" style="195"/>
    <col min="17" max="17" width="2.83203125" style="195" customWidth="1"/>
    <col min="18" max="18" width="27.5" style="195" bestFit="1" customWidth="1"/>
    <col min="19" max="19" width="20.1640625" style="195" hidden="1" customWidth="1"/>
    <col min="20" max="20" width="20.1640625" style="195" bestFit="1" customWidth="1"/>
    <col min="21" max="21" width="20.1640625" style="195" customWidth="1"/>
    <col min="22" max="22" width="20.1640625" style="195" hidden="1" customWidth="1"/>
    <col min="23" max="23" width="10" style="195" bestFit="1" customWidth="1"/>
    <col min="24" max="24" width="9.33203125" style="195" customWidth="1"/>
    <col min="25" max="25" width="10" style="195" bestFit="1" customWidth="1"/>
    <col min="26" max="26" width="9.33203125" style="195"/>
    <col min="27" max="27" width="2.83203125" style="195" customWidth="1"/>
    <col min="28" max="16384" width="9.33203125" style="195"/>
  </cols>
  <sheetData>
    <row r="1" spans="1:30" ht="22.5" x14ac:dyDescent="0.2">
      <c r="A1" s="226" t="s">
        <v>123</v>
      </c>
      <c r="B1" s="193" t="s">
        <v>124</v>
      </c>
      <c r="C1" s="193" t="s">
        <v>109</v>
      </c>
      <c r="D1" s="194" t="s">
        <v>110</v>
      </c>
      <c r="E1" s="227" t="s">
        <v>124</v>
      </c>
      <c r="F1" s="227"/>
      <c r="G1" s="227" t="s">
        <v>125</v>
      </c>
      <c r="H1" s="227"/>
      <c r="I1" s="227" t="s">
        <v>126</v>
      </c>
      <c r="J1" s="227" t="s">
        <v>127</v>
      </c>
      <c r="K1" s="227" t="s">
        <v>128</v>
      </c>
      <c r="L1" s="227" t="s">
        <v>44</v>
      </c>
      <c r="M1" s="227" t="s">
        <v>129</v>
      </c>
      <c r="N1" s="227" t="s">
        <v>130</v>
      </c>
    </row>
    <row r="2" spans="1:30" x14ac:dyDescent="0.2">
      <c r="A2" s="228"/>
      <c r="B2" s="229"/>
      <c r="C2" s="230"/>
      <c r="D2" s="231">
        <f>SettlementDate</f>
        <v>41866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41864</v>
      </c>
      <c r="H2" s="195" t="str">
        <f>_xll.qlMakeDatedOIS(,I2,J2,OvernightIndex,0,"Act/360",0)</f>
        <v>obj_00429#0001</v>
      </c>
      <c r="I2" s="233">
        <f>_xll.qlCalendarAdvance(Calendar,$D$2,F2&amp;"M","mf")</f>
        <v>41866</v>
      </c>
      <c r="J2" s="233">
        <f>_xll.qlInterestRateIndexMaturity(IborIndex,I2)</f>
        <v>42233</v>
      </c>
      <c r="K2" s="232">
        <f>_xll.qlIndexFixing(IborIndex,G2,TRUE,InterestRatesTrigger)</f>
        <v>4.7899999999999176E-3</v>
      </c>
      <c r="L2" s="232">
        <f>_xll.qlOvernightIndexedSwapFairRate(H2,Contribution!$P$25)</f>
        <v>4.0999999999995256E-4</v>
      </c>
      <c r="M2" s="209">
        <f>ROUND(K2-L2,6)</f>
        <v>4.3800000000000002E-3</v>
      </c>
      <c r="N2" s="232"/>
      <c r="O2" s="195" t="str">
        <f>_xll.qlSimpleQuote(,,,,EvaluationDate)</f>
        <v>obj_00389#0001</v>
      </c>
      <c r="P2" s="232">
        <f>_xll.qlSimpleQuoteSetValue(O2,M2)</f>
        <v>0</v>
      </c>
      <c r="AB2" s="209"/>
      <c r="AC2" s="209"/>
      <c r="AD2" s="369"/>
    </row>
    <row r="3" spans="1:30" x14ac:dyDescent="0.2">
      <c r="A3" s="234" t="str">
        <f>RateHelpersFra!F2</f>
        <v>obj_00396#0001</v>
      </c>
      <c r="B3" s="235">
        <f>_xll.qlRateHelperRate($A3,InterestRatesTrigger)</f>
        <v>4.79E-3</v>
      </c>
      <c r="C3" s="236">
        <f>_xll.qlRateHelperEarliestDate($A3)</f>
        <v>41866</v>
      </c>
      <c r="D3" s="231">
        <f>_xll.qlRateHelperLatestDate($A3)</f>
        <v>42233</v>
      </c>
      <c r="E3" s="232">
        <v>0.99514059028367396</v>
      </c>
      <c r="F3" s="195">
        <v>12</v>
      </c>
      <c r="G3" s="233">
        <f>_xll.qlInterestRateIndexFixingDate(IborIndex,I3)</f>
        <v>42229</v>
      </c>
      <c r="H3" s="195" t="str">
        <f>_xll.qlMakeDatedOIS(,I3,J3,OvernightIndex,0,"Act/360",0)</f>
        <v>obj_00415#0001</v>
      </c>
      <c r="I3" s="233">
        <f>_xll.qlCalendarAdvance(Calendar,$D$2,F3&amp;"M","mf")</f>
        <v>42233</v>
      </c>
      <c r="J3" s="233">
        <f>_xll.qlInterestRateIndexMaturity(IborIndex,I3)</f>
        <v>42599</v>
      </c>
      <c r="K3" s="232">
        <f>_xll.qlIndexFixing(IborIndex,G3,TRUE,InterestRatesTrigger)</f>
        <v>5.010000000000083E-3</v>
      </c>
      <c r="L3" s="232">
        <f>_xll.qlOvernightIndexedSwapFairRate(H3,Contribution!$P$25)</f>
        <v>4.7699328078130553E-4</v>
      </c>
      <c r="M3" s="209">
        <f>ROUND(K3-L3,6)</f>
        <v>4.5329999999999997E-3</v>
      </c>
      <c r="N3" s="232"/>
      <c r="O3" s="195" t="str">
        <f>_xll.qlSimpleQuote(,,,,EvaluationDate)</f>
        <v>obj_00366#0001</v>
      </c>
      <c r="P3" s="232">
        <f>_xll.qlSimpleQuoteSetValue(O3,M3)</f>
        <v>0</v>
      </c>
      <c r="AB3" s="209"/>
      <c r="AC3" s="209"/>
      <c r="AD3" s="369"/>
    </row>
    <row r="4" spans="1:30" x14ac:dyDescent="0.2">
      <c r="A4" s="234" t="str">
        <f>RateHelpersFra!F3</f>
        <v>obj_003b0#0001</v>
      </c>
      <c r="B4" s="235">
        <f>_xll.qlRateHelperRate($A4,InterestRatesTrigger)</f>
        <v>5.0099999999999997E-3</v>
      </c>
      <c r="C4" s="236">
        <f>_xll.qlRateHelperEarliestDate($A4)</f>
        <v>42233</v>
      </c>
      <c r="D4" s="231">
        <f>_xll.qlRateHelperLatestDate($A4)</f>
        <v>42599</v>
      </c>
      <c r="E4" s="232">
        <v>0.99009752852214639</v>
      </c>
      <c r="F4" s="195">
        <v>24</v>
      </c>
      <c r="G4" s="233">
        <f>_xll.qlInterestRateIndexFixingDate(IborIndex,I4)</f>
        <v>42593</v>
      </c>
      <c r="H4" s="195" t="str">
        <f>_xll.qlMakeDatedOIS(,I4,J4,OvernightIndex,0,"Act/360",0)</f>
        <v>obj_00409#0001</v>
      </c>
      <c r="I4" s="233">
        <f>_xll.qlCalendarAdvance(Calendar,$D$2,F4&amp;"M","mf")</f>
        <v>42597</v>
      </c>
      <c r="J4" s="233">
        <f>_xll.qlInterestRateIndexMaturity(IborIndex,I4)</f>
        <v>42962</v>
      </c>
      <c r="K4" s="232">
        <f>_xll.qlIndexFixing(IborIndex,G4,TRUE,InterestRatesTrigger)</f>
        <v>6.4368625471660588E-3</v>
      </c>
      <c r="L4" s="232">
        <f>_xll.qlOvernightIndexedSwapFairRate(H4,Contribution!$P$25)</f>
        <v>1.7028040383574201E-3</v>
      </c>
      <c r="M4" s="209">
        <f>ROUND(K4-L4,6)</f>
        <v>4.7340000000000004E-3</v>
      </c>
      <c r="N4" s="232"/>
      <c r="O4" s="195" t="str">
        <f>_xll.qlSimpleQuote(,,,,EvaluationDate)</f>
        <v>obj_00362#0001</v>
      </c>
      <c r="P4" s="232">
        <f>_xll.qlSimpleQuoteSetValue(O4,M4)</f>
        <v>0</v>
      </c>
      <c r="AB4" s="209"/>
      <c r="AC4" s="209"/>
      <c r="AD4" s="369"/>
    </row>
    <row r="5" spans="1:30" x14ac:dyDescent="0.2">
      <c r="A5" s="234" t="str">
        <f>RateHelpersFra!F4</f>
        <v>obj_00391#0001</v>
      </c>
      <c r="B5" s="235">
        <f>_xll.qlRateHelperRate($A5,InterestRatesTrigger)</f>
        <v>5.4900000000000001E-3</v>
      </c>
      <c r="C5" s="236">
        <f>_xll.qlRateHelperEarliestDate($A5)</f>
        <v>41866</v>
      </c>
      <c r="D5" s="231">
        <f>_xll.qlRateHelperLatestDate($A5)</f>
        <v>42962</v>
      </c>
      <c r="E5" s="232">
        <v>0.98370794581098853</v>
      </c>
      <c r="F5" s="195">
        <v>36</v>
      </c>
      <c r="G5" s="233">
        <f>_xll.qlInterestRateIndexFixingDate(IborIndex,I5)</f>
        <v>42958</v>
      </c>
      <c r="H5" s="195" t="str">
        <f>_xll.qlMakeDatedOIS(,I5,J5,OvernightIndex,0,"Act/360",0)</f>
        <v>obj_00406#0001</v>
      </c>
      <c r="I5" s="233">
        <f>_xll.qlCalendarAdvance(Calendar,$D$2,F5&amp;"M","mf")</f>
        <v>42962</v>
      </c>
      <c r="J5" s="233">
        <f>_xll.qlInterestRateIndexMaturity(IborIndex,I5)</f>
        <v>43327</v>
      </c>
      <c r="K5" s="232">
        <f>_xll.qlIndexFixing(IborIndex,G5,TRUE,InterestRatesTrigger)</f>
        <v>8.860410676907831E-3</v>
      </c>
      <c r="L5" s="232">
        <f>_xll.qlOvernightIndexedSwapFairRate(H5,Contribution!$P$25)</f>
        <v>3.7933151701378871E-3</v>
      </c>
      <c r="M5" s="209">
        <f>ROUND(K5-L5,6)</f>
        <v>5.0670000000000003E-3</v>
      </c>
      <c r="N5" s="232"/>
      <c r="O5" s="195" t="str">
        <f>_xll.qlSimpleQuote(,,,,EvaluationDate)</f>
        <v>obj_0037a#0001</v>
      </c>
      <c r="P5" s="232">
        <f>_xll.qlSimpleQuoteSetValue(O5,M5)</f>
        <v>0</v>
      </c>
      <c r="AB5" s="209"/>
      <c r="AC5" s="209"/>
      <c r="AD5" s="369"/>
    </row>
    <row r="6" spans="1:30" x14ac:dyDescent="0.2">
      <c r="A6" s="234" t="str">
        <f>RateHelpersFra!F5</f>
        <v>obj_00390#0001</v>
      </c>
      <c r="B6" s="235">
        <f>_xll.qlRateHelperRate($A6,InterestRatesTrigger)</f>
        <v>6.3599999999999993E-3</v>
      </c>
      <c r="C6" s="236">
        <f>_xll.qlRateHelperEarliestDate($A6)</f>
        <v>41866</v>
      </c>
      <c r="D6" s="231">
        <f>_xll.qlRateHelperLatestDate($A6)</f>
        <v>43327</v>
      </c>
      <c r="E6" s="232">
        <v>0.97494951421075771</v>
      </c>
      <c r="F6" s="195">
        <v>48</v>
      </c>
      <c r="G6" s="233">
        <f>_xll.qlInterestRateIndexFixingDate(IborIndex,I6)</f>
        <v>43325</v>
      </c>
      <c r="H6" s="195" t="str">
        <f>_xll.qlMakeDatedOIS(,I6,J6,OvernightIndex,0,"Act/360",0)</f>
        <v>obj_00413#0001</v>
      </c>
      <c r="I6" s="233">
        <f>_xll.qlCalendarAdvance(Calendar,$D$2,F6&amp;"M","mf")</f>
        <v>43327</v>
      </c>
      <c r="J6" s="233">
        <f>_xll.qlInterestRateIndexMaturity(IborIndex,I6)</f>
        <v>43692</v>
      </c>
      <c r="K6" s="232">
        <f>_xll.qlIndexFixing(IborIndex,G6,TRUE,InterestRatesTrigger)</f>
        <v>1.1942811465472851E-2</v>
      </c>
      <c r="L6" s="232">
        <f>_xll.qlOvernightIndexedSwapFairRate(H6,Contribution!$P$25)</f>
        <v>6.6859335668242514E-3</v>
      </c>
      <c r="M6" s="209">
        <f>ROUND(K6-L6,6)</f>
        <v>5.2570000000000004E-3</v>
      </c>
      <c r="N6" s="232"/>
      <c r="O6" s="195" t="str">
        <f>_xll.qlSimpleQuote(,,,,EvaluationDate)</f>
        <v>obj_00382#0001</v>
      </c>
      <c r="P6" s="232">
        <f>_xll.qlSimpleQuoteSetValue(O6,M6)</f>
        <v>0</v>
      </c>
      <c r="AB6" s="209"/>
      <c r="AC6" s="209"/>
      <c r="AD6" s="369"/>
    </row>
    <row r="7" spans="1:30" x14ac:dyDescent="0.2">
      <c r="A7" s="234" t="str">
        <f>RateHelpersFra!F6</f>
        <v>obj_0038f#0001</v>
      </c>
      <c r="B7" s="235">
        <f>_xll.qlRateHelperRate($A7,InterestRatesTrigger)</f>
        <v>7.5000000000000006E-3</v>
      </c>
      <c r="C7" s="236">
        <f>_xll.qlRateHelperEarliestDate($A7)</f>
        <v>41866</v>
      </c>
      <c r="D7" s="231">
        <f>_xll.qlRateHelperLatestDate($A7)</f>
        <v>43692</v>
      </c>
      <c r="E7" s="232">
        <v>0.96328539589746298</v>
      </c>
      <c r="G7" s="233"/>
      <c r="I7" s="233"/>
      <c r="J7" s="233"/>
      <c r="K7" s="232"/>
      <c r="L7" s="232"/>
      <c r="M7" s="209"/>
      <c r="AB7" s="209"/>
      <c r="AC7" s="209"/>
      <c r="AD7" s="369"/>
    </row>
    <row r="8" spans="1:30" x14ac:dyDescent="0.2">
      <c r="A8" s="234"/>
      <c r="B8" s="235"/>
      <c r="C8" s="236"/>
      <c r="D8" s="231"/>
      <c r="E8" s="232" t="e">
        <v>#N/A</v>
      </c>
      <c r="F8" s="374">
        <v>0</v>
      </c>
      <c r="G8" s="375">
        <f>_xll.qlInterestRateIndexFixingDate(IborIndex,I8)</f>
        <v>41864</v>
      </c>
      <c r="H8" s="374" t="str">
        <f>_xll.qlMakeDatedOIS(,I8,J8,OvernightIndex,0,"Act/360",0)</f>
        <v>obj_0040c#0001</v>
      </c>
      <c r="I8" s="375">
        <f>_xll.qlCalendarAdvance(Calendar,$D$2,F8&amp;"M","mf")</f>
        <v>41866</v>
      </c>
      <c r="J8" s="375">
        <f>_xll.qlInterestRateIndexMaturity(IborIndex,I8)</f>
        <v>42233</v>
      </c>
      <c r="K8" s="374"/>
      <c r="L8" s="376">
        <f>_xll.qlOvernightIndexedSwapFairRate(H8,_xll.ohTrigger($P$2:$P$6))</f>
        <v>4.0999999999995256E-4</v>
      </c>
      <c r="M8" s="377">
        <f>_xll.qlInterpolationInterpolate(BasisInterpolator,I8,,L8)</f>
        <v>4.3800000000000002E-3</v>
      </c>
      <c r="N8" s="376">
        <f>L8+M8</f>
        <v>4.7899999999999531E-3</v>
      </c>
      <c r="AB8" s="209"/>
      <c r="AC8" s="209"/>
      <c r="AD8" s="369"/>
    </row>
    <row r="9" spans="1:30" x14ac:dyDescent="0.2">
      <c r="A9" s="234"/>
      <c r="B9" s="235"/>
      <c r="C9" s="236"/>
      <c r="D9" s="231"/>
      <c r="E9" s="232" t="e">
        <v>#N/A</v>
      </c>
      <c r="F9" s="195">
        <v>1</v>
      </c>
      <c r="G9" s="233">
        <f>_xll.qlInterestRateIndexFixingDate(IborIndex,I9)</f>
        <v>41893</v>
      </c>
      <c r="H9" s="195" t="str">
        <f>_xll.qlMakeDatedOIS(,I9,J9,OvernightIndex,0,"Act/360",0)</f>
        <v>obj_0041a#0001</v>
      </c>
      <c r="I9" s="233">
        <f>_xll.qlCalendarAdvance(Calendar,$D$2,F9&amp;"M","mf")</f>
        <v>41897</v>
      </c>
      <c r="J9" s="233">
        <f>_xll.qlInterestRateIndexMaturity(IborIndex,I9)</f>
        <v>42262</v>
      </c>
      <c r="L9" s="232">
        <f>_xll.qlOvernightIndexedSwapFairRate(H9,_xll.ohTrigger($P$2:$P$6))</f>
        <v>3.7725254915013017E-4</v>
      </c>
      <c r="M9" s="209">
        <f>_xll.qlInterpolationInterpolate(BasisInterpolator,I9,,L9)</f>
        <v>4.3928135919548634E-3</v>
      </c>
      <c r="N9" s="232">
        <f>L9+M9</f>
        <v>4.7700661411049939E-3</v>
      </c>
      <c r="O9" s="369"/>
      <c r="AB9" s="209"/>
      <c r="AC9" s="209"/>
      <c r="AD9" s="369"/>
    </row>
    <row r="10" spans="1:30" x14ac:dyDescent="0.2">
      <c r="A10" s="234"/>
      <c r="B10" s="235"/>
      <c r="C10" s="236"/>
      <c r="D10" s="231"/>
      <c r="E10" s="232" t="e">
        <v>#N/A</v>
      </c>
      <c r="F10" s="195">
        <v>2</v>
      </c>
      <c r="G10" s="233">
        <f>_xll.qlInterestRateIndexFixingDate(IborIndex,I10)</f>
        <v>41925</v>
      </c>
      <c r="H10" s="195" t="str">
        <f>_xll.qlMakeDatedOIS(,I10,J10,OvernightIndex,0,"Act/360",0)</f>
        <v>obj_00428#0001</v>
      </c>
      <c r="I10" s="233">
        <f>_xll.qlCalendarAdvance(Calendar,$D$2,F10&amp;"M","mf")</f>
        <v>41927</v>
      </c>
      <c r="J10" s="233">
        <f>_xll.qlInterestRateIndexMaturity(IborIndex,I10)</f>
        <v>42292</v>
      </c>
      <c r="L10" s="232">
        <f>_xll.qlOvernightIndexedSwapFairRate(H10,_xll.ohTrigger($P$2:$P$6))</f>
        <v>3.4633848863427238E-4</v>
      </c>
      <c r="M10" s="209">
        <f>_xll.qlInterpolationInterpolate(BasisInterpolator,I10,,L10)</f>
        <v>4.4052183141791868E-3</v>
      </c>
      <c r="N10" s="232">
        <f t="shared" ref="N10:N56" si="0">L10+M10</f>
        <v>4.7515568028134595E-3</v>
      </c>
      <c r="O10" s="369"/>
      <c r="AB10" s="209"/>
      <c r="AC10" s="209"/>
      <c r="AD10" s="369"/>
    </row>
    <row r="11" spans="1:30" x14ac:dyDescent="0.2">
      <c r="A11" s="234"/>
      <c r="B11" s="235"/>
      <c r="C11" s="236"/>
      <c r="D11" s="231"/>
      <c r="E11" s="232" t="e">
        <v>#N/A</v>
      </c>
      <c r="F11" s="195">
        <v>3</v>
      </c>
      <c r="G11" s="233">
        <f>_xll.qlInterestRateIndexFixingDate(IborIndex,I11)</f>
        <v>41956</v>
      </c>
      <c r="H11" s="195" t="str">
        <f>_xll.qlMakeDatedOIS(,I11,J11,OvernightIndex,0,"Act/360",0)</f>
        <v>obj_0042c#0001</v>
      </c>
      <c r="I11" s="233">
        <f>_xll.qlCalendarAdvance(Calendar,$D$2,F11&amp;"M","mf")</f>
        <v>41960</v>
      </c>
      <c r="J11" s="233">
        <f>_xll.qlInterestRateIndexMaturity(IborIndex,I11)</f>
        <v>42325</v>
      </c>
      <c r="L11" s="232">
        <f>_xll.qlOvernightIndexedSwapFairRate(H11,_xll.ohTrigger($P$2:$P$6))</f>
        <v>3.208152080813293E-4</v>
      </c>
      <c r="M11" s="209">
        <f>_xll.qlInterpolationInterpolate(BasisInterpolator,I11,,L11)</f>
        <v>4.4188737799164138E-3</v>
      </c>
      <c r="N11" s="232">
        <f t="shared" si="0"/>
        <v>4.7396889879977432E-3</v>
      </c>
      <c r="O11" s="369"/>
      <c r="AB11" s="209"/>
      <c r="AC11" s="209"/>
      <c r="AD11" s="369"/>
    </row>
    <row r="12" spans="1:30" x14ac:dyDescent="0.2">
      <c r="A12" s="234"/>
      <c r="B12" s="235"/>
      <c r="C12" s="236"/>
      <c r="D12" s="231"/>
      <c r="E12" s="232" t="e">
        <v>#N/A</v>
      </c>
      <c r="F12" s="195">
        <v>4</v>
      </c>
      <c r="G12" s="233">
        <f>_xll.qlInterestRateIndexFixingDate(IborIndex,I12)</f>
        <v>41984</v>
      </c>
      <c r="H12" s="195" t="str">
        <f>_xll.qlMakeDatedOIS(,I12,J12,OvernightIndex,0,"Act/360",0)</f>
        <v>obj_0041c#0001</v>
      </c>
      <c r="I12" s="233">
        <f>_xll.qlCalendarAdvance(Calendar,$D$2,F12&amp;"M","mf")</f>
        <v>41988</v>
      </c>
      <c r="J12" s="233">
        <f>_xll.qlInterestRateIndexMaturity(IborIndex,I12)</f>
        <v>42353</v>
      </c>
      <c r="L12" s="232">
        <f>_xll.qlOvernightIndexedSwapFairRate(H12,_xll.ohTrigger($P$2:$P$6))</f>
        <v>3.0782192748149688E-4</v>
      </c>
      <c r="M12" s="209">
        <f>_xll.qlInterpolationInterpolate(BasisInterpolator,I12,,L12)</f>
        <v>4.4304728025082044E-3</v>
      </c>
      <c r="N12" s="232">
        <f t="shared" si="0"/>
        <v>4.7382947299897012E-3</v>
      </c>
      <c r="O12" s="369"/>
      <c r="AB12" s="209"/>
      <c r="AC12" s="209"/>
      <c r="AD12" s="369"/>
    </row>
    <row r="13" spans="1:30" x14ac:dyDescent="0.2">
      <c r="A13" s="234"/>
      <c r="B13" s="235"/>
      <c r="C13" s="236"/>
      <c r="D13" s="231"/>
      <c r="E13" s="232" t="e">
        <v>#N/A</v>
      </c>
      <c r="F13" s="195">
        <v>5</v>
      </c>
      <c r="G13" s="233">
        <f>_xll.qlInterestRateIndexFixingDate(IborIndex,I13)</f>
        <v>42017</v>
      </c>
      <c r="H13" s="195" t="str">
        <f>_xll.qlMakeDatedOIS(,I13,J13,OvernightIndex,0,"Act/360",0)</f>
        <v>obj_0042a#0001</v>
      </c>
      <c r="I13" s="233">
        <f>_xll.qlCalendarAdvance(Calendar,$D$2,F13&amp;"M","mf")</f>
        <v>42019</v>
      </c>
      <c r="J13" s="233">
        <f>_xll.qlInterestRateIndexMaturity(IborIndex,I13)</f>
        <v>42384</v>
      </c>
      <c r="L13" s="232">
        <f>_xll.qlOvernightIndexedSwapFairRate(H13,_xll.ohTrigger($P$2:$P$6))</f>
        <v>2.9762417637394227E-4</v>
      </c>
      <c r="M13" s="209">
        <f>_xll.qlInterpolationInterpolate(BasisInterpolator,I13,,L13)</f>
        <v>4.4433325041090353E-3</v>
      </c>
      <c r="N13" s="232">
        <f t="shared" si="0"/>
        <v>4.7409566804829774E-3</v>
      </c>
      <c r="O13" s="369"/>
      <c r="AB13" s="209"/>
      <c r="AC13" s="209"/>
      <c r="AD13" s="369"/>
    </row>
    <row r="14" spans="1:30" x14ac:dyDescent="0.2">
      <c r="A14" s="234"/>
      <c r="B14" s="235"/>
      <c r="C14" s="236"/>
      <c r="D14" s="231"/>
      <c r="E14" s="232" t="e">
        <v>#N/A</v>
      </c>
      <c r="F14" s="195">
        <v>6</v>
      </c>
      <c r="G14" s="233">
        <f>_xll.qlInterestRateIndexFixingDate(IborIndex,I14)</f>
        <v>42047</v>
      </c>
      <c r="H14" s="195" t="str">
        <f>_xll.qlMakeDatedOIS(,I14,J14,OvernightIndex,0,"Act/360",0)</f>
        <v>obj_00423#0001</v>
      </c>
      <c r="I14" s="233">
        <f>_xll.qlCalendarAdvance(Calendar,$D$2,F14&amp;"M","mf")</f>
        <v>42051</v>
      </c>
      <c r="J14" s="233">
        <f>_xll.qlInterestRateIndexMaturity(IborIndex,I14)</f>
        <v>42416</v>
      </c>
      <c r="L14" s="232">
        <f>_xll.qlOvernightIndexedSwapFairRate(H14,_xll.ohTrigger($P$2:$P$6))</f>
        <v>2.7882423530242462E-4</v>
      </c>
      <c r="M14" s="209">
        <f>_xll.qlInterpolationInterpolate(BasisInterpolator,I14,,L14)</f>
        <v>4.4566316671488864E-3</v>
      </c>
      <c r="N14" s="232">
        <f t="shared" si="0"/>
        <v>4.7354559024513111E-3</v>
      </c>
      <c r="O14" s="369"/>
      <c r="AB14" s="209"/>
      <c r="AC14" s="209"/>
      <c r="AD14" s="369"/>
    </row>
    <row r="15" spans="1:30" x14ac:dyDescent="0.2">
      <c r="A15" s="234"/>
      <c r="B15" s="235"/>
      <c r="C15" s="236"/>
      <c r="D15" s="231"/>
      <c r="E15" s="232" t="e">
        <v>#N/A</v>
      </c>
      <c r="F15" s="195">
        <v>7</v>
      </c>
      <c r="G15" s="233">
        <f>_xll.qlInterestRateIndexFixingDate(IborIndex,I15)</f>
        <v>42075</v>
      </c>
      <c r="H15" s="195" t="str">
        <f>_xll.qlMakeDatedOIS(,I15,J15,OvernightIndex,0,"Act/360",0)</f>
        <v>obj_0040d#0001</v>
      </c>
      <c r="I15" s="233">
        <f>_xll.qlCalendarAdvance(Calendar,$D$2,F15&amp;"M","mf")</f>
        <v>42079</v>
      </c>
      <c r="J15" s="233">
        <f>_xll.qlInterestRateIndexMaturity(IborIndex,I15)</f>
        <v>42445</v>
      </c>
      <c r="L15" s="232">
        <f>_xll.qlOvernightIndexedSwapFairRate(H15,_xll.ohTrigger($P$2:$P$6))</f>
        <v>2.7766898181129758E-4</v>
      </c>
      <c r="M15" s="209">
        <f>_xll.qlInterpolationInterpolate(BasisInterpolator,I15,,L15)</f>
        <v>4.468293022540047E-3</v>
      </c>
      <c r="N15" s="232">
        <f t="shared" si="0"/>
        <v>4.7459620043513442E-3</v>
      </c>
      <c r="O15" s="369"/>
      <c r="AB15" s="209"/>
      <c r="AC15" s="209"/>
      <c r="AD15" s="369"/>
    </row>
    <row r="16" spans="1:30" x14ac:dyDescent="0.2">
      <c r="A16" s="234"/>
      <c r="B16" s="235"/>
      <c r="C16" s="236"/>
      <c r="D16" s="231"/>
      <c r="E16" s="232" t="e">
        <v>#N/A</v>
      </c>
      <c r="F16" s="195">
        <v>8</v>
      </c>
      <c r="G16" s="233">
        <f>_xll.qlInterestRateIndexFixingDate(IborIndex,I16)</f>
        <v>42107</v>
      </c>
      <c r="H16" s="195" t="str">
        <f>_xll.qlMakeDatedOIS(,I16,J16,OvernightIndex,0,"Act/360",0)</f>
        <v>obj_00416#0001</v>
      </c>
      <c r="I16" s="233">
        <f>_xll.qlCalendarAdvance(Calendar,$D$2,F16&amp;"M","mf")</f>
        <v>42109</v>
      </c>
      <c r="J16" s="233">
        <f>_xll.qlInterestRateIndexMaturity(IborIndex,I16)</f>
        <v>42475</v>
      </c>
      <c r="L16" s="232">
        <f>_xll.qlOvernightIndexedSwapFairRate(H16,_xll.ohTrigger($P$2:$P$6))</f>
        <v>2.9577953596644394E-4</v>
      </c>
      <c r="M16" s="209">
        <f>_xll.qlInterpolationInterpolate(BasisInterpolator,I16,,L16)</f>
        <v>4.4808169573308703E-3</v>
      </c>
      <c r="N16" s="232">
        <f t="shared" si="0"/>
        <v>4.7765964932973146E-3</v>
      </c>
      <c r="O16" s="369"/>
      <c r="AB16" s="209"/>
      <c r="AC16" s="209"/>
      <c r="AD16" s="369"/>
    </row>
    <row r="17" spans="1:30" x14ac:dyDescent="0.2">
      <c r="A17" s="234"/>
      <c r="B17" s="235"/>
      <c r="C17" s="236"/>
      <c r="D17" s="231"/>
      <c r="E17" s="232" t="e">
        <v>#N/A</v>
      </c>
      <c r="F17" s="195">
        <v>9</v>
      </c>
      <c r="G17" s="233">
        <f>_xll.qlInterestRateIndexFixingDate(IborIndex,I17)</f>
        <v>42137</v>
      </c>
      <c r="H17" s="195" t="str">
        <f>_xll.qlMakeDatedOIS(,I17,J17,OvernightIndex,0,"Act/360",0)</f>
        <v>obj_00418#0001</v>
      </c>
      <c r="I17" s="233">
        <f>_xll.qlCalendarAdvance(Calendar,$D$2,F17&amp;"M","mf")</f>
        <v>42139</v>
      </c>
      <c r="J17" s="233">
        <f>_xll.qlInterestRateIndexMaturity(IborIndex,I17)</f>
        <v>42506</v>
      </c>
      <c r="L17" s="232">
        <f>_xll.qlOvernightIndexedSwapFairRate(H17,_xll.ohTrigger($P$2:$P$6))</f>
        <v>3.2304157262864208E-4</v>
      </c>
      <c r="M17" s="209">
        <f>_xll.qlInterpolationInterpolate(BasisInterpolator,I17,,L17)</f>
        <v>4.4933757465217021E-3</v>
      </c>
      <c r="N17" s="232">
        <f t="shared" si="0"/>
        <v>4.8164173191503441E-3</v>
      </c>
      <c r="O17" s="369"/>
      <c r="AB17" s="209"/>
      <c r="AC17" s="209"/>
      <c r="AD17" s="369"/>
    </row>
    <row r="18" spans="1:30" x14ac:dyDescent="0.2">
      <c r="A18" s="234"/>
      <c r="B18" s="235"/>
      <c r="C18" s="236"/>
      <c r="D18" s="231"/>
      <c r="E18" s="232" t="e">
        <v>#N/A</v>
      </c>
      <c r="F18" s="195">
        <v>10</v>
      </c>
      <c r="G18" s="233">
        <f>_xll.qlInterestRateIndexFixingDate(IborIndex,I18)</f>
        <v>42166</v>
      </c>
      <c r="H18" s="195" t="str">
        <f>_xll.qlMakeDatedOIS(,I18,J18,OvernightIndex,0,"Act/360",0)</f>
        <v>obj_003fa#0001</v>
      </c>
      <c r="I18" s="233">
        <f>_xll.qlCalendarAdvance(Calendar,$D$2,F18&amp;"M","mf")</f>
        <v>42170</v>
      </c>
      <c r="J18" s="233">
        <f>_xll.qlInterestRateIndexMaturity(IborIndex,I18)</f>
        <v>42536</v>
      </c>
      <c r="L18" s="232">
        <f>_xll.qlOvernightIndexedSwapFairRate(H18,_xll.ohTrigger($P$2:$P$6))</f>
        <v>3.7308114911154374E-4</v>
      </c>
      <c r="M18" s="209">
        <f>_xll.qlInterpolationInterpolate(BasisInterpolator,I18,,L18)</f>
        <v>4.5063943492843562E-3</v>
      </c>
      <c r="N18" s="232">
        <f t="shared" si="0"/>
        <v>4.8794754983958995E-3</v>
      </c>
      <c r="O18" s="369"/>
      <c r="AB18" s="209"/>
      <c r="AC18" s="209"/>
      <c r="AD18" s="369"/>
    </row>
    <row r="19" spans="1:30" x14ac:dyDescent="0.2">
      <c r="A19" s="234"/>
      <c r="B19" s="235"/>
      <c r="C19" s="236"/>
      <c r="D19" s="231"/>
      <c r="E19" s="232" t="e">
        <v>#N/A</v>
      </c>
      <c r="F19" s="195">
        <v>11</v>
      </c>
      <c r="G19" s="233">
        <f>_xll.qlInterestRateIndexFixingDate(IborIndex,I19)</f>
        <v>42198</v>
      </c>
      <c r="H19" s="195" t="str">
        <f>_xll.qlMakeDatedOIS(,I19,J19,OvernightIndex,0,"Act/360",0)</f>
        <v>obj_003ff#0001</v>
      </c>
      <c r="I19" s="233">
        <f>_xll.qlCalendarAdvance(Calendar,$D$2,F19&amp;"M","mf")</f>
        <v>42200</v>
      </c>
      <c r="J19" s="233">
        <f>_xll.qlInterestRateIndexMaturity(IborIndex,I19)</f>
        <v>42566</v>
      </c>
      <c r="L19" s="232">
        <f>_xll.qlOvernightIndexedSwapFairRate(H19,_xll.ohTrigger($P$2:$P$6))</f>
        <v>4.1934454325708503E-4</v>
      </c>
      <c r="M19" s="209">
        <f>_xll.qlInterpolationInterpolate(BasisInterpolator,I19,,L19)</f>
        <v>4.5190372791005006E-3</v>
      </c>
      <c r="N19" s="232">
        <f t="shared" si="0"/>
        <v>4.9383818223575852E-3</v>
      </c>
      <c r="O19" s="369"/>
      <c r="AB19" s="209"/>
      <c r="AC19" s="209"/>
      <c r="AD19" s="369"/>
    </row>
    <row r="20" spans="1:30" x14ac:dyDescent="0.2">
      <c r="A20" s="234"/>
      <c r="B20" s="235"/>
      <c r="C20" s="236"/>
      <c r="D20" s="231"/>
      <c r="E20" s="232" t="e">
        <v>#N/A</v>
      </c>
      <c r="F20" s="370">
        <v>12</v>
      </c>
      <c r="G20" s="371">
        <f>_xll.qlInterestRateIndexFixingDate(IborIndex,I20)</f>
        <v>42229</v>
      </c>
      <c r="H20" s="370" t="str">
        <f>_xll.qlMakeDatedOIS(,I20,J20,OvernightIndex,0,"Act/360",0)</f>
        <v>obj_00407#0001</v>
      </c>
      <c r="I20" s="371">
        <f>_xll.qlCalendarAdvance(Calendar,$D$2,F20&amp;"M","mf")</f>
        <v>42233</v>
      </c>
      <c r="J20" s="371">
        <f>_xll.qlInterestRateIndexMaturity(IborIndex,I20)</f>
        <v>42599</v>
      </c>
      <c r="K20" s="370"/>
      <c r="L20" s="372">
        <f>_xll.qlOvernightIndexedSwapFairRate(H20,_xll.ohTrigger($P$2:$P$6))</f>
        <v>4.7699328078130553E-4</v>
      </c>
      <c r="M20" s="373">
        <f>_xll.qlInterpolationInterpolate(BasisInterpolator,I20,,L20)</f>
        <v>4.5329999999999997E-3</v>
      </c>
      <c r="N20" s="372">
        <f t="shared" ref="N20" si="1">L20+M20</f>
        <v>5.0099932807813052E-3</v>
      </c>
      <c r="O20" s="369"/>
      <c r="AB20" s="209"/>
      <c r="AC20" s="209"/>
      <c r="AD20" s="369"/>
    </row>
    <row r="21" spans="1:30" x14ac:dyDescent="0.2">
      <c r="A21" s="234"/>
      <c r="B21" s="235"/>
      <c r="C21" s="236"/>
      <c r="D21" s="231"/>
      <c r="E21" s="232" t="e">
        <v>#N/A</v>
      </c>
      <c r="F21" s="195">
        <v>13</v>
      </c>
      <c r="G21" s="233">
        <f>_xll.qlInterestRateIndexFixingDate(IborIndex,I21)</f>
        <v>42258</v>
      </c>
      <c r="H21" s="195" t="str">
        <f>_xll.qlMakeDatedOIS(,I21,J21,OvernightIndex,0,"Act/360",0)</f>
        <v>obj_00417#0001</v>
      </c>
      <c r="I21" s="233">
        <f>_xll.qlCalendarAdvance(Calendar,$D$2,F21&amp;"M","mf")</f>
        <v>42262</v>
      </c>
      <c r="J21" s="233">
        <f>_xll.qlInterestRateIndexMaturity(IborIndex,I21)</f>
        <v>42628</v>
      </c>
      <c r="L21" s="232">
        <f>_xll.qlOvernightIndexedSwapFairRate(H21,_xll.ohTrigger($P$2:$P$6))</f>
        <v>5.9931937115862463E-4</v>
      </c>
      <c r="M21" s="209">
        <f>_xll.qlInterpolationInterpolate(BasisInterpolator,I21,,L21)</f>
        <v>4.5453436420781227E-3</v>
      </c>
      <c r="N21" s="232">
        <f t="shared" si="0"/>
        <v>5.1446630132367475E-3</v>
      </c>
      <c r="O21" s="369"/>
      <c r="AB21" s="209"/>
      <c r="AC21" s="209"/>
      <c r="AD21" s="369"/>
    </row>
    <row r="22" spans="1:30" x14ac:dyDescent="0.2">
      <c r="A22" s="234"/>
      <c r="B22" s="235"/>
      <c r="C22" s="236"/>
      <c r="D22" s="231"/>
      <c r="E22" s="232" t="e">
        <v>#N/A</v>
      </c>
      <c r="F22" s="195">
        <v>14</v>
      </c>
      <c r="G22" s="233">
        <f>_xll.qlInterestRateIndexFixingDate(IborIndex,I22)</f>
        <v>42290</v>
      </c>
      <c r="H22" s="195" t="str">
        <f>_xll.qlMakeDatedOIS(,I22,J22,OvernightIndex,0,"Act/360",0)</f>
        <v>obj_0042d#0001</v>
      </c>
      <c r="I22" s="233">
        <f>_xll.qlCalendarAdvance(Calendar,$D$2,F22&amp;"M","mf")</f>
        <v>42292</v>
      </c>
      <c r="J22" s="233">
        <f>_xll.qlInterestRateIndexMaturity(IborIndex,I22)</f>
        <v>42660</v>
      </c>
      <c r="L22" s="232">
        <f>_xll.qlOvernightIndexedSwapFairRate(H22,_xll.ohTrigger($P$2:$P$6))</f>
        <v>7.311878636872863E-4</v>
      </c>
      <c r="M22" s="209">
        <f>_xll.qlInterpolationInterpolate(BasisInterpolator,I22,,L22)</f>
        <v>4.5583028253680302E-3</v>
      </c>
      <c r="N22" s="232">
        <f t="shared" si="0"/>
        <v>5.2894906890553163E-3</v>
      </c>
      <c r="O22" s="369"/>
      <c r="AB22" s="209"/>
      <c r="AC22" s="209"/>
      <c r="AD22" s="369"/>
    </row>
    <row r="23" spans="1:30" x14ac:dyDescent="0.2">
      <c r="A23" s="234"/>
      <c r="B23" s="235"/>
      <c r="C23" s="236"/>
      <c r="D23" s="231"/>
      <c r="E23" s="232" t="e">
        <v>#N/A</v>
      </c>
      <c r="F23" s="195">
        <v>15</v>
      </c>
      <c r="G23" s="233">
        <f>_xll.qlInterestRateIndexFixingDate(IborIndex,I23)</f>
        <v>42320</v>
      </c>
      <c r="H23" s="195" t="str">
        <f>_xll.qlMakeDatedOIS(,I23,J23,OvernightIndex,0,"Act/360",0)</f>
        <v>obj_003fb#0001</v>
      </c>
      <c r="I23" s="233">
        <f>_xll.qlCalendarAdvance(Calendar,$D$2,F23&amp;"M","mf")</f>
        <v>42324</v>
      </c>
      <c r="J23" s="233">
        <f>_xll.qlInterestRateIndexMaturity(IborIndex,I23)</f>
        <v>42690</v>
      </c>
      <c r="L23" s="232">
        <f>_xll.qlOvernightIndexedSwapFairRate(H23,_xll.ohTrigger($P$2:$P$6))</f>
        <v>8.608951235736012E-4</v>
      </c>
      <c r="M23" s="209">
        <f>_xll.qlInterpolationInterpolate(BasisInterpolator,I23,,L23)</f>
        <v>4.5724989272459765E-3</v>
      </c>
      <c r="N23" s="232">
        <f t="shared" si="0"/>
        <v>5.433394050819578E-3</v>
      </c>
      <c r="O23" s="369"/>
      <c r="AB23" s="209"/>
      <c r="AC23" s="209"/>
      <c r="AD23" s="369"/>
    </row>
    <row r="24" spans="1:30" x14ac:dyDescent="0.2">
      <c r="A24" s="234"/>
      <c r="B24" s="235"/>
      <c r="C24" s="236"/>
      <c r="D24" s="231"/>
      <c r="E24" s="232" t="e">
        <v>#N/A</v>
      </c>
      <c r="F24" s="195">
        <v>16</v>
      </c>
      <c r="G24" s="233">
        <f>_xll.qlInterestRateIndexFixingDate(IborIndex,I24)</f>
        <v>42349</v>
      </c>
      <c r="H24" s="195" t="str">
        <f>_xll.qlMakeDatedOIS(,I24,J24,OvernightIndex,0,"Act/360",0)</f>
        <v>obj_00421#0001</v>
      </c>
      <c r="I24" s="233">
        <f>_xll.qlCalendarAdvance(Calendar,$D$2,F24&amp;"M","mf")</f>
        <v>42353</v>
      </c>
      <c r="J24" s="233">
        <f>_xll.qlInterestRateIndexMaturity(IborIndex,I24)</f>
        <v>42719</v>
      </c>
      <c r="L24" s="232">
        <f>_xll.qlOvernightIndexedSwapFairRate(H24,_xll.ohTrigger($P$2:$P$6))</f>
        <v>9.6727849626610874E-4</v>
      </c>
      <c r="M24" s="209">
        <f>_xll.qlInterpolationInterpolate(BasisInterpolator,I24,,L24)</f>
        <v>4.5858394636596146E-3</v>
      </c>
      <c r="N24" s="232">
        <f t="shared" si="0"/>
        <v>5.5531179599257238E-3</v>
      </c>
      <c r="O24" s="369"/>
      <c r="AB24" s="209"/>
      <c r="AC24" s="209"/>
      <c r="AD24" s="369"/>
    </row>
    <row r="25" spans="1:30" x14ac:dyDescent="0.2">
      <c r="A25" s="234"/>
      <c r="B25" s="235"/>
      <c r="C25" s="236"/>
      <c r="D25" s="231"/>
      <c r="E25" s="232" t="e">
        <v>#N/A</v>
      </c>
      <c r="F25" s="195">
        <v>17</v>
      </c>
      <c r="G25" s="233">
        <f>_xll.qlInterestRateIndexFixingDate(IborIndex,I25)</f>
        <v>42382</v>
      </c>
      <c r="H25" s="195" t="str">
        <f>_xll.qlMakeDatedOIS(,I25,J25,OvernightIndex,0,"Act/360",0)</f>
        <v>obj_00402#0001</v>
      </c>
      <c r="I25" s="233">
        <f>_xll.qlCalendarAdvance(Calendar,$D$2,F25&amp;"M","mf")</f>
        <v>42384</v>
      </c>
      <c r="J25" s="233">
        <f>_xll.qlInterestRateIndexMaturity(IborIndex,I25)</f>
        <v>42751</v>
      </c>
      <c r="L25" s="232">
        <f>_xll.qlOvernightIndexedSwapFairRate(H25,_xll.ohTrigger($P$2:$P$6))</f>
        <v>1.082706729081542E-3</v>
      </c>
      <c r="M25" s="209">
        <f>_xll.qlInterpolationInterpolate(BasisInterpolator,I25,,L25)</f>
        <v>4.6007515648048185E-3</v>
      </c>
      <c r="N25" s="232">
        <f t="shared" si="0"/>
        <v>5.6834582938863603E-3</v>
      </c>
      <c r="O25" s="369"/>
      <c r="AB25" s="209"/>
      <c r="AC25" s="209"/>
      <c r="AD25" s="369"/>
    </row>
    <row r="26" spans="1:30" x14ac:dyDescent="0.2">
      <c r="A26" s="234"/>
      <c r="B26" s="235"/>
      <c r="C26" s="236"/>
      <c r="D26" s="231"/>
      <c r="E26" s="232" t="e">
        <v>#N/A</v>
      </c>
      <c r="F26" s="195">
        <v>18</v>
      </c>
      <c r="G26" s="233">
        <f>_xll.qlInterestRateIndexFixingDate(IborIndex,I26)</f>
        <v>42411</v>
      </c>
      <c r="H26" s="195" t="str">
        <f>_xll.qlMakeDatedOIS(,I26,J26,OvernightIndex,0,"Act/360",0)</f>
        <v>obj_0040a#0001</v>
      </c>
      <c r="I26" s="233">
        <f>_xll.qlCalendarAdvance(Calendar,$D$2,F26&amp;"M","mf")</f>
        <v>42415</v>
      </c>
      <c r="J26" s="233">
        <f>_xll.qlInterestRateIndexMaturity(IborIndex,I26)</f>
        <v>42781</v>
      </c>
      <c r="L26" s="232">
        <f>_xll.qlOvernightIndexedSwapFairRate(H26,_xll.ohTrigger($P$2:$P$6))</f>
        <v>1.194757373318368E-3</v>
      </c>
      <c r="M26" s="209">
        <f>_xll.qlInterpolationInterpolate(BasisInterpolator,I26,,L26)</f>
        <v>4.6164920228676945E-3</v>
      </c>
      <c r="N26" s="232">
        <f t="shared" si="0"/>
        <v>5.8112493961860624E-3</v>
      </c>
      <c r="O26" s="369"/>
      <c r="AB26" s="209"/>
      <c r="AC26" s="209"/>
      <c r="AD26" s="369"/>
    </row>
    <row r="27" spans="1:30" x14ac:dyDescent="0.2">
      <c r="A27" s="234"/>
      <c r="B27" s="235"/>
      <c r="C27" s="236"/>
      <c r="D27" s="231"/>
      <c r="E27" s="232" t="e">
        <v>#N/A</v>
      </c>
      <c r="F27" s="195">
        <v>19</v>
      </c>
      <c r="G27" s="233">
        <f>_xll.qlInterestRateIndexFixingDate(IborIndex,I27)</f>
        <v>42440</v>
      </c>
      <c r="H27" s="195" t="str">
        <f>_xll.qlMakeDatedOIS(,I27,J27,OvernightIndex,0,"Act/360",0)</f>
        <v>obj_0040f#0001</v>
      </c>
      <c r="I27" s="233">
        <f>_xll.qlCalendarAdvance(Calendar,$D$2,F27&amp;"M","mf")</f>
        <v>42444</v>
      </c>
      <c r="J27" s="233">
        <f>_xll.qlInterestRateIndexMaturity(IborIndex,I27)</f>
        <v>42809</v>
      </c>
      <c r="L27" s="232">
        <f>_xll.qlOvernightIndexedSwapFairRate(H27,_xll.ohTrigger($P$2:$P$6))</f>
        <v>1.2832938626054175E-3</v>
      </c>
      <c r="M27" s="209">
        <f>_xll.qlInterpolationInterpolate(BasisInterpolator,I27,,L27)</f>
        <v>4.6321073084028032E-3</v>
      </c>
      <c r="N27" s="232">
        <f t="shared" si="0"/>
        <v>5.9154011710082204E-3</v>
      </c>
      <c r="O27" s="369"/>
      <c r="AB27" s="209"/>
      <c r="AC27" s="209"/>
      <c r="AD27" s="369"/>
    </row>
    <row r="28" spans="1:30" x14ac:dyDescent="0.2">
      <c r="A28" s="234"/>
      <c r="B28" s="235"/>
      <c r="C28" s="236"/>
      <c r="D28" s="231"/>
      <c r="E28" s="232" t="e">
        <v>#N/A</v>
      </c>
      <c r="F28" s="195">
        <v>20</v>
      </c>
      <c r="G28" s="233">
        <f>_xll.qlInterestRateIndexFixingDate(IborIndex,I28)</f>
        <v>42473</v>
      </c>
      <c r="H28" s="195" t="str">
        <f>_xll.qlMakeDatedOIS(,I28,J28,OvernightIndex,0,"Act/360",0)</f>
        <v>obj_00414#0001</v>
      </c>
      <c r="I28" s="233">
        <f>_xll.qlCalendarAdvance(Calendar,$D$2,F28&amp;"M","mf")</f>
        <v>42475</v>
      </c>
      <c r="J28" s="233">
        <f>_xll.qlInterestRateIndexMaturity(IborIndex,I28)</f>
        <v>42843</v>
      </c>
      <c r="L28" s="232">
        <f>_xll.qlOvernightIndexedSwapFairRate(H28,_xll.ohTrigger($P$2:$P$6))</f>
        <v>1.3820787038783798E-3</v>
      </c>
      <c r="M28" s="209">
        <f>_xll.qlInterpolationInterpolate(BasisInterpolator,I28,,L28)</f>
        <v>4.6499013618870018E-3</v>
      </c>
      <c r="N28" s="232">
        <f t="shared" si="0"/>
        <v>6.031980065765382E-3</v>
      </c>
      <c r="O28" s="369"/>
      <c r="AB28" s="209"/>
      <c r="AC28" s="209"/>
      <c r="AD28" s="369"/>
    </row>
    <row r="29" spans="1:30" x14ac:dyDescent="0.2">
      <c r="A29" s="234"/>
      <c r="B29" s="235"/>
      <c r="C29" s="236"/>
      <c r="D29" s="231"/>
      <c r="E29" s="232" t="e">
        <v>#N/A</v>
      </c>
      <c r="F29" s="195">
        <v>21</v>
      </c>
      <c r="G29" s="233">
        <f>_xll.qlInterestRateIndexFixingDate(IborIndex,I29)</f>
        <v>42502</v>
      </c>
      <c r="H29" s="195" t="str">
        <f>_xll.qlMakeDatedOIS(,I29,J29,OvernightIndex,0,"Act/360",0)</f>
        <v>obj_00419#0001</v>
      </c>
      <c r="I29" s="233">
        <f>_xll.qlCalendarAdvance(Calendar,$D$2,F29&amp;"M","mf")</f>
        <v>42506</v>
      </c>
      <c r="J29" s="233">
        <f>_xll.qlInterestRateIndexMaturity(IborIndex,I29)</f>
        <v>42871</v>
      </c>
      <c r="L29" s="232">
        <f>_xll.qlOvernightIndexedSwapFairRate(H29,_xll.ohTrigger($P$2:$P$6))</f>
        <v>1.4755855290267434E-3</v>
      </c>
      <c r="M29" s="209">
        <f>_xll.qlInterpolationInterpolate(BasisInterpolator,I29,,L29)</f>
        <v>4.6689891070555651E-3</v>
      </c>
      <c r="N29" s="232">
        <f t="shared" si="0"/>
        <v>6.1445746360823082E-3</v>
      </c>
      <c r="O29" s="369"/>
      <c r="AB29" s="209"/>
      <c r="AC29" s="209"/>
      <c r="AD29" s="369"/>
    </row>
    <row r="30" spans="1:30" x14ac:dyDescent="0.2">
      <c r="A30" s="234"/>
      <c r="B30" s="235"/>
      <c r="C30" s="236"/>
      <c r="D30" s="231"/>
      <c r="E30" s="232" t="e">
        <v>#N/A</v>
      </c>
      <c r="F30" s="195">
        <v>22</v>
      </c>
      <c r="G30" s="233">
        <f>_xll.qlInterestRateIndexFixingDate(IborIndex,I30)</f>
        <v>42534</v>
      </c>
      <c r="H30" s="195" t="str">
        <f>_xll.qlMakeDatedOIS(,I30,J30,OvernightIndex,0,"Act/360",0)</f>
        <v>obj_0042b#0001</v>
      </c>
      <c r="I30" s="233">
        <f>_xll.qlCalendarAdvance(Calendar,$D$2,F30&amp;"M","mf")</f>
        <v>42536</v>
      </c>
      <c r="J30" s="233">
        <f>_xll.qlInterestRateIndexMaturity(IborIndex,I30)</f>
        <v>42901</v>
      </c>
      <c r="L30" s="232">
        <f>_xll.qlOvernightIndexedSwapFairRate(H30,_xll.ohTrigger($P$2:$P$6))</f>
        <v>1.5504869554470596E-3</v>
      </c>
      <c r="M30" s="209">
        <f>_xll.qlInterpolationInterpolate(BasisInterpolator,I30,,L30)</f>
        <v>4.6888421951308008E-3</v>
      </c>
      <c r="N30" s="232">
        <f t="shared" si="0"/>
        <v>6.2393291505778601E-3</v>
      </c>
      <c r="O30" s="369"/>
      <c r="AB30" s="209"/>
      <c r="AC30" s="209"/>
      <c r="AD30" s="369"/>
    </row>
    <row r="31" spans="1:30" x14ac:dyDescent="0.2">
      <c r="A31" s="234"/>
      <c r="B31" s="235"/>
      <c r="C31" s="236"/>
      <c r="D31" s="231"/>
      <c r="E31" s="232" t="e">
        <v>#N/A</v>
      </c>
      <c r="F31" s="195">
        <v>23</v>
      </c>
      <c r="G31" s="233">
        <f>_xll.qlInterestRateIndexFixingDate(IborIndex,I31)</f>
        <v>42564</v>
      </c>
      <c r="H31" s="195" t="str">
        <f>_xll.qlMakeDatedOIS(,I31,J31,OvernightIndex,0,"Act/360",0)</f>
        <v>obj_003fe#0001</v>
      </c>
      <c r="I31" s="233">
        <f>_xll.qlCalendarAdvance(Calendar,$D$2,F31&amp;"M","mf")</f>
        <v>42566</v>
      </c>
      <c r="J31" s="233">
        <f>_xll.qlInterestRateIndexMaturity(IborIndex,I31)</f>
        <v>42933</v>
      </c>
      <c r="L31" s="232">
        <f>_xll.qlOvernightIndexedSwapFairRate(H31,_xll.ohTrigger($P$2:$P$6))</f>
        <v>1.6258232362401585E-3</v>
      </c>
      <c r="M31" s="209">
        <f>_xll.qlInterpolationInterpolate(BasisInterpolator,I31,,L31)</f>
        <v>4.7101989850235216E-3</v>
      </c>
      <c r="N31" s="232">
        <f t="shared" si="0"/>
        <v>6.3360222212636803E-3</v>
      </c>
      <c r="O31" s="369"/>
      <c r="AB31" s="209"/>
      <c r="AC31" s="209"/>
      <c r="AD31" s="369"/>
    </row>
    <row r="32" spans="1:30" x14ac:dyDescent="0.2">
      <c r="A32" s="234"/>
      <c r="B32" s="235"/>
      <c r="C32" s="236"/>
      <c r="D32" s="231"/>
      <c r="E32" s="232" t="e">
        <v>#N/A</v>
      </c>
      <c r="F32" s="374">
        <v>24</v>
      </c>
      <c r="G32" s="375">
        <f>_xll.qlInterestRateIndexFixingDate(IborIndex,I32)</f>
        <v>42593</v>
      </c>
      <c r="H32" s="374" t="str">
        <f>_xll.qlMakeDatedOIS(,I32,J32,OvernightIndex,0,"Act/360",0)</f>
        <v>obj_00424#0001</v>
      </c>
      <c r="I32" s="375">
        <f>_xll.qlCalendarAdvance(Calendar,$D$2,F32&amp;"M","mf")</f>
        <v>42597</v>
      </c>
      <c r="J32" s="375">
        <f>_xll.qlInterestRateIndexMaturity(IborIndex,I32)</f>
        <v>42962</v>
      </c>
      <c r="K32" s="374"/>
      <c r="L32" s="376">
        <f>_xll.qlOvernightIndexedSwapFairRate(H32,_xll.ohTrigger($P$2:$P$6))</f>
        <v>1.7028040383574201E-3</v>
      </c>
      <c r="M32" s="377">
        <f>_xll.qlInterpolationInterpolate(BasisInterpolator,I32,,L32)</f>
        <v>4.7340000000000004E-3</v>
      </c>
      <c r="N32" s="376">
        <f t="shared" ref="N32" si="2">L32+M32</f>
        <v>6.4368040383574205E-3</v>
      </c>
      <c r="O32" s="369"/>
      <c r="AB32" s="209"/>
      <c r="AC32" s="209"/>
      <c r="AD32" s="369"/>
    </row>
    <row r="33" spans="1:30" x14ac:dyDescent="0.2">
      <c r="A33" s="234"/>
      <c r="B33" s="235"/>
      <c r="C33" s="236"/>
      <c r="D33" s="231"/>
      <c r="E33" s="232" t="e">
        <v>#N/A</v>
      </c>
      <c r="F33" s="195">
        <v>25</v>
      </c>
      <c r="G33" s="233">
        <f>_xll.qlInterestRateIndexFixingDate(IborIndex,I33)</f>
        <v>42626</v>
      </c>
      <c r="H33" s="195" t="str">
        <f>_xll.qlMakeDatedOIS(,I33,J33,OvernightIndex,0,"Act/360",0)</f>
        <v>obj_00410#0001</v>
      </c>
      <c r="I33" s="233">
        <f>_xll.qlCalendarAdvance(Calendar,$D$2,F33&amp;"M","mf")</f>
        <v>42628</v>
      </c>
      <c r="J33" s="233">
        <f>_xll.qlInterestRateIndexMaturity(IborIndex,I33)</f>
        <v>42993</v>
      </c>
      <c r="L33" s="232">
        <f>_xll.qlOvernightIndexedSwapFairRate(H33,_xll.ohTrigger($P$2:$P$6))</f>
        <v>1.8801826454155563E-3</v>
      </c>
      <c r="M33" s="209">
        <f>_xll.qlInterpolationInterpolate(BasisInterpolator,I33,,L33)</f>
        <v>4.7596363108183748E-3</v>
      </c>
      <c r="N33" s="232">
        <f t="shared" si="0"/>
        <v>6.639818956233931E-3</v>
      </c>
      <c r="O33" s="369"/>
      <c r="AB33" s="209"/>
      <c r="AC33" s="209"/>
      <c r="AD33" s="369"/>
    </row>
    <row r="34" spans="1:30" x14ac:dyDescent="0.2">
      <c r="A34" s="234"/>
      <c r="B34" s="235"/>
      <c r="C34" s="236"/>
      <c r="D34" s="231"/>
      <c r="E34" s="232" t="e">
        <v>#N/A</v>
      </c>
      <c r="F34" s="195">
        <v>26</v>
      </c>
      <c r="G34" s="233">
        <f>_xll.qlInterestRateIndexFixingDate(IborIndex,I34)</f>
        <v>42656</v>
      </c>
      <c r="H34" s="195" t="str">
        <f>_xll.qlMakeDatedOIS(,I34,J34,OvernightIndex,0,"Act/360",0)</f>
        <v>obj_003f9#0001</v>
      </c>
      <c r="I34" s="233">
        <f>_xll.qlCalendarAdvance(Calendar,$D$2,F34&amp;"M","mf")</f>
        <v>42660</v>
      </c>
      <c r="J34" s="233">
        <f>_xll.qlInterestRateIndexMaturity(IborIndex,I34)</f>
        <v>43025</v>
      </c>
      <c r="L34" s="232">
        <f>_xll.qlOvernightIndexedSwapFairRate(H34,_xll.ohTrigger($P$2:$P$6))</f>
        <v>2.0633165457324288E-3</v>
      </c>
      <c r="M34" s="209">
        <f>_xll.qlInterpolationInterpolate(BasisInterpolator,I34,,L34)</f>
        <v>4.7877557803769136E-3</v>
      </c>
      <c r="N34" s="232">
        <f t="shared" si="0"/>
        <v>6.8510723261093424E-3</v>
      </c>
      <c r="O34" s="369"/>
      <c r="AB34" s="209"/>
      <c r="AC34" s="209"/>
      <c r="AD34" s="369"/>
    </row>
    <row r="35" spans="1:30" x14ac:dyDescent="0.2">
      <c r="A35" s="234"/>
      <c r="B35" s="235"/>
      <c r="C35" s="236"/>
      <c r="D35" s="231"/>
      <c r="E35" s="232" t="e">
        <v>#N/A</v>
      </c>
      <c r="F35" s="195">
        <v>27</v>
      </c>
      <c r="G35" s="233">
        <f>_xll.qlInterestRateIndexFixingDate(IborIndex,I35)</f>
        <v>42685</v>
      </c>
      <c r="H35" s="195" t="str">
        <f>_xll.qlMakeDatedOIS(,I35,J35,OvernightIndex,0,"Act/360",0)</f>
        <v>obj_00404#0001</v>
      </c>
      <c r="I35" s="233">
        <f>_xll.qlCalendarAdvance(Calendar,$D$2,F35&amp;"M","mf")</f>
        <v>42689</v>
      </c>
      <c r="J35" s="233">
        <f>_xll.qlInterestRateIndexMaturity(IborIndex,I35)</f>
        <v>43054</v>
      </c>
      <c r="L35" s="232">
        <f>_xll.qlOvernightIndexedSwapFairRate(H35,_xll.ohTrigger($P$2:$P$6))</f>
        <v>2.2293109583140362E-3</v>
      </c>
      <c r="M35" s="209">
        <f>_xll.qlInterpolationInterpolate(BasisInterpolator,I35,,L35)</f>
        <v>4.8143873105352397E-3</v>
      </c>
      <c r="N35" s="232">
        <f t="shared" si="0"/>
        <v>7.0436982688492755E-3</v>
      </c>
      <c r="O35" s="369"/>
      <c r="AB35" s="209"/>
      <c r="AC35" s="209"/>
      <c r="AD35" s="369"/>
    </row>
    <row r="36" spans="1:30" x14ac:dyDescent="0.2">
      <c r="A36" s="234"/>
      <c r="B36" s="235"/>
      <c r="C36" s="236"/>
      <c r="D36" s="231"/>
      <c r="E36" s="232" t="e">
        <v>#N/A</v>
      </c>
      <c r="F36" s="195">
        <v>28</v>
      </c>
      <c r="G36" s="233">
        <f>_xll.qlInterestRateIndexFixingDate(IborIndex,I36)</f>
        <v>42717</v>
      </c>
      <c r="H36" s="195" t="str">
        <f>_xll.qlMakeDatedOIS(,I36,J36,OvernightIndex,0,"Act/360",0)</f>
        <v>obj_0040b#0001</v>
      </c>
      <c r="I36" s="233">
        <f>_xll.qlCalendarAdvance(Calendar,$D$2,F36&amp;"M","mf")</f>
        <v>42719</v>
      </c>
      <c r="J36" s="233">
        <f>_xll.qlInterestRateIndexMaturity(IborIndex,I36)</f>
        <v>43084</v>
      </c>
      <c r="L36" s="232">
        <f>_xll.qlOvernightIndexedSwapFairRate(H36,_xll.ohTrigger($P$2:$P$6))</f>
        <v>2.401058653301306E-3</v>
      </c>
      <c r="M36" s="209">
        <f>_xll.qlInterpolationInterpolate(BasisInterpolator,I36,,L36)</f>
        <v>4.8427842189510953E-3</v>
      </c>
      <c r="N36" s="232">
        <f t="shared" si="0"/>
        <v>7.2438428722524009E-3</v>
      </c>
      <c r="O36" s="369"/>
      <c r="AB36" s="209"/>
      <c r="AC36" s="209"/>
      <c r="AD36" s="369"/>
    </row>
    <row r="37" spans="1:30" x14ac:dyDescent="0.2">
      <c r="A37" s="234"/>
      <c r="B37" s="235"/>
      <c r="C37" s="236"/>
      <c r="D37" s="231"/>
      <c r="E37" s="232" t="e">
        <v>#N/A</v>
      </c>
      <c r="F37" s="195">
        <v>29</v>
      </c>
      <c r="G37" s="233">
        <f>_xll.qlInterestRateIndexFixingDate(IborIndex,I37)</f>
        <v>42747</v>
      </c>
      <c r="H37" s="195" t="str">
        <f>_xll.qlMakeDatedOIS(,I37,J37,OvernightIndex,0,"Act/360",0)</f>
        <v>obj_00422#0001</v>
      </c>
      <c r="I37" s="233">
        <f>_xll.qlCalendarAdvance(Calendar,$D$2,F37&amp;"M","mf")</f>
        <v>42751</v>
      </c>
      <c r="J37" s="233">
        <f>_xll.qlInterestRateIndexMaturity(IborIndex,I37)</f>
        <v>43116</v>
      </c>
      <c r="L37" s="232">
        <f>_xll.qlOvernightIndexedSwapFairRate(H37,_xll.ohTrigger($P$2:$P$6))</f>
        <v>2.5842890845182739E-3</v>
      </c>
      <c r="M37" s="209">
        <f>_xll.qlInterpolationInterpolate(BasisInterpolator,I37,,L37)</f>
        <v>4.8736853594261564E-3</v>
      </c>
      <c r="N37" s="232">
        <f t="shared" si="0"/>
        <v>7.4579744439444307E-3</v>
      </c>
      <c r="O37" s="369"/>
      <c r="AB37" s="209"/>
      <c r="AC37" s="209"/>
      <c r="AD37" s="369"/>
    </row>
    <row r="38" spans="1:30" x14ac:dyDescent="0.2">
      <c r="A38" s="234"/>
      <c r="B38" s="235"/>
      <c r="C38" s="236"/>
      <c r="D38" s="231"/>
      <c r="E38" s="232" t="e">
        <v>#N/A</v>
      </c>
      <c r="F38" s="195">
        <v>30</v>
      </c>
      <c r="G38" s="233">
        <f>_xll.qlInterestRateIndexFixingDate(IborIndex,I38)</f>
        <v>42779</v>
      </c>
      <c r="H38" s="195" t="str">
        <f>_xll.qlMakeDatedOIS(,I38,J38,OvernightIndex,0,"Act/360",0)</f>
        <v>obj_00426#0001</v>
      </c>
      <c r="I38" s="233">
        <f>_xll.qlCalendarAdvance(Calendar,$D$2,F38&amp;"M","mf")</f>
        <v>42781</v>
      </c>
      <c r="J38" s="233">
        <f>_xll.qlInterestRateIndexMaturity(IborIndex,I38)</f>
        <v>43146</v>
      </c>
      <c r="L38" s="232">
        <f>_xll.qlOvernightIndexedSwapFairRate(H38,_xll.ohTrigger($P$2:$P$6))</f>
        <v>2.7560984535395325E-3</v>
      </c>
      <c r="M38" s="209">
        <f>_xll.qlInterpolationInterpolate(BasisInterpolator,I38,,L38)</f>
        <v>4.902907394413852E-3</v>
      </c>
      <c r="N38" s="232">
        <f t="shared" si="0"/>
        <v>7.6590058479533846E-3</v>
      </c>
      <c r="O38" s="369"/>
      <c r="AB38" s="209"/>
      <c r="AC38" s="209"/>
      <c r="AD38" s="369"/>
    </row>
    <row r="39" spans="1:30" x14ac:dyDescent="0.2">
      <c r="A39" s="234"/>
      <c r="B39" s="235"/>
      <c r="C39" s="236"/>
      <c r="D39" s="231"/>
      <c r="E39" s="232" t="e">
        <v>#N/A</v>
      </c>
      <c r="F39" s="195">
        <v>31</v>
      </c>
      <c r="G39" s="233">
        <f>_xll.qlInterestRateIndexFixingDate(IborIndex,I39)</f>
        <v>42807</v>
      </c>
      <c r="H39" s="195" t="str">
        <f>_xll.qlMakeDatedOIS(,I39,J39,OvernightIndex,0,"Act/360",0)</f>
        <v>obj_0041e#0001</v>
      </c>
      <c r="I39" s="233">
        <f>_xll.qlCalendarAdvance(Calendar,$D$2,F39&amp;"M","mf")</f>
        <v>42809</v>
      </c>
      <c r="J39" s="233">
        <f>_xll.qlInterestRateIndexMaturity(IborIndex,I39)</f>
        <v>43174</v>
      </c>
      <c r="L39" s="232">
        <f>_xll.qlOvernightIndexedSwapFairRate(H39,_xll.ohTrigger($P$2:$P$6))</f>
        <v>2.9164807960583368E-3</v>
      </c>
      <c r="M39" s="209">
        <f>_xll.qlInterpolationInterpolate(BasisInterpolator,I39,,L39)</f>
        <v>4.9301275903566285E-3</v>
      </c>
      <c r="N39" s="232">
        <f t="shared" si="0"/>
        <v>7.8466083864149657E-3</v>
      </c>
      <c r="O39" s="369"/>
      <c r="AB39" s="209"/>
      <c r="AC39" s="209"/>
      <c r="AD39" s="369"/>
    </row>
    <row r="40" spans="1:30" x14ac:dyDescent="0.2">
      <c r="A40" s="234"/>
      <c r="B40" s="235"/>
      <c r="C40" s="236"/>
      <c r="D40" s="231"/>
      <c r="E40" s="232" t="e">
        <v>#N/A</v>
      </c>
      <c r="F40" s="195">
        <v>32</v>
      </c>
      <c r="G40" s="233">
        <f>_xll.qlInterestRateIndexFixingDate(IborIndex,I40)</f>
        <v>42837</v>
      </c>
      <c r="H40" s="195" t="str">
        <f>_xll.qlMakeDatedOIS(,I40,J40,OvernightIndex,0,"Act/360",0)</f>
        <v>obj_00403#0001</v>
      </c>
      <c r="I40" s="233">
        <f>_xll.qlCalendarAdvance(Calendar,$D$2,F40&amp;"M","mf")</f>
        <v>42843</v>
      </c>
      <c r="J40" s="233">
        <f>_xll.qlInterestRateIndexMaturity(IborIndex,I40)</f>
        <v>43208</v>
      </c>
      <c r="L40" s="232">
        <f>_xll.qlOvernightIndexedSwapFairRate(H40,_xll.ohTrigger($P$2:$P$6))</f>
        <v>3.1112657474059082E-3</v>
      </c>
      <c r="M40" s="209">
        <f>_xll.qlInterpolationInterpolate(BasisInterpolator,I40,,L40)</f>
        <v>4.9627475225378593E-3</v>
      </c>
      <c r="N40" s="232">
        <f t="shared" si="0"/>
        <v>8.0740132699437667E-3</v>
      </c>
      <c r="O40" s="369"/>
      <c r="AB40" s="209"/>
      <c r="AC40" s="209"/>
      <c r="AD40" s="369"/>
    </row>
    <row r="41" spans="1:30" x14ac:dyDescent="0.2">
      <c r="A41" s="234"/>
      <c r="B41" s="235"/>
      <c r="C41" s="236"/>
      <c r="D41" s="231"/>
      <c r="E41" s="232" t="e">
        <v>#N/A</v>
      </c>
      <c r="F41" s="195">
        <v>33</v>
      </c>
      <c r="G41" s="233">
        <f>_xll.qlInterestRateIndexFixingDate(IborIndex,I41)</f>
        <v>42866</v>
      </c>
      <c r="H41" s="195" t="str">
        <f>_xll.qlMakeDatedOIS(,I41,J41,OvernightIndex,0,"Act/360",0)</f>
        <v>obj_0041f#0001</v>
      </c>
      <c r="I41" s="233">
        <f>_xll.qlCalendarAdvance(Calendar,$D$2,F41&amp;"M","mf")</f>
        <v>42870</v>
      </c>
      <c r="J41" s="233">
        <f>_xll.qlInterestRateIndexMaturity(IborIndex,I41)</f>
        <v>43235</v>
      </c>
      <c r="L41" s="232">
        <f>_xll.qlOvernightIndexedSwapFairRate(H41,_xll.ohTrigger($P$2:$P$6))</f>
        <v>3.2659752370472919E-3</v>
      </c>
      <c r="M41" s="209">
        <f>_xll.qlInterpolationInterpolate(BasisInterpolator,I41,,L41)</f>
        <v>4.9880384417941301E-3</v>
      </c>
      <c r="N41" s="232">
        <f t="shared" si="0"/>
        <v>8.2540136788414216E-3</v>
      </c>
      <c r="O41" s="369"/>
      <c r="AB41" s="209"/>
      <c r="AC41" s="209"/>
      <c r="AD41" s="369"/>
    </row>
    <row r="42" spans="1:30" x14ac:dyDescent="0.2">
      <c r="A42" s="234"/>
      <c r="B42" s="235"/>
      <c r="C42" s="236"/>
      <c r="D42" s="231"/>
      <c r="E42" s="232" t="e">
        <v>#N/A</v>
      </c>
      <c r="F42" s="195">
        <v>34</v>
      </c>
      <c r="G42" s="233">
        <f>_xll.qlInterestRateIndexFixingDate(IborIndex,I42)</f>
        <v>42899</v>
      </c>
      <c r="H42" s="195" t="str">
        <f>_xll.qlMakeDatedOIS(,I42,J42,OvernightIndex,0,"Act/360",0)</f>
        <v>obj_0042e#0001</v>
      </c>
      <c r="I42" s="233">
        <f>_xll.qlCalendarAdvance(Calendar,$D$2,F42&amp;"M","mf")</f>
        <v>42901</v>
      </c>
      <c r="J42" s="233">
        <f>_xll.qlInterestRateIndexMaturity(IborIndex,I42)</f>
        <v>43266</v>
      </c>
      <c r="L42" s="232">
        <f>_xll.qlOvernightIndexedSwapFairRate(H42,_xll.ohTrigger($P$2:$P$6))</f>
        <v>3.4436344837394809E-3</v>
      </c>
      <c r="M42" s="209">
        <f>_xll.qlInterpolationInterpolate(BasisInterpolator,I42,,L42)</f>
        <v>5.0160967999915238E-3</v>
      </c>
      <c r="N42" s="232">
        <f t="shared" si="0"/>
        <v>8.4597312837310056E-3</v>
      </c>
      <c r="O42" s="369"/>
      <c r="AB42" s="209"/>
      <c r="AC42" s="209"/>
      <c r="AD42" s="369"/>
    </row>
    <row r="43" spans="1:30" x14ac:dyDescent="0.2">
      <c r="A43" s="234"/>
      <c r="B43" s="235"/>
      <c r="C43" s="236"/>
      <c r="D43" s="231"/>
      <c r="E43" s="232" t="e">
        <v>#N/A</v>
      </c>
      <c r="F43" s="195">
        <v>35</v>
      </c>
      <c r="G43" s="233">
        <f>_xll.qlInterestRateIndexFixingDate(IborIndex,I43)</f>
        <v>42929</v>
      </c>
      <c r="H43" s="195" t="str">
        <f>_xll.qlMakeDatedOIS(,I43,J43,OvernightIndex,0,"Act/360",0)</f>
        <v>obj_00411#0001</v>
      </c>
      <c r="I43" s="233">
        <f>_xll.qlCalendarAdvance(Calendar,$D$2,F43&amp;"M","mf")</f>
        <v>42933</v>
      </c>
      <c r="J43" s="233">
        <f>_xll.qlInterestRateIndexMaturity(IborIndex,I43)</f>
        <v>43298</v>
      </c>
      <c r="L43" s="232">
        <f>_xll.qlOvernightIndexedSwapFairRate(H43,_xll.ohTrigger($P$2:$P$6))</f>
        <v>3.6270581294299098E-3</v>
      </c>
      <c r="M43" s="209">
        <f>_xll.qlInterpolationInterpolate(BasisInterpolator,I43,,L43)</f>
        <v>5.0436221231785552E-3</v>
      </c>
      <c r="N43" s="232">
        <f t="shared" si="0"/>
        <v>8.6706802526084654E-3</v>
      </c>
      <c r="O43" s="369"/>
      <c r="AB43" s="209"/>
      <c r="AC43" s="209"/>
      <c r="AD43" s="369"/>
    </row>
    <row r="44" spans="1:30" x14ac:dyDescent="0.2">
      <c r="A44" s="234"/>
      <c r="B44" s="235"/>
      <c r="C44" s="236"/>
      <c r="D44" s="231"/>
      <c r="E44" s="232" t="e">
        <v>#N/A</v>
      </c>
      <c r="F44" s="374">
        <v>36</v>
      </c>
      <c r="G44" s="375">
        <f>_xll.qlInterestRateIndexFixingDate(IborIndex,I44)</f>
        <v>42958</v>
      </c>
      <c r="H44" s="374" t="str">
        <f>_xll.qlMakeDatedOIS(,I44,J44,OvernightIndex,0,"Act/360",0)</f>
        <v>obj_00405#0001</v>
      </c>
      <c r="I44" s="375">
        <f>_xll.qlCalendarAdvance(Calendar,$D$2,F44&amp;"M","mf")</f>
        <v>42962</v>
      </c>
      <c r="J44" s="375">
        <f>_xll.qlInterestRateIndexMaturity(IborIndex,I44)</f>
        <v>43327</v>
      </c>
      <c r="K44" s="374"/>
      <c r="L44" s="376">
        <f>_xll.qlOvernightIndexedSwapFairRate(H44,_xll.ohTrigger($P$2:$P$6))</f>
        <v>3.7933151701378871E-3</v>
      </c>
      <c r="M44" s="377">
        <f>_xll.qlInterpolationInterpolate(BasisInterpolator,I44,,L44)</f>
        <v>5.0670000000000003E-3</v>
      </c>
      <c r="N44" s="376">
        <f t="shared" ref="N44" si="3">L44+M44</f>
        <v>8.860315170137887E-3</v>
      </c>
      <c r="O44" s="369"/>
      <c r="AB44" s="209"/>
      <c r="AC44" s="209"/>
      <c r="AD44" s="369"/>
    </row>
    <row r="45" spans="1:30" x14ac:dyDescent="0.2">
      <c r="A45" s="234"/>
      <c r="B45" s="235"/>
      <c r="C45" s="236"/>
      <c r="D45" s="231"/>
      <c r="E45" s="209" t="e">
        <v>#N/A</v>
      </c>
      <c r="F45" s="195">
        <v>37</v>
      </c>
      <c r="G45" s="233">
        <f>_xll.qlInterestRateIndexFixingDate(IborIndex,I45)</f>
        <v>42991</v>
      </c>
      <c r="H45" s="195" t="str">
        <f>_xll.qlMakeDatedOIS(,I45,J45,OvernightIndex,0,"Act/360",0)</f>
        <v>obj_00400#0001</v>
      </c>
      <c r="I45" s="233">
        <f>_xll.qlCalendarAdvance(Calendar,$D$2,F45&amp;"M","mf")</f>
        <v>42993</v>
      </c>
      <c r="J45" s="233">
        <f>_xll.qlInterestRateIndexMaturity(IborIndex,I45)</f>
        <v>43360</v>
      </c>
      <c r="L45" s="232">
        <f>_xll.qlOvernightIndexedSwapFairRate(H45,_xll.ohTrigger($P$2:$P$6))</f>
        <v>4.0531148002459728E-3</v>
      </c>
      <c r="M45" s="209">
        <f>_xll.qlInterpolationInterpolate(BasisInterpolator,I45,,L45)</f>
        <v>5.0901064146917745E-3</v>
      </c>
      <c r="N45" s="232">
        <f t="shared" si="0"/>
        <v>9.1432212149377481E-3</v>
      </c>
      <c r="O45" s="369"/>
      <c r="AB45" s="209"/>
      <c r="AC45" s="209"/>
      <c r="AD45" s="369"/>
    </row>
    <row r="46" spans="1:30" x14ac:dyDescent="0.2">
      <c r="A46" s="234"/>
      <c r="B46" s="235"/>
      <c r="C46" s="236"/>
      <c r="D46" s="231"/>
      <c r="E46" s="209" t="e">
        <v>#N/A</v>
      </c>
      <c r="F46" s="195">
        <v>38</v>
      </c>
      <c r="G46" s="233">
        <f>_xll.qlInterestRateIndexFixingDate(IborIndex,I46)</f>
        <v>43020</v>
      </c>
      <c r="H46" s="195" t="str">
        <f>_xll.qlMakeDatedOIS(,I46,J46,OvernightIndex,0,"Act/360",0)</f>
        <v>obj_00412#0001</v>
      </c>
      <c r="I46" s="233">
        <f>_xll.qlCalendarAdvance(Calendar,$D$2,F46&amp;"M","mf")</f>
        <v>43024</v>
      </c>
      <c r="J46" s="233">
        <f>_xll.qlInterestRateIndexMaturity(IborIndex,I46)</f>
        <v>43389</v>
      </c>
      <c r="L46" s="232">
        <f>_xll.qlOvernightIndexedSwapFairRate(H46,_xll.ohTrigger($P$2:$P$6))</f>
        <v>4.2840692757807834E-3</v>
      </c>
      <c r="M46" s="209">
        <f>_xll.qlInterpolationInterpolate(BasisInterpolator,I46,,L46)</f>
        <v>5.1113583033740844E-3</v>
      </c>
      <c r="N46" s="232">
        <f t="shared" si="0"/>
        <v>9.3954275791548678E-3</v>
      </c>
      <c r="O46" s="369"/>
      <c r="AB46" s="209"/>
      <c r="AC46" s="209"/>
      <c r="AD46" s="369"/>
    </row>
    <row r="47" spans="1:30" x14ac:dyDescent="0.2">
      <c r="A47" s="234"/>
      <c r="B47" s="235"/>
      <c r="C47" s="236"/>
      <c r="D47" s="231"/>
      <c r="E47" s="209" t="e">
        <v>#N/A</v>
      </c>
      <c r="F47" s="195">
        <v>39</v>
      </c>
      <c r="G47" s="233">
        <f>_xll.qlInterestRateIndexFixingDate(IborIndex,I47)</f>
        <v>43052</v>
      </c>
      <c r="H47" s="195" t="str">
        <f>_xll.qlMakeDatedOIS(,I47,J47,OvernightIndex,0,"Act/360",0)</f>
        <v>obj_0041b#0001</v>
      </c>
      <c r="I47" s="233">
        <f>_xll.qlCalendarAdvance(Calendar,$D$2,F47&amp;"M","mf")</f>
        <v>43054</v>
      </c>
      <c r="J47" s="233">
        <f>_xll.qlInterestRateIndexMaturity(IborIndex,I47)</f>
        <v>43419</v>
      </c>
      <c r="L47" s="232">
        <f>_xll.qlOvernightIndexedSwapFairRate(H47,_xll.ohTrigger($P$2:$P$6))</f>
        <v>4.5216182590185599E-3</v>
      </c>
      <c r="M47" s="209">
        <f>_xll.qlInterpolationInterpolate(BasisInterpolator,I47,,L47)</f>
        <v>5.1303210167669838E-3</v>
      </c>
      <c r="N47" s="232">
        <f t="shared" si="0"/>
        <v>9.6519392757855437E-3</v>
      </c>
      <c r="O47" s="369"/>
      <c r="AB47" s="209"/>
      <c r="AC47" s="209"/>
      <c r="AD47" s="369"/>
    </row>
    <row r="48" spans="1:30" x14ac:dyDescent="0.2">
      <c r="A48" s="234"/>
      <c r="B48" s="235"/>
      <c r="C48" s="236"/>
      <c r="D48" s="231"/>
      <c r="E48" s="209" t="e">
        <v>#N/A</v>
      </c>
      <c r="F48" s="195">
        <v>40</v>
      </c>
      <c r="G48" s="233">
        <f>_xll.qlInterestRateIndexFixingDate(IborIndex,I48)</f>
        <v>43082</v>
      </c>
      <c r="H48" s="195" t="str">
        <f>_xll.qlMakeDatedOIS(,I48,J48,OvernightIndex,0,"Act/360",0)</f>
        <v>obj_0041d#0001</v>
      </c>
      <c r="I48" s="233">
        <f>_xll.qlCalendarAdvance(Calendar,$D$2,F48&amp;"M","mf")</f>
        <v>43084</v>
      </c>
      <c r="J48" s="233">
        <f>_xll.qlInterestRateIndexMaturity(IborIndex,I48)</f>
        <v>43451</v>
      </c>
      <c r="L48" s="232">
        <f>_xll.qlOvernightIndexedSwapFairRate(H48,_xll.ohTrigger($P$2:$P$6))</f>
        <v>4.769776942927486E-3</v>
      </c>
      <c r="M48" s="209">
        <f>_xll.qlInterpolationInterpolate(BasisInterpolator,I48,,L48)</f>
        <v>5.1478641228380282E-3</v>
      </c>
      <c r="N48" s="232">
        <f t="shared" si="0"/>
        <v>9.9176410657655142E-3</v>
      </c>
      <c r="O48" s="369"/>
      <c r="AB48" s="209"/>
      <c r="AC48" s="209"/>
      <c r="AD48" s="369"/>
    </row>
    <row r="49" spans="1:30" x14ac:dyDescent="0.2">
      <c r="A49" s="234"/>
      <c r="B49" s="235"/>
      <c r="C49" s="236"/>
      <c r="D49" s="231"/>
      <c r="E49" s="209" t="e">
        <v>#N/A</v>
      </c>
      <c r="F49" s="195">
        <v>41</v>
      </c>
      <c r="G49" s="233">
        <f>_xll.qlInterestRateIndexFixingDate(IborIndex,I49)</f>
        <v>43111</v>
      </c>
      <c r="H49" s="195" t="str">
        <f>_xll.qlMakeDatedOIS(,I49,J49,OvernightIndex,0,"Act/360",0)</f>
        <v>obj_003fc#0001</v>
      </c>
      <c r="I49" s="233">
        <f>_xll.qlCalendarAdvance(Calendar,$D$2,F49&amp;"M","mf")</f>
        <v>43115</v>
      </c>
      <c r="J49" s="233">
        <f>_xll.qlInterestRateIndexMaturity(IborIndex,I49)</f>
        <v>43480</v>
      </c>
      <c r="L49" s="232">
        <f>_xll.qlOvernightIndexedSwapFairRate(H49,_xll.ohTrigger($P$2:$P$6))</f>
        <v>5.0048102157289826E-3</v>
      </c>
      <c r="M49" s="209">
        <f>_xll.qlInterpolationInterpolate(BasisInterpolator,I49,,L49)</f>
        <v>5.1646663312370552E-3</v>
      </c>
      <c r="N49" s="232">
        <f t="shared" si="0"/>
        <v>1.0169476546966039E-2</v>
      </c>
      <c r="O49" s="369"/>
      <c r="AB49" s="209"/>
      <c r="AC49" s="209"/>
      <c r="AD49" s="369"/>
    </row>
    <row r="50" spans="1:30" x14ac:dyDescent="0.2">
      <c r="A50" s="234"/>
      <c r="B50" s="235"/>
      <c r="C50" s="236"/>
      <c r="D50" s="231"/>
      <c r="E50" s="209" t="e">
        <v>#N/A</v>
      </c>
      <c r="F50" s="195">
        <v>42</v>
      </c>
      <c r="G50" s="233">
        <f>_xll.qlInterestRateIndexFixingDate(IborIndex,I50)</f>
        <v>43144</v>
      </c>
      <c r="H50" s="195" t="str">
        <f>_xll.qlMakeDatedOIS(,I50,J50,OvernightIndex,0,"Act/360",0)</f>
        <v>obj_00425#0001</v>
      </c>
      <c r="I50" s="233">
        <f>_xll.qlCalendarAdvance(Calendar,$D$2,F50&amp;"M","mf")</f>
        <v>43146</v>
      </c>
      <c r="J50" s="233">
        <f>_xll.qlInterestRateIndexMaturity(IborIndex,I50)</f>
        <v>43511</v>
      </c>
      <c r="L50" s="232">
        <f>_xll.qlOvernightIndexedSwapFairRate(H50,_xll.ohTrigger($P$2:$P$6))</f>
        <v>5.2504570798825026E-3</v>
      </c>
      <c r="M50" s="209">
        <f>_xll.qlInterpolationInterpolate(BasisInterpolator,I50,,L50)</f>
        <v>5.180291415342651E-3</v>
      </c>
      <c r="N50" s="232">
        <f t="shared" si="0"/>
        <v>1.0430748495225153E-2</v>
      </c>
      <c r="O50" s="369"/>
      <c r="AB50" s="209"/>
      <c r="AC50" s="209"/>
      <c r="AD50" s="369"/>
    </row>
    <row r="51" spans="1:30" x14ac:dyDescent="0.2">
      <c r="A51" s="234"/>
      <c r="B51" s="235"/>
      <c r="C51" s="236"/>
      <c r="D51" s="231"/>
      <c r="E51" s="209" t="e">
        <v>#N/A</v>
      </c>
      <c r="F51" s="195">
        <v>43</v>
      </c>
      <c r="G51" s="233">
        <f>_xll.qlInterestRateIndexFixingDate(IborIndex,I51)</f>
        <v>43172</v>
      </c>
      <c r="H51" s="195" t="str">
        <f>_xll.qlMakeDatedOIS(,I51,J51,OvernightIndex,0,"Act/360",0)</f>
        <v>obj_0040e#0001</v>
      </c>
      <c r="I51" s="233">
        <f>_xll.qlCalendarAdvance(Calendar,$D$2,F51&amp;"M","mf")</f>
        <v>43174</v>
      </c>
      <c r="J51" s="233">
        <f>_xll.qlInterestRateIndexMaturity(IborIndex,I51)</f>
        <v>43539</v>
      </c>
      <c r="L51" s="232">
        <f>_xll.qlOvernightIndexedSwapFairRate(H51,_xll.ohTrigger($P$2:$P$6))</f>
        <v>5.4723839868702434E-3</v>
      </c>
      <c r="M51" s="209">
        <f>_xll.qlInterpolationInterpolate(BasisInterpolator,I51,,L51)</f>
        <v>5.1935358051660224E-3</v>
      </c>
      <c r="N51" s="232">
        <f t="shared" si="0"/>
        <v>1.0665919792036266E-2</v>
      </c>
      <c r="O51" s="369"/>
    </row>
    <row r="52" spans="1:30" x14ac:dyDescent="0.2">
      <c r="A52" s="234"/>
      <c r="B52" s="235"/>
      <c r="C52" s="236"/>
      <c r="D52" s="231"/>
      <c r="E52" s="209" t="e">
        <v>#N/A</v>
      </c>
      <c r="F52" s="195">
        <v>44</v>
      </c>
      <c r="G52" s="233">
        <f>_xll.qlInterestRateIndexFixingDate(IborIndex,I52)</f>
        <v>43202</v>
      </c>
      <c r="H52" s="195" t="str">
        <f>_xll.qlMakeDatedOIS(,I52,J52,OvernightIndex,0,"Act/360",0)</f>
        <v>obj_00420#0001</v>
      </c>
      <c r="I52" s="233">
        <f>_xll.qlCalendarAdvance(Calendar,$D$2,F52&amp;"M","mf")</f>
        <v>43206</v>
      </c>
      <c r="J52" s="233">
        <f>_xll.qlInterestRateIndexMaturity(IborIndex,I52)</f>
        <v>43571</v>
      </c>
      <c r="L52" s="232">
        <f>_xll.qlOvernightIndexedSwapFairRate(H52,_xll.ohTrigger($P$2:$P$6))</f>
        <v>5.7260755602182327E-3</v>
      </c>
      <c r="M52" s="209">
        <f>_xll.qlInterpolationInterpolate(BasisInterpolator,I52,,L52)</f>
        <v>5.2078310018951243E-3</v>
      </c>
      <c r="N52" s="232">
        <f t="shared" si="0"/>
        <v>1.0933906562113356E-2</v>
      </c>
      <c r="O52" s="369"/>
    </row>
    <row r="53" spans="1:30" x14ac:dyDescent="0.2">
      <c r="A53" s="234"/>
      <c r="B53" s="235"/>
      <c r="C53" s="236"/>
      <c r="D53" s="231"/>
      <c r="E53" s="209" t="e">
        <v>#N/A</v>
      </c>
      <c r="F53" s="195">
        <v>45</v>
      </c>
      <c r="G53" s="233">
        <f>_xll.qlInterestRateIndexFixingDate(IborIndex,I53)</f>
        <v>43231</v>
      </c>
      <c r="H53" s="195" t="str">
        <f>_xll.qlMakeDatedOIS(,I53,J53,OvernightIndex,0,"Act/360",0)</f>
        <v>obj_003fd#0001</v>
      </c>
      <c r="I53" s="233">
        <f>_xll.qlCalendarAdvance(Calendar,$D$2,F53&amp;"M","mf")</f>
        <v>43235</v>
      </c>
      <c r="J53" s="233">
        <f>_xll.qlInterestRateIndexMaturity(IborIndex,I53)</f>
        <v>43600</v>
      </c>
      <c r="L53" s="232">
        <f>_xll.qlOvernightIndexedSwapFairRate(H53,_xll.ohTrigger($P$2:$P$6))</f>
        <v>5.9560396009222276E-3</v>
      </c>
      <c r="M53" s="209">
        <f>_xll.qlInterpolationInterpolate(BasisInterpolator,I53,,L53)</f>
        <v>5.220162546492965E-3</v>
      </c>
      <c r="N53" s="232">
        <f t="shared" si="0"/>
        <v>1.1176202147415193E-2</v>
      </c>
      <c r="O53" s="369"/>
    </row>
    <row r="54" spans="1:30" x14ac:dyDescent="0.2">
      <c r="A54" s="234"/>
      <c r="B54" s="235"/>
      <c r="C54" s="236"/>
      <c r="D54" s="231"/>
      <c r="E54" s="209" t="e">
        <v>#N/A</v>
      </c>
      <c r="F54" s="195">
        <v>46</v>
      </c>
      <c r="G54" s="233">
        <f>_xll.qlInterestRateIndexFixingDate(IborIndex,I54)</f>
        <v>43264</v>
      </c>
      <c r="H54" s="195" t="str">
        <f>_xll.qlMakeDatedOIS(,I54,J54,OvernightIndex,0,"Act/360",0)</f>
        <v>obj_00408#0001</v>
      </c>
      <c r="I54" s="233">
        <f>_xll.qlCalendarAdvance(Calendar,$D$2,F54&amp;"M","mf")</f>
        <v>43266</v>
      </c>
      <c r="J54" s="233">
        <f>_xll.qlInterestRateIndexMaturity(IborIndex,I54)</f>
        <v>43633</v>
      </c>
      <c r="L54" s="232">
        <f>_xll.qlOvernightIndexedSwapFairRate(H54,_xll.ohTrigger($P$2:$P$6))</f>
        <v>6.204665918218874E-3</v>
      </c>
      <c r="M54" s="209">
        <f>_xll.qlInterpolationInterpolate(BasisInterpolator,I54,,L54)</f>
        <v>5.2328537754667255E-3</v>
      </c>
      <c r="N54" s="232">
        <f t="shared" si="0"/>
        <v>1.1437519693685599E-2</v>
      </c>
      <c r="O54" s="369"/>
    </row>
    <row r="55" spans="1:30" x14ac:dyDescent="0.2">
      <c r="A55" s="234"/>
      <c r="B55" s="235"/>
      <c r="C55" s="236"/>
      <c r="D55" s="231"/>
      <c r="E55" s="209" t="e">
        <v>#N/A</v>
      </c>
      <c r="F55" s="195">
        <v>47</v>
      </c>
      <c r="G55" s="233">
        <f>_xll.qlInterestRateIndexFixingDate(IborIndex,I55)</f>
        <v>43293</v>
      </c>
      <c r="H55" s="195" t="str">
        <f>_xll.qlMakeDatedOIS(,I55,J55,OvernightIndex,0,"Act/360",0)</f>
        <v>obj_00401#0001</v>
      </c>
      <c r="I55" s="233">
        <f>_xll.qlCalendarAdvance(Calendar,$D$2,F55&amp;"M","mf")</f>
        <v>43297</v>
      </c>
      <c r="J55" s="233">
        <f>_xll.qlInterestRateIndexMaturity(IborIndex,I55)</f>
        <v>43662</v>
      </c>
      <c r="L55" s="232">
        <f>_xll.qlOvernightIndexedSwapFairRate(H55,_xll.ohTrigger($P$2:$P$6))</f>
        <v>6.4478656908006403E-3</v>
      </c>
      <c r="M55" s="209">
        <f>_xll.qlInterpolationInterpolate(BasisInterpolator,I55,,L55)</f>
        <v>5.2452063035824713E-3</v>
      </c>
      <c r="N55" s="232">
        <f t="shared" si="0"/>
        <v>1.1693071994383112E-2</v>
      </c>
      <c r="O55" s="369"/>
    </row>
    <row r="56" spans="1:30" x14ac:dyDescent="0.2">
      <c r="A56" s="234"/>
      <c r="B56" s="235"/>
      <c r="C56" s="236"/>
      <c r="D56" s="231"/>
      <c r="E56" s="209" t="e">
        <v>#N/A</v>
      </c>
      <c r="F56" s="374">
        <v>48</v>
      </c>
      <c r="G56" s="375">
        <f>_xll.qlInterestRateIndexFixingDate(IborIndex,I56)</f>
        <v>43325</v>
      </c>
      <c r="H56" s="374" t="str">
        <f>_xll.qlMakeDatedOIS(,I56,J56,OvernightIndex,0,"Act/360",0)</f>
        <v>obj_00427#0001</v>
      </c>
      <c r="I56" s="375">
        <f>_xll.qlCalendarAdvance(Calendar,$D$2,F56&amp;"M","mf")</f>
        <v>43327</v>
      </c>
      <c r="J56" s="375">
        <f>_xll.qlInterestRateIndexMaturity(IborIndex,I56)</f>
        <v>43692</v>
      </c>
      <c r="K56" s="374"/>
      <c r="L56" s="376">
        <f>_xll.qlOvernightIndexedSwapFairRate(H56,_xll.ohTrigger($P$2:$P$6))</f>
        <v>6.6859335668242514E-3</v>
      </c>
      <c r="M56" s="377">
        <f>_xll.qlInterpolationInterpolate(BasisInterpolator,I56,,L56)</f>
        <v>5.2570000000000004E-3</v>
      </c>
      <c r="N56" s="376">
        <f t="shared" si="0"/>
        <v>1.1942933566824252E-2</v>
      </c>
      <c r="O56" s="369"/>
    </row>
    <row r="57" spans="1:30" x14ac:dyDescent="0.2">
      <c r="A57" s="234"/>
      <c r="B57" s="235"/>
      <c r="C57" s="236"/>
      <c r="D57" s="231"/>
      <c r="E57" s="209" t="e">
        <v>#N/A</v>
      </c>
    </row>
    <row r="58" spans="1:30" x14ac:dyDescent="0.2">
      <c r="A58" s="234"/>
      <c r="B58" s="235"/>
      <c r="C58" s="236"/>
      <c r="D58" s="231"/>
      <c r="E58" s="209" t="e">
        <v>#N/A</v>
      </c>
    </row>
    <row r="59" spans="1:30" x14ac:dyDescent="0.2">
      <c r="A59" s="234"/>
      <c r="B59" s="235"/>
      <c r="C59" s="236"/>
      <c r="D59" s="231"/>
      <c r="E59" s="209" t="e">
        <v>#N/A</v>
      </c>
    </row>
    <row r="60" spans="1:30" x14ac:dyDescent="0.2">
      <c r="A60" s="234"/>
      <c r="B60" s="235"/>
      <c r="C60" s="236"/>
      <c r="D60" s="231"/>
      <c r="E60" s="209" t="e">
        <v>#N/A</v>
      </c>
    </row>
    <row r="61" spans="1:30" x14ac:dyDescent="0.2">
      <c r="A61" s="234"/>
      <c r="B61" s="235"/>
      <c r="C61" s="236"/>
      <c r="D61" s="231"/>
      <c r="E61" s="209" t="e">
        <v>#N/A</v>
      </c>
    </row>
    <row r="62" spans="1:30" x14ac:dyDescent="0.2">
      <c r="A62" s="234"/>
      <c r="B62" s="235"/>
      <c r="C62" s="236"/>
      <c r="D62" s="231"/>
      <c r="E62" s="209" t="e">
        <v>#N/A</v>
      </c>
    </row>
    <row r="63" spans="1:30" x14ac:dyDescent="0.2">
      <c r="A63" s="234"/>
      <c r="B63" s="235"/>
      <c r="C63" s="236"/>
      <c r="D63" s="231"/>
      <c r="E63" s="209" t="e">
        <v>#N/A</v>
      </c>
    </row>
    <row r="64" spans="1:30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0"/>
  <sheetViews>
    <sheetView workbookViewId="0"/>
  </sheetViews>
  <sheetFormatPr defaultRowHeight="11.25" x14ac:dyDescent="0.2"/>
  <cols>
    <col min="1" max="1" width="2.83203125" style="381" customWidth="1"/>
    <col min="2" max="2" width="28.6640625" style="381" bestFit="1" customWidth="1"/>
    <col min="3" max="3" width="20.83203125" style="381" customWidth="1"/>
    <col min="4" max="5" width="20.83203125" style="381" bestFit="1" customWidth="1"/>
    <col min="6" max="6" width="18.5" style="381" hidden="1" customWidth="1"/>
    <col min="7" max="7" width="10" style="381" bestFit="1" customWidth="1"/>
    <col min="8" max="8" width="14.1640625" style="381" bestFit="1" customWidth="1"/>
    <col min="9" max="9" width="10" style="381" bestFit="1" customWidth="1"/>
    <col min="10" max="10" width="9.33203125" style="381" hidden="1" customWidth="1"/>
    <col min="11" max="11" width="10.5" style="381" bestFit="1" customWidth="1"/>
    <col min="12" max="16384" width="9.33203125" style="381"/>
  </cols>
  <sheetData>
    <row r="1" spans="1:10" ht="12" thickBot="1" x14ac:dyDescent="0.25"/>
    <row r="2" spans="1:10" ht="23.25" customHeight="1" thickBot="1" x14ac:dyDescent="0.25">
      <c r="B2" s="394" t="s">
        <v>147</v>
      </c>
      <c r="C2" s="394" t="s">
        <v>105</v>
      </c>
      <c r="D2" s="395" t="s">
        <v>126</v>
      </c>
      <c r="E2" s="418" t="s">
        <v>127</v>
      </c>
      <c r="F2" s="418"/>
      <c r="G2" s="418" t="s">
        <v>153</v>
      </c>
      <c r="H2" s="396" t="s">
        <v>44</v>
      </c>
      <c r="I2" s="429" t="s">
        <v>148</v>
      </c>
    </row>
    <row r="3" spans="1:10" x14ac:dyDescent="0.2">
      <c r="B3" s="401" t="s">
        <v>154</v>
      </c>
      <c r="C3" s="400">
        <f>RateHelpersFra!G2</f>
        <v>4.79E-3</v>
      </c>
      <c r="D3" s="398">
        <f>RateHelpersFra!K2</f>
        <v>41866</v>
      </c>
      <c r="E3" s="398">
        <f>RateHelpersFra!L2</f>
        <v>42233</v>
      </c>
      <c r="F3" s="398" t="str">
        <f>_xll.qlMakeDatedOIS(,D3,E3,OvernightIndex,0,"Act/360",0)</f>
        <v>obj_00430#0004</v>
      </c>
      <c r="G3" s="420">
        <f>_xll.qlIndexFixing(IborIndex,SynthFra!G2,TRUE,InterestRatesTrigger)</f>
        <v>4.7899999999999176E-3</v>
      </c>
      <c r="H3" s="400">
        <f>SynthFra!L2</f>
        <v>4.0999999999995256E-4</v>
      </c>
      <c r="I3" s="430">
        <f>SynthFra!M2</f>
        <v>4.3800000000000002E-3</v>
      </c>
      <c r="J3" s="424">
        <f>I3-H11</f>
        <v>0</v>
      </c>
    </row>
    <row r="4" spans="1:10" x14ac:dyDescent="0.2">
      <c r="B4" s="401" t="s">
        <v>149</v>
      </c>
      <c r="C4" s="400">
        <f>RateHelpersFra!G3</f>
        <v>5.0099999999999997E-3</v>
      </c>
      <c r="D4" s="398">
        <f>RateHelpersFra!K3</f>
        <v>42233</v>
      </c>
      <c r="E4" s="398">
        <f>RateHelpersFra!L3</f>
        <v>42599</v>
      </c>
      <c r="F4" s="398" t="str">
        <f>_xll.qlMakeDatedOIS(,D4,E4,OvernightIndex,0,"Act/360",0)</f>
        <v>obj_0042f#0004</v>
      </c>
      <c r="G4" s="420">
        <f>_xll.qlIndexFixing(IborIndex,SynthFra!G3,TRUE,InterestRatesTrigger)</f>
        <v>5.010000000000083E-3</v>
      </c>
      <c r="H4" s="400">
        <f>SynthFra!L3</f>
        <v>4.7699328078130553E-4</v>
      </c>
      <c r="I4" s="430">
        <f>SynthFra!M3</f>
        <v>4.5329999999999997E-3</v>
      </c>
      <c r="J4" s="424">
        <f>I4-H23</f>
        <v>0</v>
      </c>
    </row>
    <row r="5" spans="1:10" x14ac:dyDescent="0.2">
      <c r="B5" s="401" t="s">
        <v>150</v>
      </c>
      <c r="C5" s="400">
        <f>RateHelpersFra!G4</f>
        <v>5.4900000000000001E-3</v>
      </c>
      <c r="D5" s="398">
        <f>RateHelpersFra!K4</f>
        <v>41866</v>
      </c>
      <c r="E5" s="398">
        <f>RateHelpersFra!L4</f>
        <v>42962</v>
      </c>
      <c r="F5" s="398" t="str">
        <f>_xll.qlMakeDatedOIS(,D5,E5,OvernightIndex,0,"Act/360",0)</f>
        <v>obj_00431#0004</v>
      </c>
      <c r="G5" s="420">
        <f>_xll.qlIndexFixing(IborIndex,SynthFra!G4,TRUE,InterestRatesTrigger)</f>
        <v>6.4368625471660588E-3</v>
      </c>
      <c r="H5" s="400">
        <f>SynthFra!L4</f>
        <v>1.7028040383574201E-3</v>
      </c>
      <c r="I5" s="430">
        <f>SynthFra!M4</f>
        <v>4.7340000000000004E-3</v>
      </c>
      <c r="J5" s="424">
        <f>I5-H35</f>
        <v>0</v>
      </c>
    </row>
    <row r="6" spans="1:10" x14ac:dyDescent="0.2">
      <c r="B6" s="401" t="s">
        <v>151</v>
      </c>
      <c r="C6" s="400">
        <f>RateHelpersFra!G5</f>
        <v>6.3599999999999993E-3</v>
      </c>
      <c r="D6" s="398">
        <f>RateHelpersFra!K5</f>
        <v>41866</v>
      </c>
      <c r="E6" s="398">
        <f>RateHelpersFra!L5</f>
        <v>43327</v>
      </c>
      <c r="F6" s="398" t="str">
        <f>_xll.qlMakeDatedOIS(,D6,E6,OvernightIndex,0,"Act/360",0)</f>
        <v>obj_00432#0004</v>
      </c>
      <c r="G6" s="420">
        <f>_xll.qlIndexFixing(IborIndex,SynthFra!G5,TRUE,InterestRatesTrigger)</f>
        <v>8.860410676907831E-3</v>
      </c>
      <c r="H6" s="400">
        <f>SynthFra!L5</f>
        <v>3.7933151701378871E-3</v>
      </c>
      <c r="I6" s="430">
        <f>SynthFra!M5</f>
        <v>5.0670000000000003E-3</v>
      </c>
      <c r="J6" s="424">
        <f>I6-H47</f>
        <v>0</v>
      </c>
    </row>
    <row r="7" spans="1:10" ht="12" thickBot="1" x14ac:dyDescent="0.25">
      <c r="B7" s="403" t="s">
        <v>152</v>
      </c>
      <c r="C7" s="428">
        <f>RateHelpersFra!G6</f>
        <v>7.5000000000000006E-3</v>
      </c>
      <c r="D7" s="426">
        <f>RateHelpersFra!K6</f>
        <v>41866</v>
      </c>
      <c r="E7" s="426">
        <f>RateHelpersFra!L6</f>
        <v>43692</v>
      </c>
      <c r="F7" s="426" t="str">
        <f>_xll.qlMakeDatedOIS(,D7,E7,OvernightIndex,0,"Act/360",0)</f>
        <v>obj_00433#0004</v>
      </c>
      <c r="G7" s="427">
        <f>_xll.qlIndexFixing(IborIndex,SynthFra!G6,TRUE,InterestRatesTrigger)</f>
        <v>1.1942811465472851E-2</v>
      </c>
      <c r="H7" s="428">
        <f>SynthFra!L6</f>
        <v>6.6859335668242514E-3</v>
      </c>
      <c r="I7" s="431">
        <f>SynthFra!M6</f>
        <v>5.2570000000000004E-3</v>
      </c>
      <c r="J7" s="424">
        <f>I7-H59</f>
        <v>0</v>
      </c>
    </row>
    <row r="9" spans="1:10" ht="12" thickBot="1" x14ac:dyDescent="0.25"/>
    <row r="10" spans="1:10" ht="23.25" thickBot="1" x14ac:dyDescent="0.25">
      <c r="A10" s="402"/>
      <c r="B10" s="394" t="s">
        <v>147</v>
      </c>
      <c r="C10" s="394" t="s">
        <v>125</v>
      </c>
      <c r="D10" s="395" t="s">
        <v>126</v>
      </c>
      <c r="E10" s="418" t="s">
        <v>127</v>
      </c>
      <c r="F10" s="418"/>
      <c r="G10" s="418" t="s">
        <v>44</v>
      </c>
      <c r="H10" s="396" t="s">
        <v>148</v>
      </c>
      <c r="I10" s="395" t="s">
        <v>141</v>
      </c>
      <c r="J10" s="423"/>
    </row>
    <row r="11" spans="1:10" x14ac:dyDescent="0.2">
      <c r="A11" s="268"/>
      <c r="B11" s="405" t="s">
        <v>154</v>
      </c>
      <c r="C11" s="414">
        <f>_xll.qlInterestRateIndexFixingDate(IborIndex,D11)</f>
        <v>41864</v>
      </c>
      <c r="D11" s="415">
        <f>SynthFra!I2</f>
        <v>41866</v>
      </c>
      <c r="E11" s="415">
        <f>_xll.qlCalendarAdvance(Calendar,D11,"1Y","mf")</f>
        <v>42233</v>
      </c>
      <c r="F11" s="415" t="str">
        <f>_xll.qlMakeDatedOIS(,D11,E11,OvernightIndex,0,"Act/360",0)</f>
        <v>obj_003d3#0001</v>
      </c>
      <c r="G11" s="419">
        <f>_xll.qlOvernightIndexedSwapFairRate(F11,Contribution!$P$25)</f>
        <v>4.0999999999995256E-4</v>
      </c>
      <c r="H11" s="417">
        <f t="array" ref="H11:H59">_xll.qlInterpolationInterpolate(BasisInterpolator,D11:D59,FALSE,_xll.ohTrigger(Trigger,InterestRatesTrigger))</f>
        <v>4.3800000000000002E-3</v>
      </c>
      <c r="I11" s="416">
        <f t="shared" ref="I11:I45" si="0">G11+H11</f>
        <v>4.7899999999999531E-3</v>
      </c>
      <c r="J11" s="424">
        <f>SynthFra!N8-FRACharts!I11</f>
        <v>0</v>
      </c>
    </row>
    <row r="12" spans="1:10" x14ac:dyDescent="0.2">
      <c r="A12" s="268"/>
      <c r="B12" s="401" t="str">
        <f>"Synthetic FRA "&amp;SynthFra!F9&amp;"x"&amp;SynthFra!F9+12</f>
        <v>Synthetic FRA 1x13</v>
      </c>
      <c r="C12" s="397">
        <f>_xll.qlInterestRateIndexFixingDate(IborIndex,D12)</f>
        <v>41893</v>
      </c>
      <c r="D12" s="398">
        <f>SynthFra!I9</f>
        <v>41897</v>
      </c>
      <c r="E12" s="398">
        <f>_xll.qlCalendarAdvance(Calendar,D12,"1Y","mf")</f>
        <v>42262</v>
      </c>
      <c r="F12" s="398" t="str">
        <f>_xll.qlMakeDatedOIS(,D12,E12,OvernightIndex,0,"Act/360",0)</f>
        <v>obj_003db#0001</v>
      </c>
      <c r="G12" s="420">
        <f>_xll.qlOvernightIndexedSwapFairRate(F12,Contribution!$P$25)</f>
        <v>3.7725254915013017E-4</v>
      </c>
      <c r="H12" s="400">
        <v>4.3928135919548634E-3</v>
      </c>
      <c r="I12" s="399">
        <f t="shared" si="0"/>
        <v>4.7700661411049939E-3</v>
      </c>
      <c r="J12" s="424">
        <f>SynthFra!N9-FRACharts!I12</f>
        <v>0</v>
      </c>
    </row>
    <row r="13" spans="1:10" x14ac:dyDescent="0.2">
      <c r="A13" s="268"/>
      <c r="B13" s="401" t="str">
        <f>"Synthetic FRA "&amp;SynthFra!F10&amp;"x"&amp;SynthFra!F10+12</f>
        <v>Synthetic FRA 2x14</v>
      </c>
      <c r="C13" s="397">
        <f>_xll.qlInterestRateIndexFixingDate(IborIndex,D13)</f>
        <v>41925</v>
      </c>
      <c r="D13" s="398">
        <f>SynthFra!I10</f>
        <v>41927</v>
      </c>
      <c r="E13" s="398">
        <f>_xll.qlCalendarAdvance(Calendar,D13,"1Y","mf")</f>
        <v>42292</v>
      </c>
      <c r="F13" s="398" t="str">
        <f>_xll.qlMakeDatedOIS(,D13,E13,OvernightIndex,0,"Act/360",0)</f>
        <v>obj_003f5#0001</v>
      </c>
      <c r="G13" s="420">
        <f>_xll.qlOvernightIndexedSwapFairRate(F13,Contribution!$P$25)</f>
        <v>3.4633848863427238E-4</v>
      </c>
      <c r="H13" s="400">
        <v>4.4052183141791868E-3</v>
      </c>
      <c r="I13" s="399">
        <f t="shared" si="0"/>
        <v>4.7515568028134595E-3</v>
      </c>
      <c r="J13" s="424">
        <f>SynthFra!N10-FRACharts!I13</f>
        <v>0</v>
      </c>
    </row>
    <row r="14" spans="1:10" x14ac:dyDescent="0.2">
      <c r="A14" s="268"/>
      <c r="B14" s="401" t="str">
        <f>"Synthetic FRA "&amp;SynthFra!F11&amp;"x"&amp;SynthFra!F11+12</f>
        <v>Synthetic FRA 3x15</v>
      </c>
      <c r="C14" s="397">
        <f>_xll.qlInterestRateIndexFixingDate(IborIndex,D14)</f>
        <v>41956</v>
      </c>
      <c r="D14" s="398">
        <f>SynthFra!I11</f>
        <v>41960</v>
      </c>
      <c r="E14" s="398">
        <f>_xll.qlCalendarAdvance(Calendar,D14,"1Y","mf")</f>
        <v>42325</v>
      </c>
      <c r="F14" s="398" t="str">
        <f>_xll.qlMakeDatedOIS(,D14,E14,OvernightIndex,0,"Act/360",0)</f>
        <v>obj_003f2#0001</v>
      </c>
      <c r="G14" s="420">
        <f>_xll.qlOvernightIndexedSwapFairRate(F14,Contribution!$P$25)</f>
        <v>3.208152080813293E-4</v>
      </c>
      <c r="H14" s="400">
        <v>4.4188737799164138E-3</v>
      </c>
      <c r="I14" s="399">
        <f t="shared" si="0"/>
        <v>4.7396889879977432E-3</v>
      </c>
      <c r="J14" s="424">
        <f>SynthFra!N11-FRACharts!I14</f>
        <v>0</v>
      </c>
    </row>
    <row r="15" spans="1:10" x14ac:dyDescent="0.2">
      <c r="A15" s="268"/>
      <c r="B15" s="401" t="str">
        <f>"Synthetic FRA "&amp;SynthFra!F12&amp;"x"&amp;SynthFra!F12+12</f>
        <v>Synthetic FRA 4x16</v>
      </c>
      <c r="C15" s="397">
        <f>_xll.qlInterestRateIndexFixingDate(IborIndex,D15)</f>
        <v>41984</v>
      </c>
      <c r="D15" s="398">
        <f>SynthFra!I12</f>
        <v>41988</v>
      </c>
      <c r="E15" s="398">
        <f>_xll.qlCalendarAdvance(Calendar,D15,"1Y","mf")</f>
        <v>42353</v>
      </c>
      <c r="F15" s="398" t="str">
        <f>_xll.qlMakeDatedOIS(,D15,E15,OvernightIndex,0,"Act/360",0)</f>
        <v>obj_003f4#0001</v>
      </c>
      <c r="G15" s="420">
        <f>_xll.qlOvernightIndexedSwapFairRate(F15,Contribution!$P$25)</f>
        <v>3.0782192748149688E-4</v>
      </c>
      <c r="H15" s="400">
        <v>4.4304728025082044E-3</v>
      </c>
      <c r="I15" s="399">
        <f t="shared" si="0"/>
        <v>4.7382947299897012E-3</v>
      </c>
      <c r="J15" s="424">
        <f>SynthFra!N12-FRACharts!I15</f>
        <v>0</v>
      </c>
    </row>
    <row r="16" spans="1:10" x14ac:dyDescent="0.2">
      <c r="A16" s="268"/>
      <c r="B16" s="401" t="str">
        <f>"Synthetic FRA "&amp;SynthFra!F13&amp;"x"&amp;SynthFra!F13+12</f>
        <v>Synthetic FRA 5x17</v>
      </c>
      <c r="C16" s="397">
        <f>_xll.qlInterestRateIndexFixingDate(IborIndex,D16)</f>
        <v>42017</v>
      </c>
      <c r="D16" s="398">
        <f>SynthFra!I13</f>
        <v>42019</v>
      </c>
      <c r="E16" s="398">
        <f>_xll.qlCalendarAdvance(Calendar,D16,"1Y","mf")</f>
        <v>42384</v>
      </c>
      <c r="F16" s="398" t="str">
        <f>_xll.qlMakeDatedOIS(,D16,E16,OvernightIndex,0,"Act/360",0)</f>
        <v>obj_003c6#0001</v>
      </c>
      <c r="G16" s="420">
        <f>_xll.qlOvernightIndexedSwapFairRate(F16,Contribution!$P$25)</f>
        <v>2.9762417637394227E-4</v>
      </c>
      <c r="H16" s="400">
        <v>4.4433325041090353E-3</v>
      </c>
      <c r="I16" s="399">
        <f t="shared" si="0"/>
        <v>4.7409566804829774E-3</v>
      </c>
      <c r="J16" s="424">
        <f>SynthFra!N13-FRACharts!I16</f>
        <v>0</v>
      </c>
    </row>
    <row r="17" spans="1:10" x14ac:dyDescent="0.2">
      <c r="A17" s="268"/>
      <c r="B17" s="401" t="str">
        <f>"Synthetic FRA "&amp;SynthFra!F14&amp;"x"&amp;SynthFra!F14+12</f>
        <v>Synthetic FRA 6x18</v>
      </c>
      <c r="C17" s="397">
        <f>_xll.qlInterestRateIndexFixingDate(IborIndex,D17)</f>
        <v>42047</v>
      </c>
      <c r="D17" s="398">
        <f>SynthFra!I14</f>
        <v>42051</v>
      </c>
      <c r="E17" s="398">
        <f>_xll.qlCalendarAdvance(Calendar,D17,"1Y","mf")</f>
        <v>42416</v>
      </c>
      <c r="F17" s="398" t="str">
        <f>_xll.qlMakeDatedOIS(,D17,E17,OvernightIndex,0,"Act/360",0)</f>
        <v>obj_003cf#0001</v>
      </c>
      <c r="G17" s="420">
        <f>_xll.qlOvernightIndexedSwapFairRate(F17,Contribution!$P$25)</f>
        <v>2.7882423530242462E-4</v>
      </c>
      <c r="H17" s="400">
        <v>4.4566316671488864E-3</v>
      </c>
      <c r="I17" s="399">
        <f t="shared" si="0"/>
        <v>4.7354559024513111E-3</v>
      </c>
      <c r="J17" s="424">
        <f>SynthFra!N14-FRACharts!I17</f>
        <v>0</v>
      </c>
    </row>
    <row r="18" spans="1:10" x14ac:dyDescent="0.2">
      <c r="A18" s="268"/>
      <c r="B18" s="401" t="str">
        <f>"Synthetic FRA "&amp;SynthFra!F15&amp;"x"&amp;SynthFra!F15+12</f>
        <v>Synthetic FRA 7x19</v>
      </c>
      <c r="C18" s="397">
        <f>_xll.qlInterestRateIndexFixingDate(IborIndex,D18)</f>
        <v>42075</v>
      </c>
      <c r="D18" s="398">
        <f>SynthFra!I15</f>
        <v>42079</v>
      </c>
      <c r="E18" s="398">
        <f>_xll.qlCalendarAdvance(Calendar,D18,"1Y","mf")</f>
        <v>42445</v>
      </c>
      <c r="F18" s="398" t="str">
        <f>_xll.qlMakeDatedOIS(,D18,E18,OvernightIndex,0,"Act/360",0)</f>
        <v>obj_003cb#0001</v>
      </c>
      <c r="G18" s="420">
        <f>_xll.qlOvernightIndexedSwapFairRate(F18,Contribution!$P$25)</f>
        <v>2.7766898181129758E-4</v>
      </c>
      <c r="H18" s="400">
        <v>4.468293022540047E-3</v>
      </c>
      <c r="I18" s="399">
        <f t="shared" si="0"/>
        <v>4.7459620043513442E-3</v>
      </c>
      <c r="J18" s="424">
        <f>SynthFra!N15-FRACharts!I18</f>
        <v>0</v>
      </c>
    </row>
    <row r="19" spans="1:10" x14ac:dyDescent="0.2">
      <c r="A19" s="268"/>
      <c r="B19" s="401" t="str">
        <f>"Synthetic FRA "&amp;SynthFra!F16&amp;"x"&amp;SynthFra!F16+12</f>
        <v>Synthetic FRA 8x20</v>
      </c>
      <c r="C19" s="397">
        <f>_xll.qlInterestRateIndexFixingDate(IborIndex,D19)</f>
        <v>42107</v>
      </c>
      <c r="D19" s="398">
        <f>SynthFra!I16</f>
        <v>42109</v>
      </c>
      <c r="E19" s="398">
        <f>_xll.qlCalendarAdvance(Calendar,D19,"1Y","mf")</f>
        <v>42475</v>
      </c>
      <c r="F19" s="398" t="str">
        <f>_xll.qlMakeDatedOIS(,D19,E19,OvernightIndex,0,"Act/360",0)</f>
        <v>obj_003d1#0001</v>
      </c>
      <c r="G19" s="420">
        <f>_xll.qlOvernightIndexedSwapFairRate(F19,Contribution!$P$25)</f>
        <v>2.9577953596644394E-4</v>
      </c>
      <c r="H19" s="400">
        <v>4.4808169573308703E-3</v>
      </c>
      <c r="I19" s="399">
        <f t="shared" si="0"/>
        <v>4.7765964932973146E-3</v>
      </c>
      <c r="J19" s="424">
        <f>SynthFra!N16-FRACharts!I19</f>
        <v>0</v>
      </c>
    </row>
    <row r="20" spans="1:10" x14ac:dyDescent="0.2">
      <c r="A20" s="268"/>
      <c r="B20" s="401" t="str">
        <f>"Synthetic FRA "&amp;SynthFra!F17&amp;"x"&amp;SynthFra!F17+12</f>
        <v>Synthetic FRA 9x21</v>
      </c>
      <c r="C20" s="397">
        <f>_xll.qlInterestRateIndexFixingDate(IborIndex,D20)</f>
        <v>42137</v>
      </c>
      <c r="D20" s="398">
        <f>SynthFra!I17</f>
        <v>42139</v>
      </c>
      <c r="E20" s="398">
        <f>_xll.qlCalendarAdvance(Calendar,D20,"1Y","mf")</f>
        <v>42506</v>
      </c>
      <c r="F20" s="398" t="str">
        <f>_xll.qlMakeDatedOIS(,D20,E20,OvernightIndex,0,"Act/360",0)</f>
        <v>obj_003c7#0001</v>
      </c>
      <c r="G20" s="420">
        <f>_xll.qlOvernightIndexedSwapFairRate(F20,Contribution!$P$25)</f>
        <v>3.2304157262864208E-4</v>
      </c>
      <c r="H20" s="400">
        <v>4.4933757465217021E-3</v>
      </c>
      <c r="I20" s="399">
        <f t="shared" si="0"/>
        <v>4.8164173191503441E-3</v>
      </c>
      <c r="J20" s="424">
        <f>SynthFra!N17-FRACharts!I20</f>
        <v>0</v>
      </c>
    </row>
    <row r="21" spans="1:10" x14ac:dyDescent="0.2">
      <c r="A21" s="268"/>
      <c r="B21" s="401" t="str">
        <f>"Synthetic FRA "&amp;SynthFra!F18&amp;"x"&amp;SynthFra!F18+12</f>
        <v>Synthetic FRA 10x22</v>
      </c>
      <c r="C21" s="397">
        <f>_xll.qlInterestRateIndexFixingDate(IborIndex,D21)</f>
        <v>42166</v>
      </c>
      <c r="D21" s="398">
        <f>SynthFra!I18</f>
        <v>42170</v>
      </c>
      <c r="E21" s="398">
        <f>_xll.qlCalendarAdvance(Calendar,D21,"1Y","mf")</f>
        <v>42536</v>
      </c>
      <c r="F21" s="398" t="str">
        <f>_xll.qlMakeDatedOIS(,D21,E21,OvernightIndex,0,"Act/360",0)</f>
        <v>obj_003ee#0001</v>
      </c>
      <c r="G21" s="420">
        <f>_xll.qlOvernightIndexedSwapFairRate(F21,Contribution!$P$25)</f>
        <v>3.7308114911154374E-4</v>
      </c>
      <c r="H21" s="400">
        <v>4.5063943492843562E-3</v>
      </c>
      <c r="I21" s="399">
        <f t="shared" si="0"/>
        <v>4.8794754983958995E-3</v>
      </c>
      <c r="J21" s="424">
        <f>SynthFra!N18-FRACharts!I21</f>
        <v>0</v>
      </c>
    </row>
    <row r="22" spans="1:10" x14ac:dyDescent="0.2">
      <c r="A22" s="268"/>
      <c r="B22" s="401" t="str">
        <f>"Synthetic FRA "&amp;SynthFra!F19&amp;"x"&amp;SynthFra!F19+12</f>
        <v>Synthetic FRA 11x23</v>
      </c>
      <c r="C22" s="397">
        <f>_xll.qlInterestRateIndexFixingDate(IborIndex,D22)</f>
        <v>42198</v>
      </c>
      <c r="D22" s="398">
        <f>SynthFra!I19</f>
        <v>42200</v>
      </c>
      <c r="E22" s="398">
        <f>_xll.qlCalendarAdvance(Calendar,D22,"1Y","mf")</f>
        <v>42566</v>
      </c>
      <c r="F22" s="398" t="str">
        <f>_xll.qlMakeDatedOIS(,D22,E22,OvernightIndex,0,"Act/360",0)</f>
        <v>obj_003e2#0001</v>
      </c>
      <c r="G22" s="420">
        <f>_xll.qlOvernightIndexedSwapFairRate(F22,Contribution!$P$25)</f>
        <v>4.1934454325708503E-4</v>
      </c>
      <c r="H22" s="400">
        <v>4.5190372791005006E-3</v>
      </c>
      <c r="I22" s="399">
        <f t="shared" si="0"/>
        <v>4.9383818223575852E-3</v>
      </c>
      <c r="J22" s="424">
        <f>SynthFra!N19-FRACharts!I22</f>
        <v>0</v>
      </c>
    </row>
    <row r="23" spans="1:10" x14ac:dyDescent="0.2">
      <c r="A23" s="268"/>
      <c r="B23" s="405" t="str">
        <f>"FRA "&amp;SynthFra!F20&amp;"x"&amp;SynthFra!F20+12</f>
        <v>FRA 12x24</v>
      </c>
      <c r="C23" s="410">
        <f>_xll.qlInterestRateIndexFixingDate(IborIndex,D23)</f>
        <v>42229</v>
      </c>
      <c r="D23" s="411">
        <f>SynthFra!I3</f>
        <v>42233</v>
      </c>
      <c r="E23" s="411">
        <f>_xll.qlCalendarAdvance(Calendar,D23,"1Y","mf")</f>
        <v>42599</v>
      </c>
      <c r="F23" s="411" t="str">
        <f>_xll.qlMakeDatedOIS(,D23,E23,OvernightIndex,0,"Act/360",0)</f>
        <v>obj_003c9#0001</v>
      </c>
      <c r="G23" s="421">
        <f>_xll.qlOvernightIndexedSwapFairRate(F23,Contribution!$P$25)</f>
        <v>4.7699328078130553E-4</v>
      </c>
      <c r="H23" s="413">
        <v>4.5329999999999997E-3</v>
      </c>
      <c r="I23" s="412">
        <f t="shared" si="0"/>
        <v>5.0099932807813052E-3</v>
      </c>
      <c r="J23" s="424">
        <f>SynthFra!N20-FRACharts!I23</f>
        <v>0</v>
      </c>
    </row>
    <row r="24" spans="1:10" x14ac:dyDescent="0.2">
      <c r="A24" s="268"/>
      <c r="B24" s="401" t="str">
        <f>"Synthetic FRA "&amp;SynthFra!F21&amp;"x"&amp;SynthFra!F21+12</f>
        <v>Synthetic FRA 13x25</v>
      </c>
      <c r="C24" s="397">
        <f>_xll.qlInterestRateIndexFixingDate(IborIndex,D24)</f>
        <v>42258</v>
      </c>
      <c r="D24" s="398">
        <f>SynthFra!I21</f>
        <v>42262</v>
      </c>
      <c r="E24" s="398">
        <f>_xll.qlCalendarAdvance(Calendar,D24,"1Y","mf")</f>
        <v>42628</v>
      </c>
      <c r="F24" s="398" t="str">
        <f>_xll.qlMakeDatedOIS(,D24,E24,OvernightIndex,0,"Act/360",0)</f>
        <v>obj_003d0#0001</v>
      </c>
      <c r="G24" s="420">
        <f>_xll.qlOvernightIndexedSwapFairRate(F24,Contribution!$P$25)</f>
        <v>5.9931937115862463E-4</v>
      </c>
      <c r="H24" s="400">
        <v>4.5453436420781227E-3</v>
      </c>
      <c r="I24" s="399">
        <f t="shared" si="0"/>
        <v>5.1446630132367475E-3</v>
      </c>
      <c r="J24" s="424">
        <f>SynthFra!N21-FRACharts!I24</f>
        <v>0</v>
      </c>
    </row>
    <row r="25" spans="1:10" x14ac:dyDescent="0.2">
      <c r="A25" s="268"/>
      <c r="B25" s="401" t="str">
        <f>"Synthetic FRA "&amp;SynthFra!F22&amp;"x"&amp;SynthFra!F22+12</f>
        <v>Synthetic FRA 14x26</v>
      </c>
      <c r="C25" s="397">
        <f>_xll.qlInterestRateIndexFixingDate(IborIndex,D25)</f>
        <v>42290</v>
      </c>
      <c r="D25" s="398">
        <f>SynthFra!I22</f>
        <v>42292</v>
      </c>
      <c r="E25" s="398">
        <f>_xll.qlCalendarAdvance(Calendar,D25,"1Y","mf")</f>
        <v>42660</v>
      </c>
      <c r="F25" s="398" t="str">
        <f>_xll.qlMakeDatedOIS(,D25,E25,OvernightIndex,0,"Act/360",0)</f>
        <v>obj_003f1#0001</v>
      </c>
      <c r="G25" s="420">
        <f>_xll.qlOvernightIndexedSwapFairRate(F25,Contribution!$P$25)</f>
        <v>7.311878636872863E-4</v>
      </c>
      <c r="H25" s="400">
        <v>4.5583028253680302E-3</v>
      </c>
      <c r="I25" s="399">
        <f t="shared" si="0"/>
        <v>5.2894906890553163E-3</v>
      </c>
      <c r="J25" s="424">
        <f>SynthFra!N22-FRACharts!I25</f>
        <v>0</v>
      </c>
    </row>
    <row r="26" spans="1:10" x14ac:dyDescent="0.2">
      <c r="A26" s="268"/>
      <c r="B26" s="401" t="str">
        <f>"Synthetic FRA "&amp;SynthFra!F23&amp;"x"&amp;SynthFra!F23+12</f>
        <v>Synthetic FRA 15x27</v>
      </c>
      <c r="C26" s="397">
        <f>_xll.qlInterestRateIndexFixingDate(IborIndex,D26)</f>
        <v>42320</v>
      </c>
      <c r="D26" s="398">
        <f>SynthFra!I23</f>
        <v>42324</v>
      </c>
      <c r="E26" s="398">
        <f>_xll.qlCalendarAdvance(Calendar,D26,"1Y","mf")</f>
        <v>42690</v>
      </c>
      <c r="F26" s="398" t="str">
        <f>_xll.qlMakeDatedOIS(,D26,E26,OvernightIndex,0,"Act/360",0)</f>
        <v>obj_003ef#0001</v>
      </c>
      <c r="G26" s="420">
        <f>_xll.qlOvernightIndexedSwapFairRate(F26,Contribution!$P$25)</f>
        <v>8.608951235736012E-4</v>
      </c>
      <c r="H26" s="400">
        <v>4.5724989272459765E-3</v>
      </c>
      <c r="I26" s="399">
        <f t="shared" si="0"/>
        <v>5.433394050819578E-3</v>
      </c>
      <c r="J26" s="424">
        <f>SynthFra!N23-FRACharts!I26</f>
        <v>0</v>
      </c>
    </row>
    <row r="27" spans="1:10" x14ac:dyDescent="0.2">
      <c r="A27" s="268"/>
      <c r="B27" s="401" t="str">
        <f>"Synthetic FRA "&amp;SynthFra!F24&amp;"x"&amp;SynthFra!F24+12</f>
        <v>Synthetic FRA 16x28</v>
      </c>
      <c r="C27" s="397">
        <f>_xll.qlInterestRateIndexFixingDate(IborIndex,D27)</f>
        <v>42349</v>
      </c>
      <c r="D27" s="398">
        <f>SynthFra!I24</f>
        <v>42353</v>
      </c>
      <c r="E27" s="398">
        <f>_xll.qlCalendarAdvance(Calendar,D27,"1Y","mf")</f>
        <v>42719</v>
      </c>
      <c r="F27" s="398" t="str">
        <f>_xll.qlMakeDatedOIS(,D27,E27,OvernightIndex,0,"Act/360",0)</f>
        <v>obj_003e1#0001</v>
      </c>
      <c r="G27" s="420">
        <f>_xll.qlOvernightIndexedSwapFairRate(F27,Contribution!$P$25)</f>
        <v>9.6727849626610874E-4</v>
      </c>
      <c r="H27" s="400">
        <v>4.5858394636596146E-3</v>
      </c>
      <c r="I27" s="399">
        <f t="shared" si="0"/>
        <v>5.5531179599257238E-3</v>
      </c>
      <c r="J27" s="424">
        <f>SynthFra!N24-FRACharts!I27</f>
        <v>0</v>
      </c>
    </row>
    <row r="28" spans="1:10" x14ac:dyDescent="0.2">
      <c r="A28" s="268"/>
      <c r="B28" s="401" t="str">
        <f>"Synthetic FRA "&amp;SynthFra!F25&amp;"x"&amp;SynthFra!F25+12</f>
        <v>Synthetic FRA 17x29</v>
      </c>
      <c r="C28" s="397">
        <f>_xll.qlInterestRateIndexFixingDate(IborIndex,D28)</f>
        <v>42382</v>
      </c>
      <c r="D28" s="398">
        <f>SynthFra!I25</f>
        <v>42384</v>
      </c>
      <c r="E28" s="398">
        <f>_xll.qlCalendarAdvance(Calendar,D28,"1Y","mf")</f>
        <v>42751</v>
      </c>
      <c r="F28" s="398" t="str">
        <f>_xll.qlMakeDatedOIS(,D28,E28,OvernightIndex,0,"Act/360",0)</f>
        <v>obj_003d7#0001</v>
      </c>
      <c r="G28" s="420">
        <f>_xll.qlOvernightIndexedSwapFairRate(F28,Contribution!$P$25)</f>
        <v>1.082706729081542E-3</v>
      </c>
      <c r="H28" s="400">
        <v>4.6007515648048185E-3</v>
      </c>
      <c r="I28" s="399">
        <f t="shared" si="0"/>
        <v>5.6834582938863603E-3</v>
      </c>
      <c r="J28" s="424">
        <f>SynthFra!N25-FRACharts!I28</f>
        <v>0</v>
      </c>
    </row>
    <row r="29" spans="1:10" x14ac:dyDescent="0.2">
      <c r="A29" s="268"/>
      <c r="B29" s="401" t="str">
        <f>"Synthetic FRA "&amp;SynthFra!F26&amp;"x"&amp;SynthFra!F26+12</f>
        <v>Synthetic FRA 18x30</v>
      </c>
      <c r="C29" s="397">
        <f>_xll.qlInterestRateIndexFixingDate(IborIndex,D29)</f>
        <v>42411</v>
      </c>
      <c r="D29" s="398">
        <f>SynthFra!I26</f>
        <v>42415</v>
      </c>
      <c r="E29" s="398">
        <f>_xll.qlCalendarAdvance(Calendar,D29,"1Y","mf")</f>
        <v>42781</v>
      </c>
      <c r="F29" s="398" t="str">
        <f>_xll.qlMakeDatedOIS(,D29,E29,OvernightIndex,0,"Act/360",0)</f>
        <v>obj_003f3#0001</v>
      </c>
      <c r="G29" s="420">
        <f>_xll.qlOvernightIndexedSwapFairRate(F29,Contribution!$P$25)</f>
        <v>1.194757373318368E-3</v>
      </c>
      <c r="H29" s="400">
        <v>4.6164920228676945E-3</v>
      </c>
      <c r="I29" s="399">
        <f t="shared" si="0"/>
        <v>5.8112493961860624E-3</v>
      </c>
      <c r="J29" s="424">
        <f>SynthFra!N26-FRACharts!I29</f>
        <v>0</v>
      </c>
    </row>
    <row r="30" spans="1:10" x14ac:dyDescent="0.2">
      <c r="A30" s="268"/>
      <c r="B30" s="401" t="str">
        <f>"Synthetic FRA "&amp;SynthFra!F27&amp;"x"&amp;SynthFra!F27+12</f>
        <v>Synthetic FRA 19x31</v>
      </c>
      <c r="C30" s="397">
        <f>_xll.qlInterestRateIndexFixingDate(IborIndex,D30)</f>
        <v>42440</v>
      </c>
      <c r="D30" s="398">
        <f>SynthFra!I27</f>
        <v>42444</v>
      </c>
      <c r="E30" s="398">
        <f>_xll.qlCalendarAdvance(Calendar,D30,"1Y","mf")</f>
        <v>42809</v>
      </c>
      <c r="F30" s="398" t="str">
        <f>_xll.qlMakeDatedOIS(,D30,E30,OvernightIndex,0,"Act/360",0)</f>
        <v>obj_003ec#0001</v>
      </c>
      <c r="G30" s="420">
        <f>_xll.qlOvernightIndexedSwapFairRate(F30,Contribution!$P$25)</f>
        <v>1.2832938626054175E-3</v>
      </c>
      <c r="H30" s="400">
        <v>4.6321073084028032E-3</v>
      </c>
      <c r="I30" s="399">
        <f t="shared" si="0"/>
        <v>5.9154011710082204E-3</v>
      </c>
      <c r="J30" s="424">
        <f>SynthFra!N27-FRACharts!I30</f>
        <v>0</v>
      </c>
    </row>
    <row r="31" spans="1:10" x14ac:dyDescent="0.2">
      <c r="A31" s="268"/>
      <c r="B31" s="401" t="str">
        <f>"Synthetic FRA "&amp;SynthFra!F28&amp;"x"&amp;SynthFra!F28+12</f>
        <v>Synthetic FRA 20x32</v>
      </c>
      <c r="C31" s="397">
        <f>_xll.qlInterestRateIndexFixingDate(IborIndex,D31)</f>
        <v>42473</v>
      </c>
      <c r="D31" s="398">
        <f>SynthFra!I28</f>
        <v>42475</v>
      </c>
      <c r="E31" s="398">
        <f>_xll.qlCalendarAdvance(Calendar,D31,"1Y","mf")</f>
        <v>42843</v>
      </c>
      <c r="F31" s="398" t="str">
        <f>_xll.qlMakeDatedOIS(,D31,E31,OvernightIndex,0,"Act/360",0)</f>
        <v>obj_003f0#0001</v>
      </c>
      <c r="G31" s="420">
        <f>_xll.qlOvernightIndexedSwapFairRate(F31,Contribution!$P$25)</f>
        <v>1.3820787038783798E-3</v>
      </c>
      <c r="H31" s="400">
        <v>4.6499013618870018E-3</v>
      </c>
      <c r="I31" s="399">
        <f t="shared" si="0"/>
        <v>6.031980065765382E-3</v>
      </c>
      <c r="J31" s="424">
        <f>SynthFra!N28-FRACharts!I31</f>
        <v>0</v>
      </c>
    </row>
    <row r="32" spans="1:10" x14ac:dyDescent="0.2">
      <c r="A32" s="268"/>
      <c r="B32" s="401" t="str">
        <f>"Synthetic FRA "&amp;SynthFra!F29&amp;"x"&amp;SynthFra!F29+12</f>
        <v>Synthetic FRA 21x33</v>
      </c>
      <c r="C32" s="397">
        <f>_xll.qlInterestRateIndexFixingDate(IborIndex,D32)</f>
        <v>42502</v>
      </c>
      <c r="D32" s="398">
        <f>SynthFra!I29</f>
        <v>42506</v>
      </c>
      <c r="E32" s="398">
        <f>_xll.qlCalendarAdvance(Calendar,D32,"1Y","mf")</f>
        <v>42871</v>
      </c>
      <c r="F32" s="398" t="str">
        <f>_xll.qlMakeDatedOIS(,D32,E32,OvernightIndex,0,"Act/360",0)</f>
        <v>obj_003ed#0001</v>
      </c>
      <c r="G32" s="420">
        <f>_xll.qlOvernightIndexedSwapFairRate(F32,Contribution!$P$25)</f>
        <v>1.4755855290267434E-3</v>
      </c>
      <c r="H32" s="400">
        <v>4.6689891070555651E-3</v>
      </c>
      <c r="I32" s="399">
        <f t="shared" si="0"/>
        <v>6.1445746360823082E-3</v>
      </c>
      <c r="J32" s="424">
        <f>SynthFra!N29-FRACharts!I32</f>
        <v>0</v>
      </c>
    </row>
    <row r="33" spans="1:10" x14ac:dyDescent="0.2">
      <c r="A33" s="268"/>
      <c r="B33" s="401" t="str">
        <f>"Synthetic FRA "&amp;SynthFra!F30&amp;"x"&amp;SynthFra!F30+12</f>
        <v>Synthetic FRA 22x34</v>
      </c>
      <c r="C33" s="397">
        <f>_xll.qlInterestRateIndexFixingDate(IborIndex,D33)</f>
        <v>42534</v>
      </c>
      <c r="D33" s="398">
        <f>SynthFra!I30</f>
        <v>42536</v>
      </c>
      <c r="E33" s="398">
        <f>_xll.qlCalendarAdvance(Calendar,D33,"1Y","mf")</f>
        <v>42901</v>
      </c>
      <c r="F33" s="398" t="str">
        <f>_xll.qlMakeDatedOIS(,D33,E33,OvernightIndex,0,"Act/360",0)</f>
        <v>obj_003e3#0001</v>
      </c>
      <c r="G33" s="420">
        <f>_xll.qlOvernightIndexedSwapFairRate(F33,Contribution!$P$25)</f>
        <v>1.5504869554470596E-3</v>
      </c>
      <c r="H33" s="400">
        <v>4.6888421951308008E-3</v>
      </c>
      <c r="I33" s="399">
        <f t="shared" si="0"/>
        <v>6.2393291505778601E-3</v>
      </c>
      <c r="J33" s="424">
        <f>SynthFra!N30-FRACharts!I33</f>
        <v>0</v>
      </c>
    </row>
    <row r="34" spans="1:10" x14ac:dyDescent="0.2">
      <c r="A34" s="268"/>
      <c r="B34" s="401" t="str">
        <f>"Synthetic FRA "&amp;SynthFra!F31&amp;"x"&amp;SynthFra!F31+12</f>
        <v>Synthetic FRA 23x35</v>
      </c>
      <c r="C34" s="397">
        <f>_xll.qlInterestRateIndexFixingDate(IborIndex,D34)</f>
        <v>42564</v>
      </c>
      <c r="D34" s="398">
        <f>SynthFra!I31</f>
        <v>42566</v>
      </c>
      <c r="E34" s="398">
        <f>_xll.qlCalendarAdvance(Calendar,D34,"1Y","mf")</f>
        <v>42933</v>
      </c>
      <c r="F34" s="398" t="str">
        <f>_xll.qlMakeDatedOIS(,D34,E34,OvernightIndex,0,"Act/360",0)</f>
        <v>obj_003da#0001</v>
      </c>
      <c r="G34" s="420">
        <f>_xll.qlOvernightIndexedSwapFairRate(F34,Contribution!$P$25)</f>
        <v>1.6258232362401585E-3</v>
      </c>
      <c r="H34" s="400">
        <v>4.7101989850235216E-3</v>
      </c>
      <c r="I34" s="399">
        <f t="shared" si="0"/>
        <v>6.3360222212636803E-3</v>
      </c>
      <c r="J34" s="424">
        <f>SynthFra!N31-FRACharts!I34</f>
        <v>0</v>
      </c>
    </row>
    <row r="35" spans="1:10" x14ac:dyDescent="0.2">
      <c r="A35" s="268"/>
      <c r="B35" s="405" t="str">
        <f>"Swap/Impl FRA "&amp;SynthFra!F32&amp;"x"&amp;SynthFra!F32+12</f>
        <v>Swap/Impl FRA 24x36</v>
      </c>
      <c r="C35" s="410">
        <f>_xll.qlInterestRateIndexFixingDate(IborIndex,D35)</f>
        <v>42593</v>
      </c>
      <c r="D35" s="411">
        <f>SynthFra!I4</f>
        <v>42597</v>
      </c>
      <c r="E35" s="411">
        <f>_xll.qlCalendarAdvance(Calendar,D35,"1Y","mf")</f>
        <v>42962</v>
      </c>
      <c r="F35" s="411" t="str">
        <f>_xll.qlMakeDatedOIS(,D35,E35,OvernightIndex,0,"Act/360",0)</f>
        <v>obj_003e6#0001</v>
      </c>
      <c r="G35" s="421">
        <f>_xll.qlOvernightIndexedSwapFairRate(F35,Contribution!$P$25)</f>
        <v>1.7028040383574201E-3</v>
      </c>
      <c r="H35" s="413">
        <v>4.7340000000000004E-3</v>
      </c>
      <c r="I35" s="412">
        <f t="shared" si="0"/>
        <v>6.4368040383574205E-3</v>
      </c>
      <c r="J35" s="424">
        <f>SynthFra!N32-FRACharts!I35</f>
        <v>0</v>
      </c>
    </row>
    <row r="36" spans="1:10" x14ac:dyDescent="0.2">
      <c r="A36" s="268"/>
      <c r="B36" s="401" t="str">
        <f>"Synthetic FRA "&amp;SynthFra!F33&amp;"x"&amp;SynthFra!F33+12</f>
        <v>Synthetic FRA 25x37</v>
      </c>
      <c r="C36" s="397">
        <f>_xll.qlInterestRateIndexFixingDate(IborIndex,D36)</f>
        <v>42626</v>
      </c>
      <c r="D36" s="398">
        <f>SynthFra!I33</f>
        <v>42628</v>
      </c>
      <c r="E36" s="398">
        <f>_xll.qlCalendarAdvance(Calendar,D36,"1Y","mf")</f>
        <v>42993</v>
      </c>
      <c r="F36" s="398" t="str">
        <f>_xll.qlMakeDatedOIS(,D36,E36,OvernightIndex,0,"Act/360",0)</f>
        <v>obj_003de#0001</v>
      </c>
      <c r="G36" s="420">
        <f>_xll.qlOvernightIndexedSwapFairRate(F36,Contribution!$P$25)</f>
        <v>1.8801826454155563E-3</v>
      </c>
      <c r="H36" s="400">
        <v>4.7596363108183748E-3</v>
      </c>
      <c r="I36" s="399">
        <f t="shared" si="0"/>
        <v>6.639818956233931E-3</v>
      </c>
      <c r="J36" s="424">
        <f>SynthFra!N33-FRACharts!I36</f>
        <v>0</v>
      </c>
    </row>
    <row r="37" spans="1:10" x14ac:dyDescent="0.2">
      <c r="A37" s="268"/>
      <c r="B37" s="401" t="str">
        <f>"Synthetic FRA "&amp;SynthFra!F34&amp;"x"&amp;SynthFra!F34+12</f>
        <v>Synthetic FRA 26x38</v>
      </c>
      <c r="C37" s="397">
        <f>_xll.qlInterestRateIndexFixingDate(IborIndex,D37)</f>
        <v>42656</v>
      </c>
      <c r="D37" s="398">
        <f>SynthFra!I34</f>
        <v>42660</v>
      </c>
      <c r="E37" s="398">
        <f>_xll.qlCalendarAdvance(Calendar,D37,"1Y","mf")</f>
        <v>43025</v>
      </c>
      <c r="F37" s="398" t="str">
        <f>_xll.qlMakeDatedOIS(,D37,E37,OvernightIndex,0,"Act/360",0)</f>
        <v>obj_003eb#0001</v>
      </c>
      <c r="G37" s="420">
        <f>_xll.qlOvernightIndexedSwapFairRate(F37,Contribution!$P$25)</f>
        <v>2.0633165457324288E-3</v>
      </c>
      <c r="H37" s="400">
        <v>4.7877557803769136E-3</v>
      </c>
      <c r="I37" s="399">
        <f t="shared" si="0"/>
        <v>6.8510723261093424E-3</v>
      </c>
      <c r="J37" s="424">
        <f>SynthFra!N34-FRACharts!I37</f>
        <v>0</v>
      </c>
    </row>
    <row r="38" spans="1:10" x14ac:dyDescent="0.2">
      <c r="A38" s="268"/>
      <c r="B38" s="401" t="str">
        <f>"Synthetic FRA "&amp;SynthFra!F35&amp;"x"&amp;SynthFra!F35+12</f>
        <v>Synthetic FRA 27x39</v>
      </c>
      <c r="C38" s="397">
        <f>_xll.qlInterestRateIndexFixingDate(IborIndex,D38)</f>
        <v>42685</v>
      </c>
      <c r="D38" s="398">
        <f>SynthFra!I35</f>
        <v>42689</v>
      </c>
      <c r="E38" s="398">
        <f>_xll.qlCalendarAdvance(Calendar,D38,"1Y","mf")</f>
        <v>43054</v>
      </c>
      <c r="F38" s="398" t="str">
        <f>_xll.qlMakeDatedOIS(,D38,E38,OvernightIndex,0,"Act/360",0)</f>
        <v>obj_003dc#0001</v>
      </c>
      <c r="G38" s="420">
        <f>_xll.qlOvernightIndexedSwapFairRate(F38,Contribution!$P$25)</f>
        <v>2.2293109583140362E-3</v>
      </c>
      <c r="H38" s="400">
        <v>4.8143873105352397E-3</v>
      </c>
      <c r="I38" s="399">
        <f t="shared" si="0"/>
        <v>7.0436982688492755E-3</v>
      </c>
      <c r="J38" s="424">
        <f>SynthFra!N35-FRACharts!I38</f>
        <v>0</v>
      </c>
    </row>
    <row r="39" spans="1:10" x14ac:dyDescent="0.2">
      <c r="A39" s="268"/>
      <c r="B39" s="401" t="str">
        <f>"Synthetic FRA "&amp;SynthFra!F36&amp;"x"&amp;SynthFra!F36+12</f>
        <v>Synthetic FRA 28x40</v>
      </c>
      <c r="C39" s="397">
        <f>_xll.qlInterestRateIndexFixingDate(IborIndex,D39)</f>
        <v>42717</v>
      </c>
      <c r="D39" s="398">
        <f>SynthFra!I36</f>
        <v>42719</v>
      </c>
      <c r="E39" s="398">
        <f>_xll.qlCalendarAdvance(Calendar,D39,"1Y","mf")</f>
        <v>43084</v>
      </c>
      <c r="F39" s="398" t="str">
        <f>_xll.qlMakeDatedOIS(,D39,E39,OvernightIndex,0,"Act/360",0)</f>
        <v>obj_003f7#0001</v>
      </c>
      <c r="G39" s="420">
        <f>_xll.qlOvernightIndexedSwapFairRate(F39,Contribution!$P$25)</f>
        <v>2.401058653301306E-3</v>
      </c>
      <c r="H39" s="400">
        <v>4.8427842189510953E-3</v>
      </c>
      <c r="I39" s="399">
        <f t="shared" si="0"/>
        <v>7.2438428722524009E-3</v>
      </c>
      <c r="J39" s="424">
        <f>SynthFra!N36-FRACharts!I39</f>
        <v>0</v>
      </c>
    </row>
    <row r="40" spans="1:10" x14ac:dyDescent="0.2">
      <c r="A40" s="268"/>
      <c r="B40" s="401" t="str">
        <f>"Synthetic FRA "&amp;SynthFra!F37&amp;"x"&amp;SynthFra!F37+12</f>
        <v>Synthetic FRA 29x41</v>
      </c>
      <c r="C40" s="397">
        <f>_xll.qlInterestRateIndexFixingDate(IborIndex,D40)</f>
        <v>42747</v>
      </c>
      <c r="D40" s="398">
        <f>SynthFra!I37</f>
        <v>42751</v>
      </c>
      <c r="E40" s="398">
        <f>_xll.qlCalendarAdvance(Calendar,D40,"1Y","mf")</f>
        <v>43116</v>
      </c>
      <c r="F40" s="398" t="str">
        <f>_xll.qlMakeDatedOIS(,D40,E40,OvernightIndex,0,"Act/360",0)</f>
        <v>obj_003f8#0001</v>
      </c>
      <c r="G40" s="420">
        <f>_xll.qlOvernightIndexedSwapFairRate(F40,Contribution!$P$25)</f>
        <v>2.5842890845182739E-3</v>
      </c>
      <c r="H40" s="400">
        <v>4.8736853594261564E-3</v>
      </c>
      <c r="I40" s="399">
        <f t="shared" si="0"/>
        <v>7.4579744439444307E-3</v>
      </c>
      <c r="J40" s="424">
        <f>SynthFra!N37-FRACharts!I40</f>
        <v>0</v>
      </c>
    </row>
    <row r="41" spans="1:10" x14ac:dyDescent="0.2">
      <c r="A41" s="268"/>
      <c r="B41" s="401" t="str">
        <f>"Synthetic FRA "&amp;SynthFra!F38&amp;"x"&amp;SynthFra!F38+12</f>
        <v>Synthetic FRA 30x42</v>
      </c>
      <c r="C41" s="397">
        <f>_xll.qlInterestRateIndexFixingDate(IborIndex,D41)</f>
        <v>42779</v>
      </c>
      <c r="D41" s="398">
        <f>SynthFra!I38</f>
        <v>42781</v>
      </c>
      <c r="E41" s="398">
        <f>_xll.qlCalendarAdvance(Calendar,D41,"1Y","mf")</f>
        <v>43146</v>
      </c>
      <c r="F41" s="398" t="str">
        <f>_xll.qlMakeDatedOIS(,D41,E41,OvernightIndex,0,"Act/360",0)</f>
        <v>obj_003d5#0001</v>
      </c>
      <c r="G41" s="420">
        <f>_xll.qlOvernightIndexedSwapFairRate(F41,Contribution!$P$25)</f>
        <v>2.7560984535395325E-3</v>
      </c>
      <c r="H41" s="400">
        <v>4.902907394413852E-3</v>
      </c>
      <c r="I41" s="399">
        <f t="shared" si="0"/>
        <v>7.6590058479533846E-3</v>
      </c>
      <c r="J41" s="424">
        <f>SynthFra!N38-FRACharts!I41</f>
        <v>0</v>
      </c>
    </row>
    <row r="42" spans="1:10" x14ac:dyDescent="0.2">
      <c r="A42" s="268"/>
      <c r="B42" s="401" t="str">
        <f>"Synthetic FRA "&amp;SynthFra!F39&amp;"x"&amp;SynthFra!F39+12</f>
        <v>Synthetic FRA 31x43</v>
      </c>
      <c r="C42" s="397">
        <f>_xll.qlInterestRateIndexFixingDate(IborIndex,D42)</f>
        <v>42807</v>
      </c>
      <c r="D42" s="398">
        <f>SynthFra!I39</f>
        <v>42809</v>
      </c>
      <c r="E42" s="398">
        <f>_xll.qlCalendarAdvance(Calendar,D42,"1Y","mf")</f>
        <v>43174</v>
      </c>
      <c r="F42" s="398" t="str">
        <f>_xll.qlMakeDatedOIS(,D42,E42,OvernightIndex,0,"Act/360",0)</f>
        <v>obj_003ca#0001</v>
      </c>
      <c r="G42" s="420">
        <f>_xll.qlOvernightIndexedSwapFairRate(F42,Contribution!$P$25)</f>
        <v>2.9164807960583368E-3</v>
      </c>
      <c r="H42" s="400">
        <v>4.9301275903566285E-3</v>
      </c>
      <c r="I42" s="399">
        <f t="shared" si="0"/>
        <v>7.8466083864149657E-3</v>
      </c>
      <c r="J42" s="424">
        <f>SynthFra!N39-FRACharts!I42</f>
        <v>0</v>
      </c>
    </row>
    <row r="43" spans="1:10" x14ac:dyDescent="0.2">
      <c r="A43" s="268"/>
      <c r="B43" s="401" t="str">
        <f>"Synthetic FRA "&amp;SynthFra!F40&amp;"x"&amp;SynthFra!F40+12</f>
        <v>Synthetic FRA 32x44</v>
      </c>
      <c r="C43" s="397">
        <f>_xll.qlInterestRateIndexFixingDate(IborIndex,D43)</f>
        <v>42837</v>
      </c>
      <c r="D43" s="398">
        <f>SynthFra!I40</f>
        <v>42843</v>
      </c>
      <c r="E43" s="398">
        <f>_xll.qlCalendarAdvance(Calendar,D43,"1Y","mf")</f>
        <v>43208</v>
      </c>
      <c r="F43" s="398" t="str">
        <f>_xll.qlMakeDatedOIS(,D43,E43,OvernightIndex,0,"Act/360",0)</f>
        <v>obj_003d9#0001</v>
      </c>
      <c r="G43" s="420">
        <f>_xll.qlOvernightIndexedSwapFairRate(F43,Contribution!$P$25)</f>
        <v>3.1112657474059082E-3</v>
      </c>
      <c r="H43" s="400">
        <v>4.9627475225378593E-3</v>
      </c>
      <c r="I43" s="399">
        <f t="shared" si="0"/>
        <v>8.0740132699437667E-3</v>
      </c>
      <c r="J43" s="424">
        <f>SynthFra!N40-FRACharts!I43</f>
        <v>0</v>
      </c>
    </row>
    <row r="44" spans="1:10" x14ac:dyDescent="0.2">
      <c r="A44" s="268"/>
      <c r="B44" s="401" t="str">
        <f>"Synthetic FRA "&amp;SynthFra!F41&amp;"x"&amp;SynthFra!F41+12</f>
        <v>Synthetic FRA 33x45</v>
      </c>
      <c r="C44" s="397">
        <f>_xll.qlInterestRateIndexFixingDate(IborIndex,D44)</f>
        <v>42866</v>
      </c>
      <c r="D44" s="398">
        <f>SynthFra!I41</f>
        <v>42870</v>
      </c>
      <c r="E44" s="398">
        <f>_xll.qlCalendarAdvance(Calendar,D44,"1Y","mf")</f>
        <v>43235</v>
      </c>
      <c r="F44" s="398" t="str">
        <f>_xll.qlMakeDatedOIS(,D44,E44,OvernightIndex,0,"Act/360",0)</f>
        <v>obj_003d6#0001</v>
      </c>
      <c r="G44" s="420">
        <f>_xll.qlOvernightIndexedSwapFairRate(F44,Contribution!$P$25)</f>
        <v>3.2659752370472919E-3</v>
      </c>
      <c r="H44" s="400">
        <v>4.9880384417941301E-3</v>
      </c>
      <c r="I44" s="399">
        <f t="shared" si="0"/>
        <v>8.2540136788414216E-3</v>
      </c>
      <c r="J44" s="424">
        <f>SynthFra!N41-FRACharts!I44</f>
        <v>0</v>
      </c>
    </row>
    <row r="45" spans="1:10" x14ac:dyDescent="0.2">
      <c r="A45" s="268"/>
      <c r="B45" s="401" t="str">
        <f>"Synthetic FRA "&amp;SynthFra!F42&amp;"x"&amp;SynthFra!F42+12</f>
        <v>Synthetic FRA 34x46</v>
      </c>
      <c r="C45" s="397">
        <f>_xll.qlInterestRateIndexFixingDate(IborIndex,D45)</f>
        <v>42899</v>
      </c>
      <c r="D45" s="398">
        <f>SynthFra!I42</f>
        <v>42901</v>
      </c>
      <c r="E45" s="398">
        <f>_xll.qlCalendarAdvance(Calendar,D45,"1Y","mf")</f>
        <v>43266</v>
      </c>
      <c r="F45" s="398" t="str">
        <f>_xll.qlMakeDatedOIS(,D45,E45,OvernightIndex,0,"Act/360",0)</f>
        <v>obj_003dd#0001</v>
      </c>
      <c r="G45" s="420">
        <f>_xll.qlOvernightIndexedSwapFairRate(F45,Contribution!$P$25)</f>
        <v>3.4436344837394809E-3</v>
      </c>
      <c r="H45" s="400">
        <v>5.0160967999915238E-3</v>
      </c>
      <c r="I45" s="399">
        <f t="shared" si="0"/>
        <v>8.4597312837310056E-3</v>
      </c>
      <c r="J45" s="424">
        <f>SynthFra!N42-FRACharts!I45</f>
        <v>0</v>
      </c>
    </row>
    <row r="46" spans="1:10" x14ac:dyDescent="0.2">
      <c r="A46" s="268"/>
      <c r="B46" s="401" t="str">
        <f>"Synthetic FRA "&amp;SynthFra!F43&amp;"x"&amp;SynthFra!F43+12</f>
        <v>Synthetic FRA 35x47</v>
      </c>
      <c r="C46" s="397">
        <f>_xll.qlInterestRateIndexFixingDate(IborIndex,D46)</f>
        <v>42929</v>
      </c>
      <c r="D46" s="398">
        <f>SynthFra!I43</f>
        <v>42933</v>
      </c>
      <c r="E46" s="398">
        <f>_xll.qlCalendarAdvance(Calendar,D46,"1Y","mf")</f>
        <v>43298</v>
      </c>
      <c r="F46" s="398" t="str">
        <f>_xll.qlMakeDatedOIS(,D46,E46,OvernightIndex,0,"Act/360",0)</f>
        <v>obj_003e8#0001</v>
      </c>
      <c r="G46" s="420">
        <f>_xll.qlOvernightIndexedSwapFairRate(F46,Contribution!$P$25)</f>
        <v>3.6270581294299098E-3</v>
      </c>
      <c r="H46" s="400">
        <v>5.0436221231785552E-3</v>
      </c>
      <c r="I46" s="399">
        <f t="shared" ref="I46:I59" si="1">G46+H46</f>
        <v>8.6706802526084654E-3</v>
      </c>
      <c r="J46" s="424">
        <f>SynthFra!N43-FRACharts!I46</f>
        <v>0</v>
      </c>
    </row>
    <row r="47" spans="1:10" x14ac:dyDescent="0.2">
      <c r="A47" s="268"/>
      <c r="B47" s="405" t="str">
        <f>"Swap/Impl FRA "&amp;SynthFra!F44&amp;"x"&amp;SynthFra!F44+12</f>
        <v>Swap/Impl FRA 36x48</v>
      </c>
      <c r="C47" s="410">
        <f>_xll.qlInterestRateIndexFixingDate(IborIndex,D47)</f>
        <v>42958</v>
      </c>
      <c r="D47" s="411">
        <f>SynthFra!I5</f>
        <v>42962</v>
      </c>
      <c r="E47" s="411">
        <f>_xll.qlCalendarAdvance(Calendar,D47,"1Y","mf")</f>
        <v>43327</v>
      </c>
      <c r="F47" s="411" t="str">
        <f>_xll.qlMakeDatedOIS(,D47,E47,OvernightIndex,0,"Act/360",0)</f>
        <v>obj_003d8#0001</v>
      </c>
      <c r="G47" s="421">
        <f>_xll.qlOvernightIndexedSwapFairRate(F47,Contribution!$P$25)</f>
        <v>3.7933151701378871E-3</v>
      </c>
      <c r="H47" s="413">
        <v>5.0670000000000003E-3</v>
      </c>
      <c r="I47" s="412">
        <f t="shared" si="1"/>
        <v>8.860315170137887E-3</v>
      </c>
      <c r="J47" s="424">
        <f>SynthFra!N44-FRACharts!I47</f>
        <v>0</v>
      </c>
    </row>
    <row r="48" spans="1:10" x14ac:dyDescent="0.2">
      <c r="A48" s="268"/>
      <c r="B48" s="401" t="str">
        <f>"Synthetic FRA "&amp;SynthFra!F45&amp;"x"&amp;SynthFra!F45+12</f>
        <v>Synthetic FRA 37x49</v>
      </c>
      <c r="C48" s="397">
        <f>_xll.qlInterestRateIndexFixingDate(IborIndex,D48)</f>
        <v>42991</v>
      </c>
      <c r="D48" s="398">
        <f>SynthFra!I45</f>
        <v>42993</v>
      </c>
      <c r="E48" s="398">
        <f>_xll.qlCalendarAdvance(Calendar,D48,"1Y","mf")</f>
        <v>43360</v>
      </c>
      <c r="F48" s="398" t="str">
        <f>_xll.qlMakeDatedOIS(,D48,E48,OvernightIndex,0,"Act/360",0)</f>
        <v>obj_003e7#0001</v>
      </c>
      <c r="G48" s="420">
        <f>_xll.qlOvernightIndexedSwapFairRate(F48,Contribution!$P$25)</f>
        <v>4.0531148002459728E-3</v>
      </c>
      <c r="H48" s="400">
        <v>5.0901064146917745E-3</v>
      </c>
      <c r="I48" s="399">
        <f t="shared" si="1"/>
        <v>9.1432212149377481E-3</v>
      </c>
      <c r="J48" s="424">
        <f>SynthFra!N45-FRACharts!I48</f>
        <v>0</v>
      </c>
    </row>
    <row r="49" spans="1:10" x14ac:dyDescent="0.2">
      <c r="A49" s="268"/>
      <c r="B49" s="401" t="str">
        <f>"Synthetic FRA "&amp;SynthFra!F46&amp;"x"&amp;SynthFra!F46+12</f>
        <v>Synthetic FRA 38x50</v>
      </c>
      <c r="C49" s="397">
        <f>_xll.qlInterestRateIndexFixingDate(IborIndex,D49)</f>
        <v>43020</v>
      </c>
      <c r="D49" s="398">
        <f>SynthFra!I46</f>
        <v>43024</v>
      </c>
      <c r="E49" s="398">
        <f>_xll.qlCalendarAdvance(Calendar,D49,"1Y","mf")</f>
        <v>43389</v>
      </c>
      <c r="F49" s="398" t="str">
        <f>_xll.qlMakeDatedOIS(,D49,E49,OvernightIndex,0,"Act/360",0)</f>
        <v>obj_003c8#0001</v>
      </c>
      <c r="G49" s="420">
        <f>_xll.qlOvernightIndexedSwapFairRate(F49,Contribution!$P$25)</f>
        <v>4.2840692757807834E-3</v>
      </c>
      <c r="H49" s="400">
        <v>5.1113583033740844E-3</v>
      </c>
      <c r="I49" s="399">
        <f t="shared" si="1"/>
        <v>9.3954275791548678E-3</v>
      </c>
      <c r="J49" s="424">
        <f>SynthFra!N46-FRACharts!I49</f>
        <v>0</v>
      </c>
    </row>
    <row r="50" spans="1:10" x14ac:dyDescent="0.2">
      <c r="A50" s="268"/>
      <c r="B50" s="401" t="str">
        <f>"Synthetic FRA "&amp;SynthFra!F47&amp;"x"&amp;SynthFra!F47+12</f>
        <v>Synthetic FRA 39x51</v>
      </c>
      <c r="C50" s="397">
        <f>_xll.qlInterestRateIndexFixingDate(IborIndex,D50)</f>
        <v>43052</v>
      </c>
      <c r="D50" s="398">
        <f>SynthFra!I47</f>
        <v>43054</v>
      </c>
      <c r="E50" s="398">
        <f>_xll.qlCalendarAdvance(Calendar,D50,"1Y","mf")</f>
        <v>43419</v>
      </c>
      <c r="F50" s="398" t="str">
        <f>_xll.qlMakeDatedOIS(,D50,E50,OvernightIndex,0,"Act/360",0)</f>
        <v>obj_003e5#0001</v>
      </c>
      <c r="G50" s="420">
        <f>_xll.qlOvernightIndexedSwapFairRate(F50,Contribution!$P$25)</f>
        <v>4.5216182590185599E-3</v>
      </c>
      <c r="H50" s="400">
        <v>5.1303210167669838E-3</v>
      </c>
      <c r="I50" s="399">
        <f t="shared" si="1"/>
        <v>9.6519392757855437E-3</v>
      </c>
      <c r="J50" s="424">
        <f>SynthFra!N47-FRACharts!I50</f>
        <v>0</v>
      </c>
    </row>
    <row r="51" spans="1:10" x14ac:dyDescent="0.2">
      <c r="A51" s="268"/>
      <c r="B51" s="401" t="str">
        <f>"Synthetic FRA "&amp;SynthFra!F48&amp;"x"&amp;SynthFra!F48+12</f>
        <v>Synthetic FRA 40x52</v>
      </c>
      <c r="C51" s="397">
        <f>_xll.qlInterestRateIndexFixingDate(IborIndex,D51)</f>
        <v>43082</v>
      </c>
      <c r="D51" s="398">
        <f>SynthFra!I48</f>
        <v>43084</v>
      </c>
      <c r="E51" s="398">
        <f>_xll.qlCalendarAdvance(Calendar,D51,"1Y","mf")</f>
        <v>43451</v>
      </c>
      <c r="F51" s="398" t="str">
        <f>_xll.qlMakeDatedOIS(,D51,E51,OvernightIndex,0,"Act/360",0)</f>
        <v>obj_003d2#0001</v>
      </c>
      <c r="G51" s="420">
        <f>_xll.qlOvernightIndexedSwapFairRate(F51,Contribution!$P$25)</f>
        <v>4.769776942927486E-3</v>
      </c>
      <c r="H51" s="400">
        <v>5.1478641228380282E-3</v>
      </c>
      <c r="I51" s="399">
        <f t="shared" si="1"/>
        <v>9.9176410657655142E-3</v>
      </c>
      <c r="J51" s="424">
        <f>SynthFra!N48-FRACharts!I51</f>
        <v>0</v>
      </c>
    </row>
    <row r="52" spans="1:10" x14ac:dyDescent="0.2">
      <c r="A52" s="268"/>
      <c r="B52" s="401" t="str">
        <f>"Synthetic FRA "&amp;SynthFra!F49&amp;"x"&amp;SynthFra!F49+12</f>
        <v>Synthetic FRA 41x53</v>
      </c>
      <c r="C52" s="397">
        <f>_xll.qlInterestRateIndexFixingDate(IborIndex,D52)</f>
        <v>43111</v>
      </c>
      <c r="D52" s="398">
        <f>SynthFra!I49</f>
        <v>43115</v>
      </c>
      <c r="E52" s="398">
        <f>_xll.qlCalendarAdvance(Calendar,D52,"1Y","mf")</f>
        <v>43480</v>
      </c>
      <c r="F52" s="398" t="str">
        <f>_xll.qlMakeDatedOIS(,D52,E52,OvernightIndex,0,"Act/360",0)</f>
        <v>obj_003ea#0001</v>
      </c>
      <c r="G52" s="420">
        <f>_xll.qlOvernightIndexedSwapFairRate(F52,Contribution!$P$25)</f>
        <v>5.0048102157289826E-3</v>
      </c>
      <c r="H52" s="400">
        <v>5.1646663312370552E-3</v>
      </c>
      <c r="I52" s="399">
        <f t="shared" si="1"/>
        <v>1.0169476546966039E-2</v>
      </c>
      <c r="J52" s="424">
        <f>SynthFra!N49-FRACharts!I52</f>
        <v>0</v>
      </c>
    </row>
    <row r="53" spans="1:10" x14ac:dyDescent="0.2">
      <c r="A53" s="268"/>
      <c r="B53" s="401" t="str">
        <f>"Synthetic FRA "&amp;SynthFra!F50&amp;"x"&amp;SynthFra!F50+12</f>
        <v>Synthetic FRA 42x54</v>
      </c>
      <c r="C53" s="397">
        <f>_xll.qlInterestRateIndexFixingDate(IborIndex,D53)</f>
        <v>43144</v>
      </c>
      <c r="D53" s="398">
        <f>SynthFra!I50</f>
        <v>43146</v>
      </c>
      <c r="E53" s="398">
        <f>_xll.qlCalendarAdvance(Calendar,D53,"1Y","mf")</f>
        <v>43511</v>
      </c>
      <c r="F53" s="398" t="str">
        <f>_xll.qlMakeDatedOIS(,D53,E53,OvernightIndex,0,"Act/360",0)</f>
        <v>obj_003ce#0001</v>
      </c>
      <c r="G53" s="420">
        <f>_xll.qlOvernightIndexedSwapFairRate(F53,Contribution!$P$25)</f>
        <v>5.2504570798825026E-3</v>
      </c>
      <c r="H53" s="400">
        <v>5.180291415342651E-3</v>
      </c>
      <c r="I53" s="399">
        <f t="shared" si="1"/>
        <v>1.0430748495225153E-2</v>
      </c>
      <c r="J53" s="424">
        <f>SynthFra!N50-FRACharts!I53</f>
        <v>0</v>
      </c>
    </row>
    <row r="54" spans="1:10" x14ac:dyDescent="0.2">
      <c r="A54" s="268"/>
      <c r="B54" s="401" t="str">
        <f>"Synthetic FRA "&amp;SynthFra!F51&amp;"x"&amp;SynthFra!F51+12</f>
        <v>Synthetic FRA 43x55</v>
      </c>
      <c r="C54" s="397">
        <f>_xll.qlInterestRateIndexFixingDate(IborIndex,D54)</f>
        <v>43172</v>
      </c>
      <c r="D54" s="398">
        <f>SynthFra!I51</f>
        <v>43174</v>
      </c>
      <c r="E54" s="398">
        <f>_xll.qlCalendarAdvance(Calendar,D54,"1Y","mf")</f>
        <v>43539</v>
      </c>
      <c r="F54" s="398" t="str">
        <f>_xll.qlMakeDatedOIS(,D54,E54,OvernightIndex,0,"Act/360",0)</f>
        <v>obj_003e0#0001</v>
      </c>
      <c r="G54" s="420">
        <f>_xll.qlOvernightIndexedSwapFairRate(F54,Contribution!$P$25)</f>
        <v>5.4723839868702434E-3</v>
      </c>
      <c r="H54" s="400">
        <v>5.1935358051660224E-3</v>
      </c>
      <c r="I54" s="399">
        <f t="shared" si="1"/>
        <v>1.0665919792036266E-2</v>
      </c>
      <c r="J54" s="424">
        <f>SynthFra!N51-FRACharts!I54</f>
        <v>0</v>
      </c>
    </row>
    <row r="55" spans="1:10" x14ac:dyDescent="0.2">
      <c r="A55" s="268"/>
      <c r="B55" s="401" t="str">
        <f>"Synthetic FRA "&amp;SynthFra!F52&amp;"x"&amp;SynthFra!F52+12</f>
        <v>Synthetic FRA 44x56</v>
      </c>
      <c r="C55" s="397">
        <f>_xll.qlInterestRateIndexFixingDate(IborIndex,D55)</f>
        <v>43202</v>
      </c>
      <c r="D55" s="398">
        <f>SynthFra!I52</f>
        <v>43206</v>
      </c>
      <c r="E55" s="398">
        <f>_xll.qlCalendarAdvance(Calendar,D55,"1Y","mf")</f>
        <v>43571</v>
      </c>
      <c r="F55" s="398" t="str">
        <f>_xll.qlMakeDatedOIS(,D55,E55,OvernightIndex,0,"Act/360",0)</f>
        <v>obj_003d4#0001</v>
      </c>
      <c r="G55" s="420">
        <f>_xll.qlOvernightIndexedSwapFairRate(F55,Contribution!$P$25)</f>
        <v>5.7260755602182327E-3</v>
      </c>
      <c r="H55" s="400">
        <v>5.2078310018951243E-3</v>
      </c>
      <c r="I55" s="399">
        <f t="shared" si="1"/>
        <v>1.0933906562113356E-2</v>
      </c>
      <c r="J55" s="424">
        <f>SynthFra!N52-FRACharts!I55</f>
        <v>0</v>
      </c>
    </row>
    <row r="56" spans="1:10" x14ac:dyDescent="0.2">
      <c r="A56" s="268"/>
      <c r="B56" s="401" t="str">
        <f>"Synthetic FRA "&amp;SynthFra!F53&amp;"x"&amp;SynthFra!F53+12</f>
        <v>Synthetic FRA 45x57</v>
      </c>
      <c r="C56" s="397">
        <f>_xll.qlInterestRateIndexFixingDate(IborIndex,D56)</f>
        <v>43231</v>
      </c>
      <c r="D56" s="398">
        <f>SynthFra!I53</f>
        <v>43235</v>
      </c>
      <c r="E56" s="398">
        <f>_xll.qlCalendarAdvance(Calendar,D56,"1Y","mf")</f>
        <v>43600</v>
      </c>
      <c r="F56" s="398" t="str">
        <f>_xll.qlMakeDatedOIS(,D56,E56,OvernightIndex,0,"Act/360",0)</f>
        <v>obj_003f6#0001</v>
      </c>
      <c r="G56" s="420">
        <f>_xll.qlOvernightIndexedSwapFairRate(F56,Contribution!$P$25)</f>
        <v>5.9560396009222276E-3</v>
      </c>
      <c r="H56" s="400">
        <v>5.220162546492965E-3</v>
      </c>
      <c r="I56" s="399">
        <f t="shared" si="1"/>
        <v>1.1176202147415193E-2</v>
      </c>
      <c r="J56" s="424">
        <f>SynthFra!N53-FRACharts!I56</f>
        <v>0</v>
      </c>
    </row>
    <row r="57" spans="1:10" x14ac:dyDescent="0.2">
      <c r="A57" s="268"/>
      <c r="B57" s="401" t="str">
        <f>"Synthetic FRA "&amp;SynthFra!F54&amp;"x"&amp;SynthFra!F54+12</f>
        <v>Synthetic FRA 46x58</v>
      </c>
      <c r="C57" s="397">
        <f>_xll.qlInterestRateIndexFixingDate(IborIndex,D57)</f>
        <v>43264</v>
      </c>
      <c r="D57" s="398">
        <f>SynthFra!I54</f>
        <v>43266</v>
      </c>
      <c r="E57" s="398">
        <f>_xll.qlCalendarAdvance(Calendar,D57,"1Y","mf")</f>
        <v>43633</v>
      </c>
      <c r="F57" s="398" t="str">
        <f>_xll.qlMakeDatedOIS(,D57,E57,OvernightIndex,0,"Act/360",0)</f>
        <v>obj_003cc#0001</v>
      </c>
      <c r="G57" s="420">
        <f>_xll.qlOvernightIndexedSwapFairRate(F57,Contribution!$P$25)</f>
        <v>6.204665918218874E-3</v>
      </c>
      <c r="H57" s="400">
        <v>5.2328537754667255E-3</v>
      </c>
      <c r="I57" s="399">
        <f t="shared" si="1"/>
        <v>1.1437519693685599E-2</v>
      </c>
      <c r="J57" s="424">
        <f>SynthFra!N54-FRACharts!I57</f>
        <v>0</v>
      </c>
    </row>
    <row r="58" spans="1:10" x14ac:dyDescent="0.2">
      <c r="A58" s="268"/>
      <c r="B58" s="401" t="str">
        <f>"Synthetic FRA "&amp;SynthFra!F55&amp;"x"&amp;SynthFra!F55+12</f>
        <v>Synthetic FRA 47x59</v>
      </c>
      <c r="C58" s="397">
        <f>_xll.qlInterestRateIndexFixingDate(IborIndex,D58)</f>
        <v>43293</v>
      </c>
      <c r="D58" s="398">
        <f>SynthFra!I55</f>
        <v>43297</v>
      </c>
      <c r="E58" s="398">
        <f>_xll.qlCalendarAdvance(Calendar,D58,"1Y","mf")</f>
        <v>43662</v>
      </c>
      <c r="F58" s="398" t="str">
        <f>_xll.qlMakeDatedOIS(,D58,E58,OvernightIndex,0,"Act/360",0)</f>
        <v>obj_003df#0001</v>
      </c>
      <c r="G58" s="420">
        <f>_xll.qlOvernightIndexedSwapFairRate(F58,Contribution!$P$25)</f>
        <v>6.4478656908006403E-3</v>
      </c>
      <c r="H58" s="400">
        <v>5.2452063035824713E-3</v>
      </c>
      <c r="I58" s="399">
        <f t="shared" si="1"/>
        <v>1.1693071994383112E-2</v>
      </c>
      <c r="J58" s="424">
        <f>SynthFra!N55-FRACharts!I58</f>
        <v>0</v>
      </c>
    </row>
    <row r="59" spans="1:10" ht="12" thickBot="1" x14ac:dyDescent="0.25">
      <c r="A59" s="268"/>
      <c r="B59" s="404" t="str">
        <f>"Swap/Impl FRA "&amp;SynthFra!F56&amp;"x"&amp;SynthFra!F56+12</f>
        <v>Swap/Impl FRA 48x60</v>
      </c>
      <c r="C59" s="406">
        <f>_xll.qlInterestRateIndexFixingDate(IborIndex,D59)</f>
        <v>43325</v>
      </c>
      <c r="D59" s="407">
        <f>SynthFra!I6</f>
        <v>43327</v>
      </c>
      <c r="E59" s="407">
        <f>_xll.qlCalendarAdvance(Calendar,D59,"1Y","mf")</f>
        <v>43692</v>
      </c>
      <c r="F59" s="407" t="str">
        <f>_xll.qlMakeDatedOIS(,D59,E59,OvernightIndex,0,"Act/360",0)</f>
        <v>obj_003e4#0001</v>
      </c>
      <c r="G59" s="422">
        <f>_xll.qlOvernightIndexedSwapFairRate(F59,Contribution!$P$25)</f>
        <v>6.6859335668242514E-3</v>
      </c>
      <c r="H59" s="409">
        <v>5.2570000000000004E-3</v>
      </c>
      <c r="I59" s="408">
        <f t="shared" si="1"/>
        <v>1.1942933566824252E-2</v>
      </c>
      <c r="J59" s="424">
        <f>SynthFra!N56-FRACharts!I59</f>
        <v>0</v>
      </c>
    </row>
    <row r="60" spans="1:10" x14ac:dyDescent="0.2">
      <c r="A60" s="268"/>
      <c r="B60" s="268"/>
      <c r="C60" s="268"/>
      <c r="D60" s="268"/>
      <c r="E60" s="268"/>
      <c r="F60" s="268"/>
      <c r="G60" s="268"/>
      <c r="H60" s="268"/>
      <c r="I60" s="268"/>
      <c r="J60" s="26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Z130"/>
  <sheetViews>
    <sheetView workbookViewId="0">
      <selection activeCell="B6" sqref="B6"/>
    </sheetView>
  </sheetViews>
  <sheetFormatPr defaultColWidth="9.5" defaultRowHeight="11.25" x14ac:dyDescent="0.2"/>
  <cols>
    <col min="1" max="1" width="9.5" style="432"/>
    <col min="2" max="2" width="31.1640625" style="432" bestFit="1" customWidth="1"/>
    <col min="3" max="3" width="22.6640625" style="432" bestFit="1" customWidth="1"/>
    <col min="4" max="4" width="20.1640625" style="432" bestFit="1" customWidth="1"/>
    <col min="5" max="5" width="10.6640625" style="432" customWidth="1"/>
    <col min="6" max="6" width="11.6640625" style="432" bestFit="1" customWidth="1"/>
    <col min="7" max="7" width="9.33203125" style="432" bestFit="1" customWidth="1"/>
    <col min="8" max="8" width="12.1640625" style="432" bestFit="1" customWidth="1"/>
    <col min="9" max="11" width="20.1640625" style="432" bestFit="1" customWidth="1"/>
    <col min="12" max="12" width="15.33203125" style="432" customWidth="1"/>
    <col min="13" max="13" width="11.6640625" style="432" bestFit="1" customWidth="1"/>
    <col min="14" max="14" width="9.5" style="432"/>
    <col min="15" max="15" width="12.1640625" style="432" bestFit="1" customWidth="1"/>
    <col min="16" max="17" width="12.1640625" style="432" customWidth="1"/>
    <col min="18" max="19" width="12.1640625" style="432" bestFit="1" customWidth="1"/>
    <col min="20" max="20" width="9.5" style="432"/>
    <col min="21" max="21" width="12.1640625" style="432" bestFit="1" customWidth="1"/>
    <col min="22" max="23" width="12.83203125" style="432" bestFit="1" customWidth="1"/>
    <col min="24" max="16384" width="9.5" style="432"/>
  </cols>
  <sheetData>
    <row r="1" spans="2:25" ht="12" thickBot="1" x14ac:dyDescent="0.25"/>
    <row r="2" spans="2:25" ht="22.5" x14ac:dyDescent="0.2">
      <c r="B2" s="443" t="s">
        <v>147</v>
      </c>
      <c r="C2" s="444" t="s">
        <v>126</v>
      </c>
      <c r="D2" s="444" t="s">
        <v>127</v>
      </c>
      <c r="E2" s="444" t="s">
        <v>105</v>
      </c>
      <c r="F2" s="444" t="s">
        <v>44</v>
      </c>
      <c r="G2" s="463"/>
      <c r="H2" s="463"/>
      <c r="I2" s="445"/>
      <c r="S2" s="487" t="s">
        <v>163</v>
      </c>
      <c r="U2" s="381"/>
      <c r="W2" s="518" t="s">
        <v>162</v>
      </c>
      <c r="X2" s="527"/>
      <c r="Y2" s="527"/>
    </row>
    <row r="3" spans="2:25" x14ac:dyDescent="0.2">
      <c r="B3" s="433" t="str">
        <f t="array" ref="B3:B6">_xll.ohFilter(SynthDepo!D6:D14,SynthDepo!J6:J14)</f>
        <v>Euribor3MLastFixing_Quote</v>
      </c>
      <c r="C3" s="434">
        <f t="array" ref="C3:C6">_xll.ohFilter(SynthDepo!E6:E14,SynthDepo!J6:J14)</f>
        <v>41866</v>
      </c>
      <c r="D3" s="434">
        <f t="array" ref="D3:D6">_xll.ohFilter(SynthDepo!F6:F14,SynthDepo!J6:J14)</f>
        <v>41960</v>
      </c>
      <c r="E3" s="435">
        <f t="array" ref="E3:E6">_xll.ohFilter(SynthDepo!G6:G14,SynthDepo!J6:J14)</f>
        <v>1.99E-3</v>
      </c>
      <c r="F3" s="436">
        <f t="array" ref="F3:F6">_xll.ohFilter(SynthDepo!H6:H14,SynthDepo!J6:J14)</f>
        <v>5.1204465057381218E-4</v>
      </c>
      <c r="G3" s="464">
        <f>E3*_xll.qlDayCounterYearFraction(DayCounter3M,C3,D3,,,Trigger)</f>
        <v>5.196111111111111E-4</v>
      </c>
      <c r="H3" s="464">
        <f>F3*_xll.qlDayCounterYearFraction(DayCounterOIS,C3,D3,,,Trigger)</f>
        <v>1.3370054764982875E-4</v>
      </c>
      <c r="I3" s="489">
        <f>G3-H3</f>
        <v>3.8591056346128235E-4</v>
      </c>
      <c r="M3" s="557" t="s">
        <v>155</v>
      </c>
      <c r="N3" s="532"/>
      <c r="O3" s="455">
        <f>I9</f>
        <v>5.6935575223362135E-3</v>
      </c>
      <c r="P3" s="456">
        <f>H9</f>
        <v>3.3161944079564645E-2</v>
      </c>
      <c r="Q3" s="457">
        <f>G9</f>
        <v>0.25753424657534246</v>
      </c>
      <c r="R3" s="446"/>
      <c r="S3" s="459">
        <f t="array" ref="S3:S5">MMULT(W3:Y5,U3:U5)</f>
        <v>1.0556318961930655E-2</v>
      </c>
      <c r="T3" s="460"/>
      <c r="U3" s="435">
        <f>I3</f>
        <v>3.8591056346128235E-4</v>
      </c>
      <c r="W3" s="453">
        <f t="array" ref="W3:Y5">MINVERSE(O3:Q5)</f>
        <v>3342.1873867501704</v>
      </c>
      <c r="X3" s="432">
        <v>-3911.5481629119595</v>
      </c>
      <c r="Y3" s="432">
        <v>502.16282014707934</v>
      </c>
    </row>
    <row r="4" spans="2:25" x14ac:dyDescent="0.2">
      <c r="B4" s="433" t="str">
        <v>EURFUT3MQ4_Quote</v>
      </c>
      <c r="C4" s="434">
        <v>41871</v>
      </c>
      <c r="D4" s="434">
        <v>41963</v>
      </c>
      <c r="E4" s="435">
        <v>1.974999999999949E-3</v>
      </c>
      <c r="F4" s="436">
        <v>5.2056670153206679E-4</v>
      </c>
      <c r="G4" s="464">
        <f>E4*_xll.qlDayCounterYearFraction(DayCounter3M,C4,D4,,,Trigger)</f>
        <v>5.0472222222220915E-4</v>
      </c>
      <c r="H4" s="464">
        <f>F4*_xll.qlDayCounterYearFraction(DayCounterOIS,C4,D4,,,Trigger)</f>
        <v>1.3303371261375038E-4</v>
      </c>
      <c r="I4" s="489">
        <f t="shared" ref="I4:I5" si="0">G4-H4</f>
        <v>3.7168850960845874E-4</v>
      </c>
      <c r="M4" s="557"/>
      <c r="N4" s="532"/>
      <c r="O4" s="455">
        <f>I10</f>
        <v>6.2554112887954353E-3</v>
      </c>
      <c r="P4" s="456">
        <f>H10</f>
        <v>3.5218615124788896E-2</v>
      </c>
      <c r="Q4" s="457">
        <f>G10</f>
        <v>0.25205479452054796</v>
      </c>
      <c r="R4" s="447" t="str">
        <f>SynthDepo!AA10</f>
        <v>x</v>
      </c>
      <c r="S4" s="459">
        <v>-4.786356401252731E-3</v>
      </c>
      <c r="T4" s="447" t="str">
        <f>SynthDepo!AC10</f>
        <v>=</v>
      </c>
      <c r="U4" s="435">
        <f>I4</f>
        <v>3.7168850960845874E-4</v>
      </c>
      <c r="W4" s="453">
        <v>-1180.7119774262621</v>
      </c>
      <c r="X4" s="432">
        <v>1329.1949269403806</v>
      </c>
      <c r="Y4" s="432">
        <v>-124.16491648842165</v>
      </c>
    </row>
    <row r="5" spans="2:25" x14ac:dyDescent="0.2">
      <c r="B5" s="433" t="str">
        <v>EURFUT3MU4_Quote</v>
      </c>
      <c r="C5" s="434">
        <v>41899</v>
      </c>
      <c r="D5" s="434">
        <v>41990</v>
      </c>
      <c r="E5" s="435">
        <v>1.87499999999996E-3</v>
      </c>
      <c r="F5" s="436">
        <v>4.991180105367594E-4</v>
      </c>
      <c r="G5" s="464">
        <f>E5*_xll.qlDayCounterYearFraction(DayCounter3M,C5,D5,,,Trigger)</f>
        <v>4.739583333333232E-4</v>
      </c>
      <c r="H5" s="464">
        <f>F5*_xll.qlDayCounterYearFraction(DayCounterOIS,C5,D5,,,Trigger)</f>
        <v>1.261659415523475E-4</v>
      </c>
      <c r="I5" s="489">
        <f t="shared" si="0"/>
        <v>3.477923917809757E-4</v>
      </c>
      <c r="M5" s="557"/>
      <c r="N5" s="532"/>
      <c r="O5" s="455">
        <f>I11</f>
        <v>1.2823343624228932E-2</v>
      </c>
      <c r="P5" s="456">
        <f>H11</f>
        <v>5.3619816100581717E-2</v>
      </c>
      <c r="Q5" s="457">
        <f>G11</f>
        <v>0.24931506849315066</v>
      </c>
      <c r="R5" s="449"/>
      <c r="S5" s="459">
        <v>1.8814291458082264E-3</v>
      </c>
      <c r="T5" s="447"/>
      <c r="U5" s="435">
        <f>I5</f>
        <v>3.477923917809757E-4</v>
      </c>
      <c r="W5" s="453">
        <v>82.030909339324865</v>
      </c>
      <c r="X5" s="432">
        <v>-84.680246068672304</v>
      </c>
      <c r="Y5" s="432">
        <v>4.8865622024320423</v>
      </c>
    </row>
    <row r="6" spans="2:25" ht="12" thickBot="1" x14ac:dyDescent="0.25">
      <c r="B6" s="438" t="str">
        <v>EUR2x5F_Quote</v>
      </c>
      <c r="C6" s="439">
        <v>41927</v>
      </c>
      <c r="D6" s="439">
        <v>42019</v>
      </c>
      <c r="E6" s="440">
        <v>1.8799999999999999E-3</v>
      </c>
      <c r="F6" s="441">
        <v>4.8306097056242654E-4</v>
      </c>
      <c r="G6" s="465">
        <f>E6*_xll.qlDayCounterYearFraction(DayCounter3M,C6,D6,,,Trigger)</f>
        <v>4.8044444444444442E-4</v>
      </c>
      <c r="H6" s="465">
        <f>F6*_xll.qlDayCounterYearFraction(DayCounterOIS,C6,D6,,,Trigger)</f>
        <v>1.2344891469928676E-4</v>
      </c>
      <c r="I6" s="490">
        <f>G6-H6</f>
        <v>3.5699552974515766E-4</v>
      </c>
      <c r="N6" s="532"/>
      <c r="S6" s="461"/>
      <c r="T6" s="451"/>
      <c r="U6" s="462"/>
    </row>
    <row r="7" spans="2:25" ht="12" thickBot="1" x14ac:dyDescent="0.25">
      <c r="S7" s="461"/>
      <c r="T7" s="451"/>
      <c r="U7" s="462"/>
    </row>
    <row r="8" spans="2:25" ht="13.5" thickBot="1" x14ac:dyDescent="0.25">
      <c r="E8" s="443"/>
      <c r="F8" s="444"/>
      <c r="G8" s="471" t="s">
        <v>165</v>
      </c>
      <c r="H8" s="472" t="s">
        <v>166</v>
      </c>
      <c r="I8" s="473" t="s">
        <v>167</v>
      </c>
      <c r="J8" s="473" t="s">
        <v>170</v>
      </c>
      <c r="S8" s="488" t="s">
        <v>164</v>
      </c>
      <c r="T8" s="451"/>
      <c r="U8" s="462"/>
    </row>
    <row r="9" spans="2:25" x14ac:dyDescent="0.2">
      <c r="B9" s="443" t="s">
        <v>158</v>
      </c>
      <c r="C9" s="466" t="s">
        <v>17</v>
      </c>
      <c r="E9" s="491">
        <f>_xll.qlDayCounterYearFraction(DayCounterON,SettlementDate,C3,,,Trigger)</f>
        <v>0</v>
      </c>
      <c r="F9" s="492">
        <f>_xll.qlDayCounterYearFraction(DayCounterON,SettlementDate,D3,,,Trigger)</f>
        <v>0.25753424657534246</v>
      </c>
      <c r="G9" s="492">
        <f>F9-E9</f>
        <v>0.25753424657534246</v>
      </c>
      <c r="H9" s="492">
        <f>(F9^2-E9^2)/2</f>
        <v>3.3161944079564645E-2</v>
      </c>
      <c r="I9" s="492">
        <f>(F9^3-E9^3)/3</f>
        <v>5.6935575223362135E-3</v>
      </c>
      <c r="J9" s="528">
        <f>(F9^4-E9^4)/4</f>
        <v>1.0997145351361727E-3</v>
      </c>
      <c r="M9" s="558" t="s">
        <v>156</v>
      </c>
      <c r="O9" s="450"/>
      <c r="P9" s="455">
        <f>H9</f>
        <v>3.3161944079564645E-2</v>
      </c>
      <c r="Q9" s="457">
        <f>G9</f>
        <v>0.25753424657534246</v>
      </c>
      <c r="R9" s="517" t="s">
        <v>55</v>
      </c>
      <c r="S9" s="459">
        <f t="array" ref="S9:S10">MMULT(W9:X10,U9:U10)</f>
        <v>-2.1761980825835414E-3</v>
      </c>
      <c r="T9" s="518" t="s">
        <v>56</v>
      </c>
      <c r="U9" s="435">
        <f>I3</f>
        <v>3.8591056346128235E-4</v>
      </c>
      <c r="W9" s="432">
        <f t="array" ref="W9:X10">MINVERSE(P9:Q10)</f>
        <v>-354.32180851063811</v>
      </c>
      <c r="X9" s="432">
        <v>362.0244565217389</v>
      </c>
    </row>
    <row r="10" spans="2:25" x14ac:dyDescent="0.2">
      <c r="B10" s="467" t="s">
        <v>159</v>
      </c>
      <c r="C10" s="468" t="s">
        <v>17</v>
      </c>
      <c r="E10" s="493">
        <f>_xll.qlDayCounterYearFraction(DayCounterON,SettlementDate,C4,,,Trigger)</f>
        <v>1.3698630136986301E-2</v>
      </c>
      <c r="F10" s="494">
        <f>_xll.qlDayCounterYearFraction(DayCounterON,SettlementDate,D4,,,Trigger)</f>
        <v>0.26575342465753427</v>
      </c>
      <c r="G10" s="494">
        <f t="shared" ref="G10:G11" si="1">F10-E10</f>
        <v>0.25205479452054796</v>
      </c>
      <c r="H10" s="494">
        <f t="shared" ref="H10:H11" si="2">(F10^2-E10^2)/2</f>
        <v>3.5218615124788896E-2</v>
      </c>
      <c r="I10" s="494">
        <f t="shared" ref="I10:I11" si="3">(F10^3-E10^3)/3</f>
        <v>6.2554112887954353E-3</v>
      </c>
      <c r="J10" s="529">
        <f t="shared" ref="J10:J12" si="4">(F10^4-E10^4)/4</f>
        <v>1.2469597113426852E-3</v>
      </c>
      <c r="M10" s="558"/>
      <c r="O10" s="450"/>
      <c r="P10" s="455">
        <f>H10</f>
        <v>3.5218615124788896E-2</v>
      </c>
      <c r="Q10" s="457">
        <f>G10</f>
        <v>0.25205479452054796</v>
      </c>
      <c r="R10" s="517"/>
      <c r="S10" s="459">
        <v>1.778705273855534E-3</v>
      </c>
      <c r="T10" s="518"/>
      <c r="U10" s="435">
        <f>I4</f>
        <v>3.7168850960845874E-4</v>
      </c>
      <c r="W10" s="432">
        <v>49.507978723404229</v>
      </c>
      <c r="X10" s="432">
        <v>-46.616847826086925</v>
      </c>
    </row>
    <row r="11" spans="2:25" ht="12" thickBot="1" x14ac:dyDescent="0.25">
      <c r="B11" s="469" t="s">
        <v>160</v>
      </c>
      <c r="C11" s="470" t="s">
        <v>161</v>
      </c>
      <c r="E11" s="493">
        <f>_xll.qlDayCounterYearFraction(DayCounterON,SettlementDate,C5,,,Trigger)</f>
        <v>9.0410958904109592E-2</v>
      </c>
      <c r="F11" s="494">
        <f>_xll.qlDayCounterYearFraction(DayCounterON,SettlementDate,D5,,,Trigger)</f>
        <v>0.33972602739726027</v>
      </c>
      <c r="G11" s="494">
        <f t="shared" si="1"/>
        <v>0.24931506849315066</v>
      </c>
      <c r="H11" s="494">
        <f t="shared" si="2"/>
        <v>5.3619816100581717E-2</v>
      </c>
      <c r="I11" s="494">
        <f t="shared" si="3"/>
        <v>1.2823343624228932E-2</v>
      </c>
      <c r="J11" s="529">
        <f t="shared" si="4"/>
        <v>3.3133806421320245E-3</v>
      </c>
      <c r="S11" s="461"/>
      <c r="T11" s="451"/>
      <c r="U11" s="462"/>
    </row>
    <row r="12" spans="2:25" ht="12.75" thickBot="1" x14ac:dyDescent="0.25">
      <c r="E12" s="495">
        <f>_xll.qlDayCounterYearFraction(DayCounterON,SettlementDate,C6,,,Trigger)</f>
        <v>0.16712328767123288</v>
      </c>
      <c r="F12" s="496">
        <f>_xll.qlDayCounterYearFraction(DayCounterON,SettlementDate,D6,,,Trigger)</f>
        <v>0.41917808219178082</v>
      </c>
      <c r="G12" s="496">
        <f t="shared" ref="G12" si="5">F12-E12</f>
        <v>0.25205479452054791</v>
      </c>
      <c r="H12" s="496">
        <f t="shared" ref="H12" si="6">(F12^2-E12^2)/2</f>
        <v>7.3890035653968844E-2</v>
      </c>
      <c r="I12" s="496">
        <f t="shared" ref="I12" si="7">(F12^3-E12^3)/3</f>
        <v>2.2995368668550047E-2</v>
      </c>
      <c r="J12" s="530">
        <f t="shared" si="4"/>
        <v>7.5235003463770865E-3</v>
      </c>
      <c r="S12" s="487" t="s">
        <v>47</v>
      </c>
      <c r="T12" s="451"/>
      <c r="U12" s="462"/>
    </row>
    <row r="13" spans="2:25" x14ac:dyDescent="0.2">
      <c r="M13" s="454" t="s">
        <v>157</v>
      </c>
      <c r="P13" s="381"/>
      <c r="Q13" s="458">
        <f>G9</f>
        <v>0.25753424657534246</v>
      </c>
      <c r="R13" s="519" t="s">
        <v>55</v>
      </c>
      <c r="S13" s="459">
        <f>MMULT(W13,U13)</f>
        <v>1.498482507057107E-3</v>
      </c>
      <c r="T13" s="519" t="s">
        <v>56</v>
      </c>
      <c r="U13" s="435">
        <f>I3</f>
        <v>3.8591056346128235E-4</v>
      </c>
      <c r="W13" s="432">
        <f>MINVERSE(Q13)</f>
        <v>3.8829787234042552</v>
      </c>
    </row>
    <row r="15" spans="2:25" ht="12" thickBot="1" x14ac:dyDescent="0.25"/>
    <row r="16" spans="2:25" ht="24.75" customHeight="1" x14ac:dyDescent="0.2">
      <c r="B16" s="443" t="s">
        <v>126</v>
      </c>
      <c r="C16" s="443"/>
      <c r="D16" s="444" t="s">
        <v>57</v>
      </c>
      <c r="E16" s="444" t="s">
        <v>142</v>
      </c>
      <c r="F16" s="445" t="s">
        <v>143</v>
      </c>
      <c r="G16" s="445" t="s">
        <v>171</v>
      </c>
    </row>
    <row r="17" spans="2:26" x14ac:dyDescent="0.2">
      <c r="B17" s="480">
        <f>SettlementDate</f>
        <v>41866</v>
      </c>
      <c r="C17" s="476">
        <f>_xll.qlDayCounterYearFraction(DayCounterON,SettlementDate,B17,,,Trigger)</f>
        <v>0</v>
      </c>
      <c r="D17" s="481">
        <f t="shared" ref="D17:D48" si="8">$S$13</f>
        <v>1.498482507057107E-3</v>
      </c>
      <c r="E17" s="481">
        <f t="shared" ref="E17:E48" si="9">$S$10+$S$9*C17</f>
        <v>1.778705273855534E-3</v>
      </c>
      <c r="F17" s="482">
        <f t="shared" ref="F17:F48" si="10">($S$5+$S$4*C17+$S$3*C17^2)</f>
        <v>1.8814291458082264E-3</v>
      </c>
      <c r="G17" s="482">
        <f>($S$20+$S$19*C17+$S$18*C17^2+$S$17*C17^3)</f>
        <v>1.8903363173954008E-3</v>
      </c>
      <c r="H17" s="448"/>
      <c r="I17" s="448"/>
      <c r="M17" s="559" t="s">
        <v>171</v>
      </c>
      <c r="N17" s="533">
        <f>J9</f>
        <v>1.0997145351361727E-3</v>
      </c>
      <c r="O17" s="534">
        <f>I9</f>
        <v>5.6935575223362135E-3</v>
      </c>
      <c r="P17" s="534">
        <f>H9</f>
        <v>3.3161944079564645E-2</v>
      </c>
      <c r="Q17" s="535">
        <f>G9</f>
        <v>0.25753424657534246</v>
      </c>
      <c r="R17" s="560" t="s">
        <v>55</v>
      </c>
      <c r="S17" s="459">
        <f t="array" ref="S17:S20">MMULT(W17:Z20,U17:U20)</f>
        <v>-1.1013249021548321E-2</v>
      </c>
      <c r="T17" s="560" t="s">
        <v>56</v>
      </c>
      <c r="U17" s="435">
        <f>I3</f>
        <v>3.8591056346128235E-4</v>
      </c>
      <c r="W17" s="432">
        <f t="array" ref="W17:Z20">MINVERSE(N17:Q20)</f>
        <v>-17956.463078644654</v>
      </c>
      <c r="X17" s="432">
        <v>22824.250606917663</v>
      </c>
      <c r="Y17" s="432">
        <v>-6291.1460818522683</v>
      </c>
      <c r="Z17" s="432">
        <v>1745.3344239644575</v>
      </c>
    </row>
    <row r="18" spans="2:26" x14ac:dyDescent="0.2">
      <c r="B18" s="483">
        <f>_xll.qlCalendarAdvance(Calendar,B17,"1d","mf")</f>
        <v>41869</v>
      </c>
      <c r="C18" s="476">
        <f>_xll.qlDayCounterYearFraction(DayCounterON,SettlementDate,B18,,,Trigger)</f>
        <v>8.21917808219178E-3</v>
      </c>
      <c r="D18" s="484">
        <f t="shared" si="8"/>
        <v>1.498482507057107E-3</v>
      </c>
      <c r="E18" s="484">
        <f t="shared" si="9"/>
        <v>1.7608187142726555E-3</v>
      </c>
      <c r="F18" s="437">
        <f t="shared" si="10"/>
        <v>1.8428023611303179E-3</v>
      </c>
      <c r="G18" s="437">
        <f t="shared" ref="G18:G81" si="11">($S$20+$S$19*C18+$S$18*C18^2+$S$17*C18^3)</f>
        <v>1.847303799896694E-3</v>
      </c>
      <c r="H18" s="448"/>
      <c r="I18" s="448"/>
      <c r="M18" s="559"/>
      <c r="N18" s="533">
        <f t="shared" ref="N18:N20" si="12">J10</f>
        <v>1.2469597113426852E-3</v>
      </c>
      <c r="O18" s="534">
        <f t="shared" ref="O18:O20" si="13">I10</f>
        <v>6.2554112887954353E-3</v>
      </c>
      <c r="P18" s="534">
        <f t="shared" ref="P18:P20" si="14">H10</f>
        <v>3.5218615124788896E-2</v>
      </c>
      <c r="Q18" s="535">
        <f t="shared" ref="Q18:Q20" si="15">G10</f>
        <v>0.25205479452054796</v>
      </c>
      <c r="R18" s="560"/>
      <c r="S18" s="459">
        <v>1.5641859029693006E-2</v>
      </c>
      <c r="T18" s="560"/>
      <c r="U18" s="435">
        <f t="shared" ref="U18:U20" si="16">I4</f>
        <v>3.7168850960845874E-4</v>
      </c>
      <c r="W18" s="432">
        <v>11633.865190733344</v>
      </c>
      <c r="X18" s="432">
        <v>-14451.003027773535</v>
      </c>
      <c r="Y18" s="432">
        <v>3407.1979654340294</v>
      </c>
      <c r="Z18" s="432">
        <v>-805.93548074202351</v>
      </c>
    </row>
    <row r="19" spans="2:26" x14ac:dyDescent="0.2">
      <c r="B19" s="483">
        <f>_xll.qlCalendarAdvance(Calendar,B18,"1d","mf")</f>
        <v>41870</v>
      </c>
      <c r="C19" s="476">
        <f>_xll.qlDayCounterYearFraction(DayCounterON,SettlementDate,B19,,,Trigger)</f>
        <v>1.0958904109589041E-2</v>
      </c>
      <c r="D19" s="484">
        <f t="shared" si="8"/>
        <v>1.498482507057107E-3</v>
      </c>
      <c r="E19" s="484">
        <f t="shared" si="9"/>
        <v>1.7548565277450295E-3</v>
      </c>
      <c r="F19" s="437">
        <f t="shared" si="10"/>
        <v>1.8302437133260487E-3</v>
      </c>
      <c r="G19" s="437">
        <f t="shared" si="11"/>
        <v>1.8334229232060126E-3</v>
      </c>
      <c r="H19" s="448"/>
      <c r="I19" s="448"/>
      <c r="M19" s="559"/>
      <c r="N19" s="533">
        <f t="shared" si="12"/>
        <v>3.3133806421320245E-3</v>
      </c>
      <c r="O19" s="534">
        <f t="shared" si="13"/>
        <v>1.2823343624228932E-2</v>
      </c>
      <c r="P19" s="534">
        <f t="shared" si="14"/>
        <v>5.3619816100581717E-2</v>
      </c>
      <c r="Q19" s="535">
        <f t="shared" si="15"/>
        <v>0.24931506849315066</v>
      </c>
      <c r="R19" s="560"/>
      <c r="S19" s="459">
        <v>-5.3634421884362696E-3</v>
      </c>
      <c r="T19" s="560"/>
      <c r="U19" s="435">
        <f t="shared" si="16"/>
        <v>3.477923917809757E-4</v>
      </c>
      <c r="W19" s="432">
        <v>-2121.6168466883737</v>
      </c>
      <c r="X19" s="432">
        <v>2525.1681227334857</v>
      </c>
      <c r="Y19" s="432">
        <v>-453.81613765200916</v>
      </c>
      <c r="Z19" s="432">
        <v>91.454182864775134</v>
      </c>
    </row>
    <row r="20" spans="2:26" x14ac:dyDescent="0.2">
      <c r="B20" s="483">
        <f>_xll.qlCalendarAdvance(Calendar,B19,"1d","mf")</f>
        <v>41871</v>
      </c>
      <c r="C20" s="476">
        <f>_xll.qlDayCounterYearFraction(DayCounterON,SettlementDate,B20,,,Trigger)</f>
        <v>1.3698630136986301E-2</v>
      </c>
      <c r="D20" s="484">
        <f t="shared" si="8"/>
        <v>1.498482507057107E-3</v>
      </c>
      <c r="E20" s="484">
        <f t="shared" si="9"/>
        <v>1.7488943412174033E-3</v>
      </c>
      <c r="F20" s="437">
        <f t="shared" si="10"/>
        <v>1.8178435390659635E-3</v>
      </c>
      <c r="G20" s="437">
        <f t="shared" si="11"/>
        <v>1.8197714295832208E-3</v>
      </c>
      <c r="H20" s="448"/>
      <c r="I20" s="448"/>
      <c r="M20" s="559"/>
      <c r="N20" s="533">
        <f t="shared" si="12"/>
        <v>7.5235003463770865E-3</v>
      </c>
      <c r="O20" s="534">
        <f t="shared" si="13"/>
        <v>2.2995368668550047E-2</v>
      </c>
      <c r="P20" s="534">
        <f t="shared" si="14"/>
        <v>7.3890035653968844E-2</v>
      </c>
      <c r="Q20" s="535">
        <f t="shared" si="15"/>
        <v>0.25205479452054791</v>
      </c>
      <c r="R20" s="560"/>
      <c r="S20" s="459">
        <v>1.8903363173954008E-3</v>
      </c>
      <c r="T20" s="560"/>
      <c r="U20" s="435">
        <f t="shared" si="16"/>
        <v>3.5699552974515766E-4</v>
      </c>
      <c r="W20" s="432">
        <v>96.55353544424176</v>
      </c>
      <c r="X20" s="432">
        <v>-103.13978658271702</v>
      </c>
      <c r="Y20" s="432">
        <v>9.9746445223190303</v>
      </c>
      <c r="Z20" s="432">
        <v>-1.4115719313020878</v>
      </c>
    </row>
    <row r="21" spans="2:26" x14ac:dyDescent="0.2">
      <c r="B21" s="483">
        <f>_xll.qlCalendarAdvance(Calendar,B20,"1d","mf")</f>
        <v>41872</v>
      </c>
      <c r="C21" s="476">
        <f>_xll.qlDayCounterYearFraction(DayCounterON,SettlementDate,B21,,,Trigger)</f>
        <v>1.643835616438356E-2</v>
      </c>
      <c r="D21" s="484">
        <f t="shared" si="8"/>
        <v>1.498482507057107E-3</v>
      </c>
      <c r="E21" s="484">
        <f t="shared" si="9"/>
        <v>1.742932154689777E-3</v>
      </c>
      <c r="F21" s="437">
        <f t="shared" si="10"/>
        <v>1.8056018383500617E-3</v>
      </c>
      <c r="G21" s="437">
        <f t="shared" si="11"/>
        <v>1.8063479601263866E-3</v>
      </c>
      <c r="H21" s="448"/>
      <c r="I21" s="448"/>
    </row>
    <row r="22" spans="2:26" x14ac:dyDescent="0.2">
      <c r="B22" s="483">
        <f>_xll.qlCalendarAdvance(Calendar,B21,"1d","mf")</f>
        <v>41873</v>
      </c>
      <c r="C22" s="476">
        <f>_xll.qlDayCounterYearFraction(DayCounterON,SettlementDate,B22,,,Trigger)</f>
        <v>1.9178082191780823E-2</v>
      </c>
      <c r="D22" s="484">
        <f t="shared" si="8"/>
        <v>1.498482507057107E-3</v>
      </c>
      <c r="E22" s="484">
        <f t="shared" si="9"/>
        <v>1.736969968162151E-3</v>
      </c>
      <c r="F22" s="437">
        <f t="shared" si="10"/>
        <v>1.7935186111783439E-3</v>
      </c>
      <c r="G22" s="437">
        <f t="shared" si="11"/>
        <v>1.7931511559335772E-3</v>
      </c>
      <c r="H22" s="448"/>
      <c r="I22" s="448"/>
    </row>
    <row r="23" spans="2:26" x14ac:dyDescent="0.2">
      <c r="B23" s="483">
        <f>_xll.qlCalendarAdvance(Calendar,B22,"1d","mf")</f>
        <v>41876</v>
      </c>
      <c r="C23" s="476">
        <f>_xll.qlDayCounterYearFraction(DayCounterON,SettlementDate,B23,,,Trigger)</f>
        <v>2.7397260273972601E-2</v>
      </c>
      <c r="D23" s="484">
        <f t="shared" si="8"/>
        <v>1.498482507057107E-3</v>
      </c>
      <c r="E23" s="484">
        <f t="shared" si="9"/>
        <v>1.7190834085792726E-3</v>
      </c>
      <c r="F23" s="437">
        <f t="shared" si="10"/>
        <v>1.7582197709282909E-3</v>
      </c>
      <c r="G23" s="437">
        <f t="shared" si="11"/>
        <v>1.7549071459199749E-3</v>
      </c>
      <c r="H23" s="448"/>
      <c r="I23" s="448"/>
    </row>
    <row r="24" spans="2:26" x14ac:dyDescent="0.2">
      <c r="B24" s="483">
        <f>_xll.qlCalendarAdvance(Calendar,B23,"1d","mf")</f>
        <v>41877</v>
      </c>
      <c r="C24" s="476">
        <f>_xll.qlDayCounterYearFraction(DayCounterON,SettlementDate,B24,,,Trigger)</f>
        <v>3.0136986301369864E-2</v>
      </c>
      <c r="D24" s="484">
        <f t="shared" si="8"/>
        <v>1.498482507057107E-3</v>
      </c>
      <c r="E24" s="484">
        <f t="shared" si="9"/>
        <v>1.7131212220516463E-3</v>
      </c>
      <c r="F24" s="437">
        <f t="shared" si="10"/>
        <v>1.7467704379333072E-3</v>
      </c>
      <c r="G24" s="437">
        <f t="shared" si="11"/>
        <v>1.7426034137639414E-3</v>
      </c>
      <c r="H24" s="448"/>
      <c r="I24" s="448"/>
    </row>
    <row r="25" spans="2:26" x14ac:dyDescent="0.2">
      <c r="B25" s="483">
        <f>_xll.qlCalendarAdvance(Calendar,B24,"1d","mf")</f>
        <v>41878</v>
      </c>
      <c r="C25" s="476">
        <f>_xll.qlDayCounterYearFraction(DayCounterON,SettlementDate,B25,,,Trigger)</f>
        <v>3.287671232876712E-2</v>
      </c>
      <c r="D25" s="484">
        <f t="shared" si="8"/>
        <v>1.498482507057107E-3</v>
      </c>
      <c r="E25" s="484">
        <f t="shared" si="9"/>
        <v>1.7071590355240203E-3</v>
      </c>
      <c r="F25" s="437">
        <f t="shared" si="10"/>
        <v>1.7354795784825072E-3</v>
      </c>
      <c r="G25" s="437">
        <f t="shared" si="11"/>
        <v>1.730519552362271E-3</v>
      </c>
      <c r="H25" s="448"/>
      <c r="I25" s="448"/>
    </row>
    <row r="26" spans="2:26" x14ac:dyDescent="0.2">
      <c r="B26" s="483">
        <f>_xll.qlCalendarAdvance(Calendar,B25,"1d","mf")</f>
        <v>41879</v>
      </c>
      <c r="C26" s="476">
        <f>_xll.qlDayCounterYearFraction(DayCounterON,SettlementDate,B26,,,Trigger)</f>
        <v>3.5616438356164383E-2</v>
      </c>
      <c r="D26" s="484">
        <f t="shared" si="8"/>
        <v>1.498482507057107E-3</v>
      </c>
      <c r="E26" s="484">
        <f t="shared" si="9"/>
        <v>1.7011968489963941E-3</v>
      </c>
      <c r="F26" s="437">
        <f t="shared" si="10"/>
        <v>1.7243471925758908E-3</v>
      </c>
      <c r="G26" s="437">
        <f t="shared" si="11"/>
        <v>1.7186542028130311E-3</v>
      </c>
      <c r="H26" s="448"/>
      <c r="I26" s="448"/>
    </row>
    <row r="27" spans="2:26" x14ac:dyDescent="0.2">
      <c r="B27" s="483">
        <f>_xll.qlCalendarAdvance(Calendar,B26,"1d","mf")</f>
        <v>41880</v>
      </c>
      <c r="C27" s="476">
        <f>_xll.qlDayCounterYearFraction(DayCounterON,SettlementDate,B27,,,Trigger)</f>
        <v>3.8356164383561646E-2</v>
      </c>
      <c r="D27" s="484">
        <f t="shared" si="8"/>
        <v>1.498482507057107E-3</v>
      </c>
      <c r="E27" s="484">
        <f t="shared" si="9"/>
        <v>1.6952346624687679E-3</v>
      </c>
      <c r="F27" s="437">
        <f t="shared" si="10"/>
        <v>1.7133732802134577E-3</v>
      </c>
      <c r="G27" s="437">
        <f t="shared" si="11"/>
        <v>1.7070060062142896E-3</v>
      </c>
      <c r="H27" s="448"/>
      <c r="I27" s="448"/>
    </row>
    <row r="28" spans="2:26" x14ac:dyDescent="0.2">
      <c r="B28" s="483">
        <f>_xll.qlCalendarAdvance(Calendar,B27,"1d","mf")</f>
        <v>41883</v>
      </c>
      <c r="C28" s="476">
        <f>_xll.qlDayCounterYearFraction(DayCounterON,SettlementDate,B28,,,Trigger)</f>
        <v>4.6575342465753428E-2</v>
      </c>
      <c r="D28" s="484">
        <f t="shared" si="8"/>
        <v>1.498482507057107E-3</v>
      </c>
      <c r="E28" s="484">
        <f t="shared" si="9"/>
        <v>1.6773481028858896E-3</v>
      </c>
      <c r="F28" s="437">
        <f t="shared" si="10"/>
        <v>1.6814023843912608E-3</v>
      </c>
      <c r="G28" s="437">
        <f t="shared" si="11"/>
        <v>1.6733507451017298E-3</v>
      </c>
      <c r="H28" s="448"/>
      <c r="I28" s="448"/>
    </row>
    <row r="29" spans="2:26" x14ac:dyDescent="0.2">
      <c r="B29" s="483">
        <f>_xll.qlCalendarAdvance(Calendar,B28,"1d","mf")</f>
        <v>41884</v>
      </c>
      <c r="C29" s="476">
        <f>_xll.qlDayCounterYearFraction(DayCounterON,SettlementDate,B29,,,Trigger)</f>
        <v>4.9315068493150684E-2</v>
      </c>
      <c r="D29" s="484">
        <f t="shared" si="8"/>
        <v>1.498482507057107E-3</v>
      </c>
      <c r="E29" s="484">
        <f t="shared" si="9"/>
        <v>1.6713859163582634E-3</v>
      </c>
      <c r="F29" s="437">
        <f t="shared" si="10"/>
        <v>1.6710623662055625E-3</v>
      </c>
      <c r="G29" s="437">
        <f t="shared" si="11"/>
        <v>1.6625575712856571E-3</v>
      </c>
      <c r="H29" s="448"/>
      <c r="I29" s="448"/>
    </row>
    <row r="30" spans="2:26" x14ac:dyDescent="0.2">
      <c r="B30" s="483">
        <f>_xll.qlCalendarAdvance(Calendar,B29,"1d","mf")</f>
        <v>41885</v>
      </c>
      <c r="C30" s="476">
        <f>_xll.qlDayCounterYearFraction(DayCounterON,SettlementDate,B30,,,Trigger)</f>
        <v>5.2054794520547946E-2</v>
      </c>
      <c r="D30" s="484">
        <f t="shared" si="8"/>
        <v>1.498482507057107E-3</v>
      </c>
      <c r="E30" s="484">
        <f t="shared" si="9"/>
        <v>1.6654237298306372E-3</v>
      </c>
      <c r="F30" s="437">
        <f t="shared" si="10"/>
        <v>1.6608808215640475E-3</v>
      </c>
      <c r="G30" s="437">
        <f t="shared" si="11"/>
        <v>1.6519747559104207E-3</v>
      </c>
      <c r="H30" s="448"/>
      <c r="I30" s="448"/>
    </row>
    <row r="31" spans="2:26" x14ac:dyDescent="0.2">
      <c r="B31" s="483">
        <f>_xll.qlCalendarAdvance(Calendar,B30,"1d","mf")</f>
        <v>41886</v>
      </c>
      <c r="C31" s="476">
        <f>_xll.qlDayCounterYearFraction(DayCounterON,SettlementDate,B31,,,Trigger)</f>
        <v>5.4794520547945202E-2</v>
      </c>
      <c r="D31" s="484">
        <f t="shared" si="8"/>
        <v>1.498482507057107E-3</v>
      </c>
      <c r="E31" s="484">
        <f t="shared" si="9"/>
        <v>1.6594615433030112E-3</v>
      </c>
      <c r="F31" s="437">
        <f t="shared" si="10"/>
        <v>1.6508577504667163E-3</v>
      </c>
      <c r="G31" s="437">
        <f t="shared" si="11"/>
        <v>1.6416009400740878E-3</v>
      </c>
      <c r="H31" s="448"/>
      <c r="I31" s="448"/>
    </row>
    <row r="32" spans="2:26" x14ac:dyDescent="0.2">
      <c r="B32" s="483">
        <f>_xll.qlCalendarAdvance(Calendar,B31,"1d","mf")</f>
        <v>41887</v>
      </c>
      <c r="C32" s="476">
        <f>_xll.qlDayCounterYearFraction(DayCounterON,SettlementDate,B32,,,Trigger)</f>
        <v>5.7534246575342465E-2</v>
      </c>
      <c r="D32" s="484">
        <f t="shared" si="8"/>
        <v>1.498482507057107E-3</v>
      </c>
      <c r="E32" s="484">
        <f t="shared" si="9"/>
        <v>1.653499356775385E-3</v>
      </c>
      <c r="F32" s="437">
        <f t="shared" si="10"/>
        <v>1.6409931529135688E-3</v>
      </c>
      <c r="G32" s="437">
        <f t="shared" si="11"/>
        <v>1.6314347648747269E-3</v>
      </c>
      <c r="H32" s="448"/>
      <c r="I32" s="448"/>
    </row>
    <row r="33" spans="2:21" x14ac:dyDescent="0.2">
      <c r="B33" s="483">
        <f>_xll.qlCalendarAdvance(Calendar,B32,"1d","mf")</f>
        <v>41890</v>
      </c>
      <c r="C33" s="476">
        <f>_xll.qlDayCounterYearFraction(DayCounterON,SettlementDate,B33,,,Trigger)</f>
        <v>6.575342465753424E-2</v>
      </c>
      <c r="D33" s="484">
        <f t="shared" si="8"/>
        <v>1.498482507057107E-3</v>
      </c>
      <c r="E33" s="484">
        <f t="shared" si="9"/>
        <v>1.6356127971925065E-3</v>
      </c>
      <c r="F33" s="437">
        <f t="shared" si="10"/>
        <v>1.6123502015192275E-3</v>
      </c>
      <c r="G33" s="437">
        <f t="shared" si="11"/>
        <v>1.6021684940791478E-3</v>
      </c>
      <c r="H33" s="448"/>
      <c r="I33" s="448"/>
    </row>
    <row r="34" spans="2:21" x14ac:dyDescent="0.2">
      <c r="B34" s="483">
        <f>_xll.qlCalendarAdvance(Calendar,B33,"1d","mf")</f>
        <v>41891</v>
      </c>
      <c r="C34" s="476">
        <f>_xll.qlDayCounterYearFraction(DayCounterON,SettlementDate,B34,,,Trigger)</f>
        <v>6.8493150684931503E-2</v>
      </c>
      <c r="D34" s="484">
        <f t="shared" si="8"/>
        <v>1.498482507057107E-3</v>
      </c>
      <c r="E34" s="484">
        <f t="shared" si="9"/>
        <v>1.6296506106648805E-3</v>
      </c>
      <c r="F34" s="437">
        <f t="shared" si="10"/>
        <v>1.6031194981428146E-3</v>
      </c>
      <c r="G34" s="437">
        <f t="shared" si="11"/>
        <v>1.5928192924083485E-3</v>
      </c>
      <c r="H34" s="448"/>
      <c r="I34" s="448"/>
    </row>
    <row r="35" spans="2:21" x14ac:dyDescent="0.2">
      <c r="B35" s="483">
        <f>_xll.qlCalendarAdvance(Calendar,B34,"1d","mf")</f>
        <v>41892</v>
      </c>
      <c r="C35" s="476">
        <f>_xll.qlDayCounterYearFraction(DayCounterON,SettlementDate,B35,,,Trigger)</f>
        <v>7.1232876712328766E-2</v>
      </c>
      <c r="D35" s="484">
        <f t="shared" si="8"/>
        <v>1.498482507057107E-3</v>
      </c>
      <c r="E35" s="484">
        <f t="shared" si="9"/>
        <v>1.6236884241372543E-3</v>
      </c>
      <c r="F35" s="437">
        <f t="shared" si="10"/>
        <v>1.5940472683105848E-3</v>
      </c>
      <c r="G35" s="437">
        <f t="shared" si="11"/>
        <v>1.5836709368648584E-3</v>
      </c>
      <c r="H35" s="448"/>
      <c r="I35" s="448"/>
    </row>
    <row r="36" spans="2:21" x14ac:dyDescent="0.2">
      <c r="B36" s="483">
        <f>_xll.qlCalendarAdvance(Calendar,B35,"1d","mf")</f>
        <v>41893</v>
      </c>
      <c r="C36" s="476">
        <f>_xll.qlDayCounterYearFraction(DayCounterON,SettlementDate,B36,,,Trigger)</f>
        <v>7.3972602739726029E-2</v>
      </c>
      <c r="D36" s="484">
        <f t="shared" si="8"/>
        <v>1.498482507057107E-3</v>
      </c>
      <c r="E36" s="484">
        <f t="shared" si="9"/>
        <v>1.617726237609628E-3</v>
      </c>
      <c r="F36" s="437">
        <f t="shared" si="10"/>
        <v>1.5851335120225388E-3</v>
      </c>
      <c r="G36" s="437">
        <f t="shared" si="11"/>
        <v>1.5747220685467455E-3</v>
      </c>
      <c r="H36" s="448"/>
      <c r="I36" s="448"/>
    </row>
    <row r="37" spans="2:21" x14ac:dyDescent="0.2">
      <c r="B37" s="483">
        <f>_xll.qlCalendarAdvance(Calendar,B36,"1d","mf")</f>
        <v>41894</v>
      </c>
      <c r="C37" s="476">
        <f>_xll.qlDayCounterYearFraction(DayCounterON,SettlementDate,B37,,,Trigger)</f>
        <v>7.6712328767123292E-2</v>
      </c>
      <c r="D37" s="484">
        <f t="shared" si="8"/>
        <v>1.498482507057107E-3</v>
      </c>
      <c r="E37" s="484">
        <f t="shared" si="9"/>
        <v>1.611764051082002E-3</v>
      </c>
      <c r="F37" s="437">
        <f t="shared" si="10"/>
        <v>1.5763782292786766E-3</v>
      </c>
      <c r="G37" s="437">
        <f t="shared" si="11"/>
        <v>1.5659713285520772E-3</v>
      </c>
      <c r="H37" s="448"/>
      <c r="I37" s="448"/>
    </row>
    <row r="38" spans="2:21" x14ac:dyDescent="0.2">
      <c r="B38" s="483">
        <f>_xll.qlCalendarAdvance(Calendar,B37,"1d","mf")</f>
        <v>41897</v>
      </c>
      <c r="C38" s="476">
        <f>_xll.qlDayCounterYearFraction(DayCounterON,SettlementDate,B38,,,Trigger)</f>
        <v>8.4931506849315067E-2</v>
      </c>
      <c r="D38" s="484">
        <f t="shared" si="8"/>
        <v>1.498482507057107E-3</v>
      </c>
      <c r="E38" s="484">
        <f t="shared" si="9"/>
        <v>1.5938774914991236E-3</v>
      </c>
      <c r="F38" s="437">
        <f t="shared" si="10"/>
        <v>1.5510632223121913E-3</v>
      </c>
      <c r="G38" s="437">
        <f t="shared" si="11"/>
        <v>1.5408942894894169E-3</v>
      </c>
      <c r="H38" s="448"/>
      <c r="I38" s="448"/>
    </row>
    <row r="39" spans="2:21" x14ac:dyDescent="0.2">
      <c r="B39" s="483">
        <f>_xll.qlCalendarAdvance(Calendar,B38,"1d","mf")</f>
        <v>41898</v>
      </c>
      <c r="C39" s="476">
        <f>_xll.qlDayCounterYearFraction(DayCounterON,SettlementDate,B39,,,Trigger)</f>
        <v>8.7671232876712329E-2</v>
      </c>
      <c r="D39" s="484">
        <f t="shared" si="8"/>
        <v>1.498482507057107E-3</v>
      </c>
      <c r="E39" s="484">
        <f t="shared" si="9"/>
        <v>1.5879153049714973E-3</v>
      </c>
      <c r="F39" s="437">
        <f t="shared" si="10"/>
        <v>1.5429418337450634E-3</v>
      </c>
      <c r="G39" s="437">
        <f t="shared" si="11"/>
        <v>1.5329224737692037E-3</v>
      </c>
      <c r="H39" s="448"/>
      <c r="I39" s="448"/>
    </row>
    <row r="40" spans="2:21" x14ac:dyDescent="0.2">
      <c r="B40" s="483">
        <f>_xll.qlCalendarAdvance(Calendar,B39,"1d","mf")</f>
        <v>41899</v>
      </c>
      <c r="C40" s="476">
        <f>_xll.qlDayCounterYearFraction(DayCounterON,SettlementDate,B40,,,Trigger)</f>
        <v>9.0410958904109592E-2</v>
      </c>
      <c r="D40" s="484">
        <f t="shared" si="8"/>
        <v>1.498482507057107E-3</v>
      </c>
      <c r="E40" s="484">
        <f t="shared" si="9"/>
        <v>1.5819531184438713E-3</v>
      </c>
      <c r="F40" s="437">
        <f t="shared" si="10"/>
        <v>1.534978918722119E-3</v>
      </c>
      <c r="G40" s="437">
        <f t="shared" si="11"/>
        <v>1.5251419918627732E-3</v>
      </c>
      <c r="H40" s="448"/>
      <c r="I40" s="448"/>
    </row>
    <row r="41" spans="2:21" x14ac:dyDescent="0.2">
      <c r="B41" s="483">
        <f>_xll.qlCalendarAdvance(Calendar,B40,"1d","mf")</f>
        <v>41900</v>
      </c>
      <c r="C41" s="476">
        <f>_xll.qlDayCounterYearFraction(DayCounterON,SettlementDate,B41,,,Trigger)</f>
        <v>9.3150684931506855E-2</v>
      </c>
      <c r="D41" s="484">
        <f t="shared" si="8"/>
        <v>1.498482507057107E-3</v>
      </c>
      <c r="E41" s="484">
        <f t="shared" si="9"/>
        <v>1.5759909319162451E-3</v>
      </c>
      <c r="F41" s="437">
        <f t="shared" si="10"/>
        <v>1.5271744772433584E-3</v>
      </c>
      <c r="G41" s="437">
        <f t="shared" si="11"/>
        <v>1.5175514848681927E-3</v>
      </c>
      <c r="H41" s="448"/>
      <c r="I41" s="448"/>
    </row>
    <row r="42" spans="2:21" ht="12" thickBot="1" x14ac:dyDescent="0.25">
      <c r="B42" s="483">
        <f>_xll.qlCalendarAdvance(Calendar,B41,"1d","mf")</f>
        <v>41901</v>
      </c>
      <c r="C42" s="476">
        <f>_xll.qlDayCounterYearFraction(DayCounterON,SettlementDate,B42,,,Trigger)</f>
        <v>9.5890410958904104E-2</v>
      </c>
      <c r="D42" s="484">
        <f t="shared" si="8"/>
        <v>1.498482507057107E-3</v>
      </c>
      <c r="E42" s="484">
        <f t="shared" si="9"/>
        <v>1.5700287453886191E-3</v>
      </c>
      <c r="F42" s="437">
        <f t="shared" si="10"/>
        <v>1.5195285093087812E-3</v>
      </c>
      <c r="G42" s="437">
        <f t="shared" si="11"/>
        <v>1.5101495938835304E-3</v>
      </c>
      <c r="H42" s="448"/>
      <c r="I42" s="448"/>
    </row>
    <row r="43" spans="2:21" ht="19.5" customHeight="1" x14ac:dyDescent="0.2">
      <c r="B43" s="483">
        <f>_xll.qlCalendarAdvance(Calendar,B42,"1d","mf")</f>
        <v>41904</v>
      </c>
      <c r="C43" s="476">
        <f>_xll.qlDayCounterYearFraction(DayCounterON,SettlementDate,B43,,,Trigger)</f>
        <v>0.10410958904109589</v>
      </c>
      <c r="D43" s="484">
        <f t="shared" si="8"/>
        <v>1.498482507057107E-3</v>
      </c>
      <c r="E43" s="484">
        <f t="shared" si="9"/>
        <v>1.5521421858057406E-3</v>
      </c>
      <c r="F43" s="437">
        <f t="shared" si="10"/>
        <v>1.4975414467701515E-3</v>
      </c>
      <c r="G43" s="437">
        <f t="shared" si="11"/>
        <v>1.4890620279697266E-3</v>
      </c>
      <c r="I43" s="443" t="s">
        <v>168</v>
      </c>
      <c r="J43" s="444" t="s">
        <v>126</v>
      </c>
      <c r="K43" s="471" t="s">
        <v>127</v>
      </c>
      <c r="L43" s="472"/>
      <c r="M43" s="473"/>
      <c r="N43" s="443" t="s">
        <v>44</v>
      </c>
      <c r="O43" s="473"/>
      <c r="P43" s="473"/>
      <c r="Q43" s="473"/>
      <c r="R43" s="473" t="s">
        <v>157</v>
      </c>
      <c r="S43" s="473" t="s">
        <v>156</v>
      </c>
      <c r="T43" s="473" t="s">
        <v>155</v>
      </c>
      <c r="U43" s="473" t="s">
        <v>171</v>
      </c>
    </row>
    <row r="44" spans="2:21" x14ac:dyDescent="0.2">
      <c r="B44" s="483">
        <f>_xll.qlCalendarAdvance(Calendar,B43,"1d","mf")</f>
        <v>41905</v>
      </c>
      <c r="C44" s="476">
        <f>_xll.qlDayCounterYearFraction(DayCounterON,SettlementDate,B44,,,Trigger)</f>
        <v>0.10684931506849316</v>
      </c>
      <c r="D44" s="484">
        <f t="shared" si="8"/>
        <v>1.498482507057107E-3</v>
      </c>
      <c r="E44" s="484">
        <f t="shared" si="9"/>
        <v>1.5461799992781144E-3</v>
      </c>
      <c r="F44" s="437">
        <f t="shared" si="10"/>
        <v>1.4905293730123087E-3</v>
      </c>
      <c r="G44" s="437">
        <f t="shared" si="11"/>
        <v>1.4824010120054118E-3</v>
      </c>
      <c r="I44" s="526" t="s">
        <v>65</v>
      </c>
      <c r="J44" s="498">
        <f t="shared" ref="J44:J50" si="17">SettlementDate</f>
        <v>41866</v>
      </c>
      <c r="K44" s="499">
        <f>_xll.qlCalendarAdvance(Calendar,SettlementDate,I44,"Following")</f>
        <v>41869</v>
      </c>
      <c r="L44" s="500" t="str">
        <f>_xll.qlMakeDatedOIS(,J44,K44,OvernightIndex,0,,,,EvaluationDate)</f>
        <v>obj_003a6#0001</v>
      </c>
      <c r="M44" s="500" t="b">
        <f>_xll.qlInstrumentSetPricingEngine(L44,OisEngine)</f>
        <v>1</v>
      </c>
      <c r="N44" s="497">
        <f>_xll.qlOvernightIndexedSwapFairRate(L44,_xll.ohTrigger(InterestRatesTrigger))</f>
        <v>3.9999999632556182E-4</v>
      </c>
      <c r="O44" s="474">
        <f>_xll.qlDayCounterYearFraction(DayCounterOIS,J44,K44,,,Trigger)</f>
        <v>8.3333333333333332E-3</v>
      </c>
      <c r="P44" s="474">
        <f>_xll.qlDayCounterYearFraction(DayCounter3M,J44,K44,,,Trigger)</f>
        <v>8.3333333333333332E-3</v>
      </c>
      <c r="Q44" s="474">
        <f>_xll.qlDayCounterYearFraction(DayCounterON,J44,K44,,,Trigger)</f>
        <v>8.21917808219178E-3</v>
      </c>
      <c r="R44" s="474">
        <f t="shared" ref="R44:R50" si="18">$S$13*Q44</f>
        <v>1.2316294578551563E-5</v>
      </c>
      <c r="S44" s="474">
        <f t="shared" ref="S44:S50" si="19">$S$10*Q44+$S$9*Q44^2/2</f>
        <v>1.4545988992307627E-5</v>
      </c>
      <c r="T44" s="474">
        <f t="shared" ref="T44:T50" si="20">$S$5*Q44+$S$4*Q44^2/2+$S$3*Q44^3/3</f>
        <v>1.5304084095707955E-5</v>
      </c>
      <c r="U44" s="475">
        <f>$S$20*Q44+$S$19*Q44^2/2+$S$18*Q44^3/3+$S$17*Q44^4/4</f>
        <v>1.5358729918389095E-5</v>
      </c>
    </row>
    <row r="45" spans="2:21" x14ac:dyDescent="0.2">
      <c r="B45" s="483">
        <f>_xll.qlCalendarAdvance(Calendar,B44,"1d","mf")</f>
        <v>41906</v>
      </c>
      <c r="C45" s="476">
        <f>_xll.qlDayCounterYearFraction(DayCounterON,SettlementDate,B45,,,Trigger)</f>
        <v>0.1095890410958904</v>
      </c>
      <c r="D45" s="484">
        <f t="shared" si="8"/>
        <v>1.498482507057107E-3</v>
      </c>
      <c r="E45" s="484">
        <f t="shared" si="9"/>
        <v>1.5402178127504884E-3</v>
      </c>
      <c r="F45" s="437">
        <f t="shared" si="10"/>
        <v>1.48367577279865E-3</v>
      </c>
      <c r="G45" s="437">
        <f t="shared" si="11"/>
        <v>1.4759218175413532E-3</v>
      </c>
      <c r="I45" s="524" t="s">
        <v>66</v>
      </c>
      <c r="J45" s="434">
        <f t="shared" si="17"/>
        <v>41866</v>
      </c>
      <c r="K45" s="501">
        <f>_xll.qlCalendarAdvance(Calendar,SettlementDate,I45,"Following")</f>
        <v>41873</v>
      </c>
      <c r="L45" s="502" t="str">
        <f>_xll.qlMakeDatedOIS(,J45,K45,OvernightIndex,0,,,,EvaluationDate)</f>
        <v>obj_003a3#0001</v>
      </c>
      <c r="M45" s="502" t="b">
        <f>_xll.qlInstrumentSetPricingEngine(L45,OisEngine)</f>
        <v>1</v>
      </c>
      <c r="N45" s="436">
        <f>_xll.qlOvernightIndexedSwapFairRate(L45,_xll.ohTrigger(InterestRatesTrigger))</f>
        <v>3.5999999966205914E-4</v>
      </c>
      <c r="O45" s="476">
        <f>_xll.qlDayCounterYearFraction(DayCounterOIS,J45,K45,,,Trigger)</f>
        <v>1.9444444444444445E-2</v>
      </c>
      <c r="P45" s="476">
        <f>_xll.qlDayCounterYearFraction(DayCounter3M,J45,K45,,,Trigger)</f>
        <v>1.9444444444444445E-2</v>
      </c>
      <c r="Q45" s="476">
        <f>_xll.qlDayCounterYearFraction(DayCounterON,J45,K45,,,Trigger)</f>
        <v>1.9178082191780823E-2</v>
      </c>
      <c r="R45" s="476">
        <f t="shared" si="18"/>
        <v>2.8738020683286984E-5</v>
      </c>
      <c r="S45" s="476">
        <f t="shared" si="19"/>
        <v>3.3711954375512046E-5</v>
      </c>
      <c r="T45" s="476">
        <f t="shared" si="20"/>
        <v>3.5226814924150911E-5</v>
      </c>
      <c r="U45" s="477">
        <f t="shared" ref="U45:U50" si="21">$S$20*Q45+$S$19*Q45^2/2+$S$18*Q45^3/3+$S$17*Q45^4/4</f>
        <v>3.5303096446540977E-5</v>
      </c>
    </row>
    <row r="46" spans="2:21" x14ac:dyDescent="0.2">
      <c r="B46" s="483">
        <f>_xll.qlCalendarAdvance(Calendar,B45,"1d","mf")</f>
        <v>41907</v>
      </c>
      <c r="C46" s="476">
        <f>_xll.qlDayCounterYearFraction(DayCounterON,SettlementDate,B46,,,Trigger)</f>
        <v>0.11232876712328767</v>
      </c>
      <c r="D46" s="484">
        <f t="shared" si="8"/>
        <v>1.498482507057107E-3</v>
      </c>
      <c r="E46" s="484">
        <f t="shared" si="9"/>
        <v>1.5342556262228622E-3</v>
      </c>
      <c r="F46" s="437">
        <f t="shared" si="10"/>
        <v>1.4769806461291746E-3</v>
      </c>
      <c r="G46" s="437">
        <f t="shared" si="11"/>
        <v>1.4696230856756178E-3</v>
      </c>
      <c r="I46" s="524" t="s">
        <v>67</v>
      </c>
      <c r="J46" s="434">
        <f t="shared" si="17"/>
        <v>41866</v>
      </c>
      <c r="K46" s="501">
        <f>_xll.qlCalendarAdvance(Calendar,SettlementDate,I46,"Following")</f>
        <v>41880</v>
      </c>
      <c r="L46" s="502" t="str">
        <f>_xll.qlMakeDatedOIS(,J46,K46,OvernightIndex,0,,,,EvaluationDate)</f>
        <v>obj_00399#0001</v>
      </c>
      <c r="M46" s="502" t="b">
        <f>_xll.qlInstrumentSetPricingEngine(L46,OisEngine)</f>
        <v>1</v>
      </c>
      <c r="N46" s="436">
        <f>_xll.qlOvernightIndexedSwapFairRate(L46,_xll.ohTrigger(InterestRatesTrigger))</f>
        <v>3.699999999984272E-4</v>
      </c>
      <c r="O46" s="476">
        <f>_xll.qlDayCounterYearFraction(DayCounterOIS,J46,K46,,,Trigger)</f>
        <v>3.888888888888889E-2</v>
      </c>
      <c r="P46" s="476">
        <f>_xll.qlDayCounterYearFraction(DayCounter3M,J46,K46,,,Trigger)</f>
        <v>3.888888888888889E-2</v>
      </c>
      <c r="Q46" s="476">
        <f>_xll.qlDayCounterYearFraction(DayCounterON,J46,K46,,,Trigger)</f>
        <v>3.8356164383561646E-2</v>
      </c>
      <c r="R46" s="476">
        <f t="shared" si="18"/>
        <v>5.7476041366573968E-5</v>
      </c>
      <c r="S46" s="476">
        <f t="shared" si="19"/>
        <v>6.6623505628137303E-5</v>
      </c>
      <c r="T46" s="476">
        <f t="shared" si="20"/>
        <v>6.884213524670815E-5</v>
      </c>
      <c r="U46" s="477">
        <f t="shared" si="21"/>
        <v>6.8848975919094047E-5</v>
      </c>
    </row>
    <row r="47" spans="2:21" x14ac:dyDescent="0.2">
      <c r="B47" s="483">
        <f>_xll.qlCalendarAdvance(Calendar,B46,"1d","mf")</f>
        <v>41908</v>
      </c>
      <c r="C47" s="476">
        <f>_xll.qlDayCounterYearFraction(DayCounterON,SettlementDate,B47,,,Trigger)</f>
        <v>0.11506849315068493</v>
      </c>
      <c r="D47" s="484">
        <f t="shared" si="8"/>
        <v>1.498482507057107E-3</v>
      </c>
      <c r="E47" s="484">
        <f t="shared" si="9"/>
        <v>1.528293439695236E-3</v>
      </c>
      <c r="F47" s="437">
        <f t="shared" si="10"/>
        <v>1.4704439930038828E-3</v>
      </c>
      <c r="G47" s="437">
        <f t="shared" si="11"/>
        <v>1.4635034575062739E-3</v>
      </c>
      <c r="I47" s="524" t="s">
        <v>68</v>
      </c>
      <c r="J47" s="434">
        <f t="shared" si="17"/>
        <v>41866</v>
      </c>
      <c r="K47" s="501">
        <f>_xll.qlCalendarAdvance(Calendar,SettlementDate,I47,"Following")</f>
        <v>41887</v>
      </c>
      <c r="L47" s="502" t="str">
        <f>_xll.qlMakeDatedOIS(,J47,K47,OvernightIndex,0,,,,EvaluationDate)</f>
        <v>obj_003ad#0001</v>
      </c>
      <c r="M47" s="502" t="b">
        <f>_xll.qlInstrumentSetPricingEngine(L47,OisEngine)</f>
        <v>1</v>
      </c>
      <c r="N47" s="436">
        <f>_xll.qlOvernightIndexedSwapFairRate(L47,_xll.ohTrigger(InterestRatesTrigger))</f>
        <v>6.000000011001966E-4</v>
      </c>
      <c r="O47" s="476">
        <f>_xll.qlDayCounterYearFraction(DayCounterOIS,J47,K47,,,Trigger)</f>
        <v>5.8333333333333334E-2</v>
      </c>
      <c r="P47" s="476">
        <f>_xll.qlDayCounterYearFraction(DayCounter3M,J47,K47,,,Trigger)</f>
        <v>5.8333333333333334E-2</v>
      </c>
      <c r="Q47" s="476">
        <f>_xll.qlDayCounterYearFraction(DayCounterON,J47,K47,,,Trigger)</f>
        <v>5.7534246575342465E-2</v>
      </c>
      <c r="R47" s="476">
        <f t="shared" si="18"/>
        <v>8.6214062049860948E-5</v>
      </c>
      <c r="S47" s="476">
        <f t="shared" si="19"/>
        <v>9.873465375787575E-5</v>
      </c>
      <c r="T47" s="476">
        <f t="shared" si="20"/>
        <v>1.0099488268179493E-4</v>
      </c>
      <c r="U47" s="477">
        <f t="shared" si="21"/>
        <v>1.0084489518595488E-4</v>
      </c>
    </row>
    <row r="48" spans="2:21" x14ac:dyDescent="0.2">
      <c r="B48" s="483">
        <f>_xll.qlCalendarAdvance(Calendar,B47,"1d","mf")</f>
        <v>41911</v>
      </c>
      <c r="C48" s="476">
        <f>_xll.qlDayCounterYearFraction(DayCounterON,SettlementDate,B48,,,Trigger)</f>
        <v>0.12328767123287671</v>
      </c>
      <c r="D48" s="484">
        <f t="shared" si="8"/>
        <v>1.498482507057107E-3</v>
      </c>
      <c r="E48" s="484">
        <f t="shared" si="9"/>
        <v>1.5104068801123577E-3</v>
      </c>
      <c r="F48" s="437">
        <f t="shared" si="10"/>
        <v>1.4517848748931089E-3</v>
      </c>
      <c r="G48" s="437">
        <f t="shared" si="11"/>
        <v>1.4462056061572647E-3</v>
      </c>
      <c r="I48" s="524" t="s">
        <v>61</v>
      </c>
      <c r="J48" s="434">
        <f t="shared" si="17"/>
        <v>41866</v>
      </c>
      <c r="K48" s="501">
        <f>_xll.qlCalendarAdvance(Calendar,SettlementDate,I48,"mf",TRUE)</f>
        <v>41897</v>
      </c>
      <c r="L48" s="502" t="str">
        <f>_xll.qlMakeDatedOIS(,J48,K48,OvernightIndex,0,,,,EvaluationDate)</f>
        <v>obj_003a8#0001</v>
      </c>
      <c r="M48" s="502" t="b">
        <f>_xll.qlInstrumentSetPricingEngine(L48,OisEngine)</f>
        <v>1</v>
      </c>
      <c r="N48" s="436">
        <f>_xll.qlOvernightIndexedSwapFairRate(L48,_xll.ohTrigger(InterestRatesTrigger))</f>
        <v>5.5999999717135367E-4</v>
      </c>
      <c r="O48" s="476">
        <f>_xll.qlDayCounterYearFraction(DayCounterOIS,J48,K48,,,Trigger)</f>
        <v>8.611111111111111E-2</v>
      </c>
      <c r="P48" s="476">
        <f>_xll.qlDayCounterYearFraction(DayCounter3M,J48,K48,,,Trigger)</f>
        <v>8.611111111111111E-2</v>
      </c>
      <c r="Q48" s="476">
        <f>_xll.qlDayCounterYearFraction(DayCounterON,J48,K48,,,Trigger)</f>
        <v>8.4931506849315067E-2</v>
      </c>
      <c r="R48" s="476">
        <f t="shared" si="18"/>
        <v>1.272683773116995E-4</v>
      </c>
      <c r="S48" s="476">
        <f t="shared" si="19"/>
        <v>1.4321926811780054E-4</v>
      </c>
      <c r="T48" s="476">
        <f t="shared" si="20"/>
        <v>1.4468550116795065E-4</v>
      </c>
      <c r="U48" s="477">
        <f t="shared" si="21"/>
        <v>1.4425591254587988E-4</v>
      </c>
    </row>
    <row r="49" spans="2:21" x14ac:dyDescent="0.2">
      <c r="B49" s="483">
        <f>_xll.qlCalendarAdvance(Calendar,B48,"1d","mf")</f>
        <v>41912</v>
      </c>
      <c r="C49" s="476">
        <f>_xll.qlDayCounterYearFraction(DayCounterON,SettlementDate,B49,,,Trigger)</f>
        <v>0.12602739726027398</v>
      </c>
      <c r="D49" s="484">
        <f t="shared" ref="D49:D83" si="22">$S$13</f>
        <v>1.498482507057107E-3</v>
      </c>
      <c r="E49" s="484">
        <f t="shared" ref="E49:E83" si="23">$S$10+$S$9*C49</f>
        <v>1.5044446935847315E-3</v>
      </c>
      <c r="F49" s="437">
        <f t="shared" ref="F49:F83" si="24">($S$5+$S$4*C49+$S$3*C49^2)</f>
        <v>1.4458821159445516E-3</v>
      </c>
      <c r="G49" s="437">
        <f t="shared" si="11"/>
        <v>1.4407888037541615E-3</v>
      </c>
      <c r="I49" s="524" t="s">
        <v>69</v>
      </c>
      <c r="J49" s="434">
        <f t="shared" si="17"/>
        <v>41866</v>
      </c>
      <c r="K49" s="501">
        <f>_xll.qlCalendarAdvance(Calendar,SettlementDate,I49,"mf",TRUE)</f>
        <v>41927</v>
      </c>
      <c r="L49" s="502" t="str">
        <f>_xll.qlMakeDatedOIS(,J49,K49,OvernightIndex,0,,,,EvaluationDate)</f>
        <v>obj_0039f#0001</v>
      </c>
      <c r="M49" s="502" t="b">
        <f>_xll.qlInstrumentSetPricingEngine(L49,OisEngine)</f>
        <v>1</v>
      </c>
      <c r="N49" s="436">
        <f>_xll.qlOvernightIndexedSwapFairRate(L49,_xll.ohTrigger(InterestRatesTrigger))</f>
        <v>5.4739076380109347E-4</v>
      </c>
      <c r="O49" s="476">
        <f>_xll.qlDayCounterYearFraction(DayCounterOIS,J49,K49,,,Trigger)</f>
        <v>0.16944444444444445</v>
      </c>
      <c r="P49" s="476">
        <f>_xll.qlDayCounterYearFraction(DayCounter3M,J49,K49,,,Trigger)</f>
        <v>0.16944444444444445</v>
      </c>
      <c r="Q49" s="476">
        <f>_xll.qlDayCounterYearFraction(DayCounterON,J49,K49,,,Trigger)</f>
        <v>0.16712328767123288</v>
      </c>
      <c r="R49" s="476">
        <f t="shared" si="18"/>
        <v>2.5043132309721518E-4</v>
      </c>
      <c r="S49" s="476">
        <f t="shared" si="19"/>
        <v>2.6687225663161405E-4</v>
      </c>
      <c r="T49" s="476">
        <f t="shared" si="20"/>
        <v>2.6401357299135641E-4</v>
      </c>
      <c r="U49" s="477">
        <f t="shared" si="21"/>
        <v>2.6320800007381191E-4</v>
      </c>
    </row>
    <row r="50" spans="2:21" ht="12" thickBot="1" x14ac:dyDescent="0.25">
      <c r="B50" s="483">
        <f>_xll.qlCalendarAdvance(Calendar,B49,"1d","mf")</f>
        <v>41913</v>
      </c>
      <c r="C50" s="476">
        <f>_xll.qlDayCounterYearFraction(DayCounterON,SettlementDate,B50,,,Trigger)</f>
        <v>0.12876712328767123</v>
      </c>
      <c r="D50" s="484">
        <f t="shared" si="22"/>
        <v>1.498482507057107E-3</v>
      </c>
      <c r="E50" s="484">
        <f t="shared" si="23"/>
        <v>1.4984825070571053E-3</v>
      </c>
      <c r="F50" s="437">
        <f t="shared" si="24"/>
        <v>1.4401378305401778E-3</v>
      </c>
      <c r="G50" s="437">
        <f t="shared" si="11"/>
        <v>1.4355443105377875E-3</v>
      </c>
      <c r="I50" s="525" t="s">
        <v>62</v>
      </c>
      <c r="J50" s="439">
        <f t="shared" si="17"/>
        <v>41866</v>
      </c>
      <c r="K50" s="503">
        <f>_xll.qlCalendarAdvance(Calendar,SettlementDate,I50,"mf",TRUE)</f>
        <v>41960</v>
      </c>
      <c r="L50" s="504" t="str">
        <f>_xll.qlMakeDatedOIS(,J50,K50,OvernightIndex,0,,,,EvaluationDate)</f>
        <v>obj_003ae#0001</v>
      </c>
      <c r="M50" s="504" t="b">
        <f>_xll.qlInstrumentSetPricingEngine(L50,OisEngine)</f>
        <v>1</v>
      </c>
      <c r="N50" s="441">
        <f>_xll.qlOvernightIndexedSwapFairRate(L50,_xll.ohTrigger(InterestRatesTrigger))</f>
        <v>5.1204465057381218E-4</v>
      </c>
      <c r="O50" s="478">
        <f>_xll.qlDayCounterYearFraction(DayCounterOIS,J50,K50,,,Trigger)</f>
        <v>0.26111111111111113</v>
      </c>
      <c r="P50" s="478">
        <f>_xll.qlDayCounterYearFraction(DayCounter3M,J50,K50,,,Trigger)</f>
        <v>0.26111111111111113</v>
      </c>
      <c r="Q50" s="478">
        <f>_xll.qlDayCounterYearFraction(DayCounterON,J50,K50,,,Trigger)</f>
        <v>0.25753424657534246</v>
      </c>
      <c r="R50" s="478">
        <f t="shared" si="18"/>
        <v>3.8591056346128235E-4</v>
      </c>
      <c r="S50" s="478">
        <f t="shared" si="19"/>
        <v>3.8591056346128192E-4</v>
      </c>
      <c r="T50" s="478">
        <f t="shared" si="20"/>
        <v>3.8591056346128305E-4</v>
      </c>
      <c r="U50" s="479">
        <f t="shared" si="21"/>
        <v>3.8591056346129091E-4</v>
      </c>
    </row>
    <row r="51" spans="2:21" x14ac:dyDescent="0.2">
      <c r="B51" s="483">
        <f>_xll.qlCalendarAdvance(Calendar,B50,"1d","mf")</f>
        <v>41914</v>
      </c>
      <c r="C51" s="476">
        <f>_xll.qlDayCounterYearFraction(DayCounterON,SettlementDate,B51,,,Trigger)</f>
        <v>0.13150684931506848</v>
      </c>
      <c r="D51" s="484">
        <f t="shared" si="22"/>
        <v>1.498482507057107E-3</v>
      </c>
      <c r="E51" s="484">
        <f t="shared" si="23"/>
        <v>1.4925203205294793E-3</v>
      </c>
      <c r="F51" s="437">
        <f t="shared" si="24"/>
        <v>1.4345520186799876E-3</v>
      </c>
      <c r="G51" s="437">
        <f t="shared" si="11"/>
        <v>1.4304707676062102E-3</v>
      </c>
    </row>
    <row r="52" spans="2:21" ht="12" thickBot="1" x14ac:dyDescent="0.25">
      <c r="B52" s="483">
        <f>_xll.qlCalendarAdvance(Calendar,B51,"1d","mf")</f>
        <v>41915</v>
      </c>
      <c r="C52" s="476">
        <f>_xll.qlDayCounterYearFraction(DayCounterON,SettlementDate,B52,,,Trigger)</f>
        <v>0.13424657534246576</v>
      </c>
      <c r="D52" s="484">
        <f t="shared" si="22"/>
        <v>1.498482507057107E-3</v>
      </c>
      <c r="E52" s="484">
        <f t="shared" si="23"/>
        <v>1.486558134001853E-3</v>
      </c>
      <c r="F52" s="437">
        <f t="shared" si="24"/>
        <v>1.429124680363981E-3</v>
      </c>
      <c r="G52" s="437">
        <f t="shared" si="11"/>
        <v>1.425566816057497E-3</v>
      </c>
    </row>
    <row r="53" spans="2:21" ht="12" thickBot="1" x14ac:dyDescent="0.25">
      <c r="B53" s="483">
        <f>_xll.qlCalendarAdvance(Calendar,B52,"1d","mf")</f>
        <v>41918</v>
      </c>
      <c r="C53" s="476">
        <f>_xll.qlDayCounterYearFraction(DayCounterON,SettlementDate,B53,,,Trigger)</f>
        <v>0.14246575342465753</v>
      </c>
      <c r="D53" s="484">
        <f t="shared" si="22"/>
        <v>1.498482507057107E-3</v>
      </c>
      <c r="E53" s="484">
        <f t="shared" si="23"/>
        <v>1.4686715744189746E-3</v>
      </c>
      <c r="F53" s="437">
        <f t="shared" si="24"/>
        <v>1.413793506681063E-3</v>
      </c>
      <c r="G53" s="437">
        <f t="shared" si="11"/>
        <v>1.4118589206892208E-3</v>
      </c>
      <c r="N53" s="520" t="s">
        <v>169</v>
      </c>
      <c r="O53" s="521"/>
      <c r="P53" s="522"/>
      <c r="Q53" s="522"/>
    </row>
    <row r="54" spans="2:21" ht="12" thickBot="1" x14ac:dyDescent="0.25">
      <c r="B54" s="483">
        <f>_xll.qlCalendarAdvance(Calendar,B53,"1d","mf")</f>
        <v>41919</v>
      </c>
      <c r="C54" s="476">
        <f>_xll.qlDayCounterYearFraction(DayCounterON,SettlementDate,B54,,,Trigger)</f>
        <v>0.14520547945205478</v>
      </c>
      <c r="D54" s="484">
        <f t="shared" si="22"/>
        <v>1.498482507057107E-3</v>
      </c>
      <c r="E54" s="484">
        <f t="shared" si="23"/>
        <v>1.4627093878913486E-3</v>
      </c>
      <c r="F54" s="437">
        <f t="shared" si="24"/>
        <v>1.4090000625417909E-3</v>
      </c>
      <c r="G54" s="437">
        <f t="shared" si="11"/>
        <v>1.4076197456526413E-3</v>
      </c>
      <c r="I54" s="505" t="s">
        <v>168</v>
      </c>
      <c r="J54" s="506" t="s">
        <v>126</v>
      </c>
      <c r="K54" s="507" t="s">
        <v>127</v>
      </c>
      <c r="N54" s="508" t="s">
        <v>157</v>
      </c>
      <c r="O54" s="508" t="s">
        <v>156</v>
      </c>
      <c r="P54" s="508" t="s">
        <v>155</v>
      </c>
      <c r="Q54" s="508" t="s">
        <v>171</v>
      </c>
    </row>
    <row r="55" spans="2:21" x14ac:dyDescent="0.2">
      <c r="B55" s="483">
        <f>_xll.qlCalendarAdvance(Calendar,B54,"1d","mf")</f>
        <v>41920</v>
      </c>
      <c r="C55" s="476">
        <f>_xll.qlDayCounterYearFraction(DayCounterON,SettlementDate,B55,,,Trigger)</f>
        <v>0.14794520547945206</v>
      </c>
      <c r="D55" s="484">
        <f t="shared" si="22"/>
        <v>1.498482507057107E-3</v>
      </c>
      <c r="E55" s="484">
        <f t="shared" si="23"/>
        <v>1.4567472013637223E-3</v>
      </c>
      <c r="F55" s="437">
        <f t="shared" si="24"/>
        <v>1.4043650919467023E-3</v>
      </c>
      <c r="G55" s="437">
        <f t="shared" si="11"/>
        <v>1.4035433674892649E-3</v>
      </c>
      <c r="I55" s="523" t="s">
        <v>65</v>
      </c>
      <c r="J55" s="515">
        <f t="shared" ref="J55:J61" si="25">SettlementDate</f>
        <v>41866</v>
      </c>
      <c r="K55" s="516">
        <f>_xll.qlCalendarAdvance(Calendar,SettlementDate,I55,"Following")</f>
        <v>41869</v>
      </c>
      <c r="N55" s="509">
        <f>($N44*$O44+R44)/$P44</f>
        <v>1.8779553457517494E-3</v>
      </c>
      <c r="O55" s="509">
        <f>($N44*$O44+S44)/$P44</f>
        <v>2.1455186754024773E-3</v>
      </c>
      <c r="P55" s="509">
        <f>($N44*$O44+T44)/$P44</f>
        <v>2.2364900878105165E-3</v>
      </c>
      <c r="Q55" s="510">
        <f>($N44*$O44+U44)/$P44</f>
        <v>2.2430475865322531E-3</v>
      </c>
    </row>
    <row r="56" spans="2:21" x14ac:dyDescent="0.2">
      <c r="B56" s="483">
        <f>_xll.qlCalendarAdvance(Calendar,B55,"1d","mf")</f>
        <v>41921</v>
      </c>
      <c r="C56" s="476">
        <f>_xll.qlDayCounterYearFraction(DayCounterON,SettlementDate,B56,,,Trigger)</f>
        <v>0.15068493150684931</v>
      </c>
      <c r="D56" s="484">
        <f t="shared" si="22"/>
        <v>1.498482507057107E-3</v>
      </c>
      <c r="E56" s="484">
        <f t="shared" si="23"/>
        <v>1.4507850148360963E-3</v>
      </c>
      <c r="F56" s="437">
        <f t="shared" si="24"/>
        <v>1.3998885948957975E-3</v>
      </c>
      <c r="G56" s="437">
        <f t="shared" si="11"/>
        <v>1.3996284272971579E-3</v>
      </c>
      <c r="I56" s="524" t="s">
        <v>66</v>
      </c>
      <c r="J56" s="434">
        <f t="shared" si="25"/>
        <v>41866</v>
      </c>
      <c r="K56" s="501">
        <f>_xll.qlCalendarAdvance(Calendar,SettlementDate,I56,"Following")</f>
        <v>41873</v>
      </c>
      <c r="N56" s="511">
        <f t="shared" ref="N56:P61" si="26">($N45*$O45+R45)/$P45</f>
        <v>1.8379553490882466E-3</v>
      </c>
      <c r="O56" s="511">
        <f t="shared" si="26"/>
        <v>2.0937576532598216E-3</v>
      </c>
      <c r="P56" s="511">
        <f t="shared" si="26"/>
        <v>2.1716647671898202E-3</v>
      </c>
      <c r="Q56" s="512">
        <f t="shared" ref="Q56:Q61" si="27">($N45*$O45+U45)/$P45</f>
        <v>2.1755878169127381E-3</v>
      </c>
    </row>
    <row r="57" spans="2:21" x14ac:dyDescent="0.2">
      <c r="B57" s="483">
        <f>_xll.qlCalendarAdvance(Calendar,B56,"1d","mf")</f>
        <v>41922</v>
      </c>
      <c r="C57" s="476">
        <f>_xll.qlDayCounterYearFraction(DayCounterON,SettlementDate,B57,,,Trigger)</f>
        <v>0.15342465753424658</v>
      </c>
      <c r="D57" s="484">
        <f t="shared" si="22"/>
        <v>1.498482507057107E-3</v>
      </c>
      <c r="E57" s="484">
        <f t="shared" si="23"/>
        <v>1.4448228283084701E-3</v>
      </c>
      <c r="F57" s="437">
        <f t="shared" si="24"/>
        <v>1.3955705713890763E-3</v>
      </c>
      <c r="G57" s="437">
        <f t="shared" si="11"/>
        <v>1.3958735661743886E-3</v>
      </c>
      <c r="I57" s="524" t="s">
        <v>67</v>
      </c>
      <c r="J57" s="434">
        <f t="shared" si="25"/>
        <v>41866</v>
      </c>
      <c r="K57" s="501">
        <f>_xll.qlCalendarAdvance(Calendar,SettlementDate,I57,"Following")</f>
        <v>41880</v>
      </c>
      <c r="N57" s="511">
        <f t="shared" si="26"/>
        <v>1.847955349424615E-3</v>
      </c>
      <c r="O57" s="511">
        <f t="shared" si="26"/>
        <v>2.0831758590076719E-3</v>
      </c>
      <c r="P57" s="511">
        <f t="shared" si="26"/>
        <v>2.1402263349137797E-3</v>
      </c>
      <c r="Q57" s="512">
        <f t="shared" si="27"/>
        <v>2.1404022379179883E-3</v>
      </c>
    </row>
    <row r="58" spans="2:21" x14ac:dyDescent="0.2">
      <c r="B58" s="483">
        <f>_xll.qlCalendarAdvance(Calendar,B57,"1d","mf")</f>
        <v>41925</v>
      </c>
      <c r="C58" s="476">
        <f>_xll.qlDayCounterYearFraction(DayCounterON,SettlementDate,B58,,,Trigger)</f>
        <v>0.16164383561643836</v>
      </c>
      <c r="D58" s="484">
        <f t="shared" si="22"/>
        <v>1.498482507057107E-3</v>
      </c>
      <c r="E58" s="484">
        <f t="shared" si="23"/>
        <v>1.4269362687255917E-3</v>
      </c>
      <c r="F58" s="437">
        <f t="shared" si="24"/>
        <v>1.3835673421340139E-3</v>
      </c>
      <c r="G58" s="437">
        <f t="shared" si="11"/>
        <v>1.385555868202783E-3</v>
      </c>
      <c r="I58" s="524" t="s">
        <v>68</v>
      </c>
      <c r="J58" s="434">
        <f t="shared" si="25"/>
        <v>41866</v>
      </c>
      <c r="K58" s="501">
        <f>_xll.qlCalendarAdvance(Calendar,SettlementDate,I58,"Following")</f>
        <v>41887</v>
      </c>
      <c r="N58" s="511">
        <f t="shared" si="26"/>
        <v>2.0779553505263842E-3</v>
      </c>
      <c r="O58" s="511">
        <f t="shared" si="26"/>
        <v>2.2925940655209236E-3</v>
      </c>
      <c r="P58" s="511">
        <f t="shared" si="26"/>
        <v>2.3313408470738237E-3</v>
      </c>
      <c r="Q58" s="512">
        <f t="shared" si="27"/>
        <v>2.3287696328594229E-3</v>
      </c>
    </row>
    <row r="59" spans="2:21" x14ac:dyDescent="0.2">
      <c r="B59" s="483">
        <f>_xll.qlCalendarAdvance(Calendar,B58,"1d","mf")</f>
        <v>41926</v>
      </c>
      <c r="C59" s="476">
        <f>_xll.qlDayCounterYearFraction(DayCounterON,SettlementDate,B59,,,Trigger)</f>
        <v>0.16438356164383561</v>
      </c>
      <c r="D59" s="484">
        <f t="shared" si="22"/>
        <v>1.498482507057107E-3</v>
      </c>
      <c r="E59" s="484">
        <f t="shared" si="23"/>
        <v>1.4209740821979656E-3</v>
      </c>
      <c r="F59" s="437">
        <f t="shared" si="24"/>
        <v>1.3798832128040272E-3</v>
      </c>
      <c r="G59" s="437">
        <f t="shared" si="11"/>
        <v>1.3824277343380403E-3</v>
      </c>
      <c r="I59" s="524" t="s">
        <v>61</v>
      </c>
      <c r="J59" s="434">
        <f t="shared" si="25"/>
        <v>41866</v>
      </c>
      <c r="K59" s="501">
        <f>_xll.qlCalendarAdvance(Calendar,SettlementDate,I59,"mf",TRUE)</f>
        <v>41897</v>
      </c>
      <c r="N59" s="511">
        <f t="shared" si="26"/>
        <v>2.0379553465975416E-3</v>
      </c>
      <c r="O59" s="511">
        <f t="shared" si="26"/>
        <v>2.2231914978941988E-3</v>
      </c>
      <c r="P59" s="511">
        <f t="shared" si="26"/>
        <v>2.2402187204120707E-3</v>
      </c>
      <c r="Q59" s="512">
        <f t="shared" si="27"/>
        <v>2.2352299493170556E-3</v>
      </c>
    </row>
    <row r="60" spans="2:21" x14ac:dyDescent="0.2">
      <c r="B60" s="483">
        <f>_xll.qlCalendarAdvance(Calendar,B59,"1d","mf")</f>
        <v>41927</v>
      </c>
      <c r="C60" s="476">
        <f>_xll.qlDayCounterYearFraction(DayCounterON,SettlementDate,B60,,,Trigger)</f>
        <v>0.16712328767123288</v>
      </c>
      <c r="D60" s="484">
        <f t="shared" si="22"/>
        <v>1.498482507057107E-3</v>
      </c>
      <c r="E60" s="484">
        <f t="shared" si="23"/>
        <v>1.4150118956703394E-3</v>
      </c>
      <c r="F60" s="437">
        <f t="shared" si="24"/>
        <v>1.3763575570182236E-3</v>
      </c>
      <c r="G60" s="437">
        <f t="shared" si="11"/>
        <v>1.3794528850329733E-3</v>
      </c>
      <c r="I60" s="524" t="s">
        <v>69</v>
      </c>
      <c r="J60" s="434">
        <f t="shared" si="25"/>
        <v>41866</v>
      </c>
      <c r="K60" s="501">
        <f>_xll.qlCalendarAdvance(Calendar,SettlementDate,I60,"mf",TRUE)</f>
        <v>41927</v>
      </c>
      <c r="N60" s="511">
        <f t="shared" si="26"/>
        <v>2.0253461132272812E-3</v>
      </c>
      <c r="O60" s="511">
        <f t="shared" si="26"/>
        <v>2.1223745734302909E-3</v>
      </c>
      <c r="P60" s="511">
        <f t="shared" si="26"/>
        <v>2.1055036535861478E-3</v>
      </c>
      <c r="Q60" s="512">
        <f t="shared" si="27"/>
        <v>2.1007494527612949E-3</v>
      </c>
    </row>
    <row r="61" spans="2:21" ht="12" thickBot="1" x14ac:dyDescent="0.25">
      <c r="B61" s="483">
        <f>_xll.qlCalendarAdvance(Calendar,B60,"1d","mf")</f>
        <v>41928</v>
      </c>
      <c r="C61" s="476">
        <f>_xll.qlDayCounterYearFraction(DayCounterON,SettlementDate,B61,,,Trigger)</f>
        <v>0.16986301369863013</v>
      </c>
      <c r="D61" s="484">
        <f t="shared" si="22"/>
        <v>1.498482507057107E-3</v>
      </c>
      <c r="E61" s="484">
        <f t="shared" si="23"/>
        <v>1.4090497091427132E-3</v>
      </c>
      <c r="F61" s="437">
        <f t="shared" si="24"/>
        <v>1.3729903747766042E-3</v>
      </c>
      <c r="G61" s="437">
        <f t="shared" si="11"/>
        <v>1.3766299613856498E-3</v>
      </c>
      <c r="I61" s="525" t="s">
        <v>62</v>
      </c>
      <c r="J61" s="439">
        <f t="shared" si="25"/>
        <v>41866</v>
      </c>
      <c r="K61" s="503">
        <f>_xll.qlCalendarAdvance(Calendar,SettlementDate,I61,"mf",TRUE)</f>
        <v>41960</v>
      </c>
      <c r="N61" s="513">
        <f t="shared" si="26"/>
        <v>1.99E-3</v>
      </c>
      <c r="O61" s="513">
        <f t="shared" si="26"/>
        <v>1.9899999999999983E-3</v>
      </c>
      <c r="P61" s="513">
        <f t="shared" si="26"/>
        <v>1.9900000000000022E-3</v>
      </c>
      <c r="Q61" s="514">
        <f t="shared" si="27"/>
        <v>1.9900000000000325E-3</v>
      </c>
    </row>
    <row r="62" spans="2:21" x14ac:dyDescent="0.2">
      <c r="B62" s="483">
        <f>_xll.qlCalendarAdvance(Calendar,B61,"1d","mf")</f>
        <v>41929</v>
      </c>
      <c r="C62" s="476">
        <f>_xll.qlDayCounterYearFraction(DayCounterON,SettlementDate,B62,,,Trigger)</f>
        <v>0.17260273972602741</v>
      </c>
      <c r="D62" s="484">
        <f t="shared" si="22"/>
        <v>1.498482507057107E-3</v>
      </c>
      <c r="E62" s="484">
        <f t="shared" si="23"/>
        <v>1.403087522615087E-3</v>
      </c>
      <c r="F62" s="437">
        <f t="shared" si="24"/>
        <v>1.3697816660791684E-3</v>
      </c>
      <c r="G62" s="437">
        <f t="shared" si="11"/>
        <v>1.3739576044941371E-3</v>
      </c>
      <c r="H62" s="448"/>
      <c r="I62" s="448"/>
    </row>
    <row r="63" spans="2:21" x14ac:dyDescent="0.2">
      <c r="B63" s="483">
        <f>_xll.qlCalendarAdvance(Calendar,B62,"1d","mf")</f>
        <v>41932</v>
      </c>
      <c r="C63" s="476">
        <f>_xll.qlDayCounterYearFraction(DayCounterON,SettlementDate,B63,,,Trigger)</f>
        <v>0.18082191780821918</v>
      </c>
      <c r="D63" s="484">
        <f t="shared" si="22"/>
        <v>1.498482507057107E-3</v>
      </c>
      <c r="E63" s="484">
        <f t="shared" si="23"/>
        <v>1.3852009630322087E-3</v>
      </c>
      <c r="F63" s="437">
        <f t="shared" si="24"/>
        <v>1.3611063812519618E-3</v>
      </c>
      <c r="G63" s="437">
        <f t="shared" si="11"/>
        <v>1.3668303453351399E-3</v>
      </c>
      <c r="H63" s="448"/>
      <c r="I63" s="448"/>
    </row>
    <row r="64" spans="2:21" x14ac:dyDescent="0.2">
      <c r="B64" s="483">
        <f>_xll.qlCalendarAdvance(Calendar,B63,"1d","mf")</f>
        <v>41933</v>
      </c>
      <c r="C64" s="476">
        <f>_xll.qlDayCounterYearFraction(DayCounterON,SettlementDate,B64,,,Trigger)</f>
        <v>0.18356164383561643</v>
      </c>
      <c r="D64" s="484">
        <f t="shared" si="22"/>
        <v>1.498482507057107E-3</v>
      </c>
      <c r="E64" s="484">
        <f t="shared" si="23"/>
        <v>1.3792387765045825E-3</v>
      </c>
      <c r="F64" s="437">
        <f t="shared" si="24"/>
        <v>1.3585315667312603E-3</v>
      </c>
      <c r="G64" s="437">
        <f t="shared" si="11"/>
        <v>1.3647466664475469E-3</v>
      </c>
      <c r="H64" s="448"/>
      <c r="I64" s="448"/>
    </row>
    <row r="65" spans="2:9" x14ac:dyDescent="0.2">
      <c r="B65" s="483">
        <f>_xll.qlCalendarAdvance(Calendar,B64,"1d","mf")</f>
        <v>41934</v>
      </c>
      <c r="C65" s="476">
        <f>_xll.qlDayCounterYearFraction(DayCounterON,SettlementDate,B65,,,Trigger)</f>
        <v>0.18630136986301371</v>
      </c>
      <c r="D65" s="484">
        <f t="shared" si="22"/>
        <v>1.498482507057107E-3</v>
      </c>
      <c r="E65" s="484">
        <f t="shared" si="23"/>
        <v>1.3732765899769563E-3</v>
      </c>
      <c r="F65" s="437">
        <f t="shared" si="24"/>
        <v>1.3561152257547421E-3</v>
      </c>
      <c r="G65" s="437">
        <f t="shared" si="11"/>
        <v>1.3628067598061024E-3</v>
      </c>
      <c r="H65" s="448"/>
      <c r="I65" s="448"/>
    </row>
    <row r="66" spans="2:9" x14ac:dyDescent="0.2">
      <c r="B66" s="483">
        <f>_xll.qlCalendarAdvance(Calendar,B65,"1d","mf")</f>
        <v>41935</v>
      </c>
      <c r="C66" s="476">
        <f>_xll.qlDayCounterYearFraction(DayCounterON,SettlementDate,B66,,,Trigger)</f>
        <v>0.18904109589041096</v>
      </c>
      <c r="D66" s="484">
        <f t="shared" si="22"/>
        <v>1.498482507057107E-3</v>
      </c>
      <c r="E66" s="484">
        <f t="shared" si="23"/>
        <v>1.3673144034493303E-3</v>
      </c>
      <c r="F66" s="437">
        <f t="shared" si="24"/>
        <v>1.3538573583224077E-3</v>
      </c>
      <c r="G66" s="437">
        <f t="shared" si="11"/>
        <v>1.3610092665088747E-3</v>
      </c>
      <c r="H66" s="448"/>
      <c r="I66" s="448"/>
    </row>
    <row r="67" spans="2:9" x14ac:dyDescent="0.2">
      <c r="B67" s="483">
        <f>_xll.qlCalendarAdvance(Calendar,B66,"1d","mf")</f>
        <v>41936</v>
      </c>
      <c r="C67" s="476">
        <f>_xll.qlDayCounterYearFraction(DayCounterON,SettlementDate,B67,,,Trigger)</f>
        <v>0.19178082191780821</v>
      </c>
      <c r="D67" s="484">
        <f t="shared" si="22"/>
        <v>1.498482507057107E-3</v>
      </c>
      <c r="E67" s="484">
        <f t="shared" si="23"/>
        <v>1.361352216921704E-3</v>
      </c>
      <c r="F67" s="437">
        <f t="shared" si="24"/>
        <v>1.3517579644342572E-3</v>
      </c>
      <c r="G67" s="437">
        <f t="shared" si="11"/>
        <v>1.3593528276539309E-3</v>
      </c>
      <c r="H67" s="448"/>
      <c r="I67" s="448"/>
    </row>
    <row r="68" spans="2:9" x14ac:dyDescent="0.2">
      <c r="B68" s="483">
        <f>_xll.qlCalendarAdvance(Calendar,B67,"1d","mf")</f>
        <v>41939</v>
      </c>
      <c r="C68" s="476">
        <f>_xll.qlDayCounterYearFraction(DayCounterON,SettlementDate,B68,,,Trigger)</f>
        <v>0.2</v>
      </c>
      <c r="D68" s="484">
        <f t="shared" si="22"/>
        <v>1.498482507057107E-3</v>
      </c>
      <c r="E68" s="484">
        <f t="shared" si="23"/>
        <v>1.3434656573388256E-3</v>
      </c>
      <c r="F68" s="437">
        <f t="shared" si="24"/>
        <v>1.3464106240349064E-3</v>
      </c>
      <c r="G68" s="437">
        <f t="shared" si="11"/>
        <v>1.3552162487234808E-3</v>
      </c>
      <c r="H68" s="448"/>
      <c r="I68" s="448"/>
    </row>
    <row r="69" spans="2:9" x14ac:dyDescent="0.2">
      <c r="B69" s="483">
        <f>_xll.qlCalendarAdvance(Calendar,B68,"1d","mf")</f>
        <v>41940</v>
      </c>
      <c r="C69" s="476">
        <f>_xll.qlDayCounterYearFraction(DayCounterON,SettlementDate,B69,,,Trigger)</f>
        <v>0.20273972602739726</v>
      </c>
      <c r="D69" s="484">
        <f t="shared" si="22"/>
        <v>1.498482507057107E-3</v>
      </c>
      <c r="E69" s="484">
        <f t="shared" si="23"/>
        <v>1.3375034708111996E-3</v>
      </c>
      <c r="F69" s="437">
        <f t="shared" si="24"/>
        <v>1.34494512432349E-3</v>
      </c>
      <c r="G69" s="437">
        <f t="shared" si="11"/>
        <v>1.3541104386183493E-3</v>
      </c>
      <c r="H69" s="448"/>
      <c r="I69" s="448"/>
    </row>
    <row r="70" spans="2:9" x14ac:dyDescent="0.2">
      <c r="B70" s="483">
        <f>_xll.qlCalendarAdvance(Calendar,B69,"1d","mf")</f>
        <v>41941</v>
      </c>
      <c r="C70" s="476">
        <f>_xll.qlDayCounterYearFraction(DayCounterON,SettlementDate,B70,,,Trigger)</f>
        <v>0.20547945205479451</v>
      </c>
      <c r="D70" s="484">
        <f t="shared" si="22"/>
        <v>1.498482507057107E-3</v>
      </c>
      <c r="E70" s="484">
        <f t="shared" si="23"/>
        <v>1.3315412842835733E-3</v>
      </c>
      <c r="F70" s="437">
        <f t="shared" si="24"/>
        <v>1.3436380981562573E-3</v>
      </c>
      <c r="G70" s="437">
        <f t="shared" si="11"/>
        <v>1.3531388884458404E-3</v>
      </c>
      <c r="H70" s="448"/>
      <c r="I70" s="448"/>
    </row>
    <row r="71" spans="2:9" x14ac:dyDescent="0.2">
      <c r="B71" s="483">
        <f>_xll.qlCalendarAdvance(Calendar,B70,"1d","mf")</f>
        <v>41942</v>
      </c>
      <c r="C71" s="476">
        <f>_xll.qlDayCounterYearFraction(DayCounterON,SettlementDate,B71,,,Trigger)</f>
        <v>0.20821917808219179</v>
      </c>
      <c r="D71" s="484">
        <f t="shared" si="22"/>
        <v>1.498482507057107E-3</v>
      </c>
      <c r="E71" s="484">
        <f t="shared" si="23"/>
        <v>1.3255790977559473E-3</v>
      </c>
      <c r="F71" s="437">
        <f t="shared" si="24"/>
        <v>1.3424895455332081E-3</v>
      </c>
      <c r="G71" s="437">
        <f t="shared" si="11"/>
        <v>1.3523002393040209E-3</v>
      </c>
      <c r="H71" s="448"/>
      <c r="I71" s="448"/>
    </row>
    <row r="72" spans="2:9" x14ac:dyDescent="0.2">
      <c r="B72" s="483">
        <f>_xll.qlCalendarAdvance(Calendar,B71,"1d","mf")</f>
        <v>41943</v>
      </c>
      <c r="C72" s="476">
        <f>_xll.qlDayCounterYearFraction(DayCounterON,SettlementDate,B72,,,Trigger)</f>
        <v>0.21095890410958903</v>
      </c>
      <c r="D72" s="484">
        <f t="shared" si="22"/>
        <v>1.498482507057107E-3</v>
      </c>
      <c r="E72" s="484">
        <f t="shared" si="23"/>
        <v>1.3196169112283211E-3</v>
      </c>
      <c r="F72" s="437">
        <f t="shared" si="24"/>
        <v>1.3414994664543427E-3</v>
      </c>
      <c r="G72" s="437">
        <f t="shared" si="11"/>
        <v>1.3515931322909591E-3</v>
      </c>
      <c r="H72" s="448"/>
      <c r="I72" s="448"/>
    </row>
    <row r="73" spans="2:9" x14ac:dyDescent="0.2">
      <c r="B73" s="483">
        <f>_xll.qlCalendarAdvance(Calendar,B72,"1d","mf")</f>
        <v>41946</v>
      </c>
      <c r="C73" s="476">
        <f>_xll.qlDayCounterYearFraction(DayCounterON,SettlementDate,B73,,,Trigger)</f>
        <v>0.21917808219178081</v>
      </c>
      <c r="D73" s="484">
        <f t="shared" si="22"/>
        <v>1.498482507057107E-3</v>
      </c>
      <c r="E73" s="484">
        <f t="shared" si="23"/>
        <v>1.3017303516454427E-3</v>
      </c>
      <c r="F73" s="437">
        <f t="shared" si="24"/>
        <v>1.339480070482848E-3</v>
      </c>
      <c r="G73" s="437">
        <f t="shared" si="11"/>
        <v>1.3502474750049936E-3</v>
      </c>
      <c r="H73" s="448"/>
      <c r="I73" s="448"/>
    </row>
    <row r="74" spans="2:9" x14ac:dyDescent="0.2">
      <c r="B74" s="483">
        <f>_xll.qlCalendarAdvance(Calendar,B73,"1d","mf")</f>
        <v>41947</v>
      </c>
      <c r="C74" s="476">
        <f>_xll.qlDayCounterYearFraction(DayCounterON,SettlementDate,B74,,,Trigger)</f>
        <v>0.22191780821917809</v>
      </c>
      <c r="D74" s="484">
        <f t="shared" si="22"/>
        <v>1.498482507057107E-3</v>
      </c>
      <c r="E74" s="484">
        <f t="shared" si="23"/>
        <v>1.2957681651178166E-3</v>
      </c>
      <c r="F74" s="437">
        <f t="shared" si="24"/>
        <v>1.3391238855807166E-3</v>
      </c>
      <c r="G74" s="437">
        <f t="shared" si="11"/>
        <v>1.350052947487637E-3</v>
      </c>
      <c r="H74" s="448"/>
      <c r="I74" s="448"/>
    </row>
    <row r="75" spans="2:9" x14ac:dyDescent="0.2">
      <c r="B75" s="483">
        <f>_xll.qlCalendarAdvance(Calendar,B74,"1d","mf")</f>
        <v>41948</v>
      </c>
      <c r="C75" s="476">
        <f>_xll.qlDayCounterYearFraction(DayCounterON,SettlementDate,B75,,,Trigger)</f>
        <v>0.22465753424657534</v>
      </c>
      <c r="D75" s="484">
        <f t="shared" si="22"/>
        <v>1.498482507057107E-3</v>
      </c>
      <c r="E75" s="484">
        <f t="shared" si="23"/>
        <v>1.2898059785901904E-3</v>
      </c>
      <c r="F75" s="437">
        <f t="shared" si="24"/>
        <v>1.3389261742227693E-3</v>
      </c>
      <c r="G75" s="437">
        <f t="shared" si="11"/>
        <v>1.3499831675893757E-3</v>
      </c>
      <c r="H75" s="448"/>
      <c r="I75" s="448"/>
    </row>
    <row r="76" spans="2:9" x14ac:dyDescent="0.2">
      <c r="B76" s="483">
        <f>_xll.qlCalendarAdvance(Calendar,B75,"1d","mf")</f>
        <v>41949</v>
      </c>
      <c r="C76" s="476">
        <f>_xll.qlDayCounterYearFraction(DayCounterON,SettlementDate,B76,,,Trigger)</f>
        <v>0.22739726027397261</v>
      </c>
      <c r="D76" s="484">
        <f t="shared" si="22"/>
        <v>1.498482507057107E-3</v>
      </c>
      <c r="E76" s="484">
        <f t="shared" si="23"/>
        <v>1.2838437920625642E-3</v>
      </c>
      <c r="F76" s="437">
        <f t="shared" si="24"/>
        <v>1.3388869364090055E-3</v>
      </c>
      <c r="G76" s="437">
        <f t="shared" si="11"/>
        <v>1.3500367764082775E-3</v>
      </c>
      <c r="H76" s="448"/>
      <c r="I76" s="448"/>
    </row>
    <row r="77" spans="2:9" x14ac:dyDescent="0.2">
      <c r="B77" s="483">
        <f>_xll.qlCalendarAdvance(Calendar,B76,"1d","mf")</f>
        <v>41950</v>
      </c>
      <c r="C77" s="476">
        <f>_xll.qlDayCounterYearFraction(DayCounterON,SettlementDate,B77,,,Trigger)</f>
        <v>0.23013698630136986</v>
      </c>
      <c r="D77" s="484">
        <f t="shared" si="22"/>
        <v>1.498482507057107E-3</v>
      </c>
      <c r="E77" s="484">
        <f t="shared" si="23"/>
        <v>1.277881605534938E-3</v>
      </c>
      <c r="F77" s="437">
        <f t="shared" si="24"/>
        <v>1.3390061721394253E-3</v>
      </c>
      <c r="G77" s="437">
        <f t="shared" si="11"/>
        <v>1.3502124150424103E-3</v>
      </c>
      <c r="H77" s="448"/>
      <c r="I77" s="448"/>
    </row>
    <row r="78" spans="2:9" x14ac:dyDescent="0.2">
      <c r="B78" s="483">
        <f>_xll.qlCalendarAdvance(Calendar,B77,"1d","mf")</f>
        <v>41953</v>
      </c>
      <c r="C78" s="476">
        <f>_xll.qlDayCounterYearFraction(DayCounterON,SettlementDate,B78,,,Trigger)</f>
        <v>0.23835616438356164</v>
      </c>
      <c r="D78" s="484">
        <f t="shared" si="22"/>
        <v>1.498482507057107E-3</v>
      </c>
      <c r="E78" s="484">
        <f t="shared" si="23"/>
        <v>1.2599950459520597E-3</v>
      </c>
      <c r="F78" s="437">
        <f t="shared" si="24"/>
        <v>1.3403147205957862E-3</v>
      </c>
      <c r="G78" s="437">
        <f t="shared" si="11"/>
        <v>1.3514579208168671E-3</v>
      </c>
      <c r="H78" s="448"/>
      <c r="I78" s="448"/>
    </row>
    <row r="79" spans="2:9" x14ac:dyDescent="0.2">
      <c r="B79" s="483">
        <f>_xll.qlCalendarAdvance(Calendar,B78,"1d","mf")</f>
        <v>41954</v>
      </c>
      <c r="C79" s="476">
        <f>_xll.qlDayCounterYearFraction(DayCounterON,SettlementDate,B79,,,Trigger)</f>
        <v>0.24109589041095891</v>
      </c>
      <c r="D79" s="484">
        <f t="shared" si="22"/>
        <v>1.498482507057107E-3</v>
      </c>
      <c r="E79" s="484">
        <f t="shared" si="23"/>
        <v>1.2540328594244335E-3</v>
      </c>
      <c r="F79" s="437">
        <f t="shared" si="24"/>
        <v>1.3410678505029405E-3</v>
      </c>
      <c r="G79" s="437">
        <f t="shared" si="11"/>
        <v>1.3521080896925983E-3</v>
      </c>
      <c r="H79" s="448"/>
      <c r="I79" s="448"/>
    </row>
    <row r="80" spans="2:9" x14ac:dyDescent="0.2">
      <c r="B80" s="483">
        <f>_xll.qlCalendarAdvance(Calendar,B79,"1d","mf")</f>
        <v>41955</v>
      </c>
      <c r="C80" s="476">
        <f>_xll.qlDayCounterYearFraction(DayCounterON,SettlementDate,B80,,,Trigger)</f>
        <v>0.24383561643835616</v>
      </c>
      <c r="D80" s="484">
        <f t="shared" si="22"/>
        <v>1.498482507057107E-3</v>
      </c>
      <c r="E80" s="484">
        <f t="shared" si="23"/>
        <v>1.2480706728968073E-3</v>
      </c>
      <c r="F80" s="437">
        <f t="shared" si="24"/>
        <v>1.3419794539542781E-3</v>
      </c>
      <c r="G80" s="437">
        <f t="shared" si="11"/>
        <v>1.3528734938738974E-3</v>
      </c>
      <c r="H80" s="448"/>
      <c r="I80" s="448"/>
    </row>
    <row r="81" spans="2:9" x14ac:dyDescent="0.2">
      <c r="B81" s="483">
        <f>_xll.qlCalendarAdvance(Calendar,B80,"1d","mf")</f>
        <v>41956</v>
      </c>
      <c r="C81" s="476">
        <f>_xll.qlDayCounterYearFraction(DayCounterON,SettlementDate,B81,,,Trigger)</f>
        <v>0.24657534246575341</v>
      </c>
      <c r="D81" s="484">
        <f t="shared" si="22"/>
        <v>1.498482507057107E-3</v>
      </c>
      <c r="E81" s="484">
        <f t="shared" si="23"/>
        <v>1.2421084863691813E-3</v>
      </c>
      <c r="F81" s="437">
        <f t="shared" si="24"/>
        <v>1.3430495309497996E-3</v>
      </c>
      <c r="G81" s="437">
        <f t="shared" si="11"/>
        <v>1.3537527744588334E-3</v>
      </c>
      <c r="H81" s="448"/>
      <c r="I81" s="448"/>
    </row>
    <row r="82" spans="2:9" x14ac:dyDescent="0.2">
      <c r="B82" s="483">
        <f>_xll.qlCalendarAdvance(Calendar,B81,"1d","mf")</f>
        <v>41957</v>
      </c>
      <c r="C82" s="476">
        <f>_xll.qlDayCounterYearFraction(DayCounterON,SettlementDate,B82,,,Trigger)</f>
        <v>0.24931506849315069</v>
      </c>
      <c r="D82" s="484">
        <f t="shared" si="22"/>
        <v>1.498482507057107E-3</v>
      </c>
      <c r="E82" s="484">
        <f t="shared" si="23"/>
        <v>1.2361462998415553E-3</v>
      </c>
      <c r="F82" s="437">
        <f t="shared" si="24"/>
        <v>1.3442780814895046E-3</v>
      </c>
      <c r="G82" s="437">
        <f t="shared" ref="G82:G83" si="28">($S$20+$S$19*C82+$S$18*C82^2+$S$17*C82^3)</f>
        <v>1.3547445725454728E-3</v>
      </c>
      <c r="H82" s="448"/>
      <c r="I82" s="448"/>
    </row>
    <row r="83" spans="2:9" x14ac:dyDescent="0.2">
      <c r="B83" s="483">
        <f>_xll.qlCalendarAdvance(Calendar,B82,"1d","mf")</f>
        <v>41960</v>
      </c>
      <c r="C83" s="476">
        <f>_xll.qlDayCounterYearFraction(DayCounterON,SettlementDate,B83,,,Trigger)</f>
        <v>0.25753424657534246</v>
      </c>
      <c r="D83" s="484">
        <f t="shared" si="22"/>
        <v>1.498482507057107E-3</v>
      </c>
      <c r="E83" s="484">
        <f t="shared" si="23"/>
        <v>1.2182597402586766E-3</v>
      </c>
      <c r="F83" s="437">
        <f t="shared" si="24"/>
        <v>1.3489145743737214E-3</v>
      </c>
      <c r="G83" s="437">
        <f t="shared" si="28"/>
        <v>1.3583814827962907E-3</v>
      </c>
      <c r="H83" s="448"/>
      <c r="I83" s="448"/>
    </row>
    <row r="84" spans="2:9" x14ac:dyDescent="0.2">
      <c r="B84" s="483"/>
      <c r="C84" s="476"/>
      <c r="D84" s="484"/>
      <c r="E84" s="484"/>
      <c r="F84" s="437"/>
      <c r="H84" s="448"/>
      <c r="I84" s="448"/>
    </row>
    <row r="85" spans="2:9" x14ac:dyDescent="0.2">
      <c r="B85" s="483"/>
      <c r="C85" s="476"/>
      <c r="D85" s="484"/>
      <c r="E85" s="484"/>
      <c r="F85" s="437"/>
      <c r="H85" s="448"/>
      <c r="I85" s="448"/>
    </row>
    <row r="86" spans="2:9" x14ac:dyDescent="0.2">
      <c r="B86" s="483"/>
      <c r="C86" s="476"/>
      <c r="D86" s="484"/>
      <c r="E86" s="484"/>
      <c r="F86" s="437"/>
      <c r="H86" s="448"/>
      <c r="I86" s="448"/>
    </row>
    <row r="87" spans="2:9" x14ac:dyDescent="0.2">
      <c r="B87" s="483"/>
      <c r="C87" s="476"/>
      <c r="D87" s="484"/>
      <c r="E87" s="484"/>
      <c r="F87" s="437"/>
      <c r="H87" s="448"/>
      <c r="I87" s="448"/>
    </row>
    <row r="88" spans="2:9" x14ac:dyDescent="0.2">
      <c r="B88" s="483"/>
      <c r="C88" s="476"/>
      <c r="D88" s="484"/>
      <c r="E88" s="484"/>
      <c r="F88" s="437"/>
      <c r="H88" s="448"/>
      <c r="I88" s="448"/>
    </row>
    <row r="89" spans="2:9" x14ac:dyDescent="0.2">
      <c r="B89" s="483"/>
      <c r="C89" s="476"/>
      <c r="D89" s="484"/>
      <c r="E89" s="484"/>
      <c r="F89" s="437"/>
      <c r="H89" s="448"/>
      <c r="I89" s="448"/>
    </row>
    <row r="90" spans="2:9" x14ac:dyDescent="0.2">
      <c r="B90" s="483"/>
      <c r="C90" s="476"/>
      <c r="D90" s="484"/>
      <c r="E90" s="484"/>
      <c r="F90" s="437"/>
      <c r="H90" s="448"/>
      <c r="I90" s="448"/>
    </row>
    <row r="91" spans="2:9" x14ac:dyDescent="0.2">
      <c r="B91" s="483"/>
      <c r="C91" s="476"/>
      <c r="D91" s="484"/>
      <c r="E91" s="484"/>
      <c r="F91" s="437"/>
      <c r="H91" s="448"/>
      <c r="I91" s="448"/>
    </row>
    <row r="92" spans="2:9" x14ac:dyDescent="0.2">
      <c r="B92" s="483"/>
      <c r="C92" s="476"/>
      <c r="D92" s="484"/>
      <c r="E92" s="484"/>
      <c r="F92" s="437"/>
      <c r="H92" s="448"/>
      <c r="I92" s="448"/>
    </row>
    <row r="93" spans="2:9" x14ac:dyDescent="0.2">
      <c r="B93" s="483"/>
      <c r="C93" s="476"/>
      <c r="D93" s="484"/>
      <c r="E93" s="484"/>
      <c r="F93" s="437"/>
      <c r="H93" s="448"/>
      <c r="I93" s="448"/>
    </row>
    <row r="94" spans="2:9" x14ac:dyDescent="0.2">
      <c r="B94" s="483"/>
      <c r="C94" s="476"/>
      <c r="D94" s="484"/>
      <c r="E94" s="484"/>
      <c r="F94" s="437"/>
      <c r="H94" s="448"/>
      <c r="I94" s="448"/>
    </row>
    <row r="95" spans="2:9" x14ac:dyDescent="0.2">
      <c r="B95" s="483"/>
      <c r="C95" s="476"/>
      <c r="D95" s="484"/>
      <c r="E95" s="484"/>
      <c r="F95" s="437"/>
      <c r="H95" s="448"/>
      <c r="I95" s="448"/>
    </row>
    <row r="96" spans="2:9" x14ac:dyDescent="0.2">
      <c r="B96" s="483"/>
      <c r="C96" s="476"/>
      <c r="D96" s="484"/>
      <c r="E96" s="484"/>
      <c r="F96" s="437"/>
      <c r="H96" s="448"/>
      <c r="I96" s="448"/>
    </row>
    <row r="97" spans="2:9" x14ac:dyDescent="0.2">
      <c r="B97" s="483"/>
      <c r="C97" s="476"/>
      <c r="D97" s="484"/>
      <c r="E97" s="484"/>
      <c r="F97" s="437"/>
      <c r="H97" s="448"/>
      <c r="I97" s="448"/>
    </row>
    <row r="98" spans="2:9" x14ac:dyDescent="0.2">
      <c r="B98" s="483"/>
      <c r="C98" s="476"/>
      <c r="D98" s="484"/>
      <c r="E98" s="484"/>
      <c r="F98" s="437"/>
      <c r="H98" s="448"/>
      <c r="I98" s="448"/>
    </row>
    <row r="99" spans="2:9" x14ac:dyDescent="0.2">
      <c r="B99" s="483"/>
      <c r="C99" s="476"/>
      <c r="D99" s="484"/>
      <c r="E99" s="484"/>
      <c r="F99" s="437"/>
      <c r="H99" s="448"/>
      <c r="I99" s="448"/>
    </row>
    <row r="100" spans="2:9" x14ac:dyDescent="0.2">
      <c r="B100" s="483"/>
      <c r="C100" s="476"/>
      <c r="D100" s="484"/>
      <c r="E100" s="484"/>
      <c r="F100" s="437"/>
      <c r="H100" s="448"/>
      <c r="I100" s="448"/>
    </row>
    <row r="101" spans="2:9" x14ac:dyDescent="0.2">
      <c r="B101" s="483"/>
      <c r="C101" s="476"/>
      <c r="D101" s="484"/>
      <c r="E101" s="484"/>
      <c r="F101" s="437"/>
      <c r="H101" s="448"/>
      <c r="I101" s="448"/>
    </row>
    <row r="102" spans="2:9" x14ac:dyDescent="0.2">
      <c r="B102" s="483"/>
      <c r="C102" s="476"/>
      <c r="D102" s="484"/>
      <c r="E102" s="484"/>
      <c r="F102" s="437"/>
      <c r="H102" s="448"/>
      <c r="I102" s="448"/>
    </row>
    <row r="103" spans="2:9" x14ac:dyDescent="0.2">
      <c r="B103" s="483"/>
      <c r="C103" s="476"/>
      <c r="D103" s="484"/>
      <c r="E103" s="484"/>
      <c r="F103" s="437"/>
      <c r="H103" s="448"/>
      <c r="I103" s="448"/>
    </row>
    <row r="104" spans="2:9" x14ac:dyDescent="0.2">
      <c r="B104" s="483"/>
      <c r="C104" s="476"/>
      <c r="D104" s="484"/>
      <c r="E104" s="484"/>
      <c r="F104" s="437"/>
      <c r="H104" s="448"/>
      <c r="I104" s="448"/>
    </row>
    <row r="105" spans="2:9" x14ac:dyDescent="0.2">
      <c r="B105" s="483"/>
      <c r="C105" s="476"/>
      <c r="D105" s="484"/>
      <c r="E105" s="484"/>
      <c r="F105" s="437"/>
      <c r="H105" s="448"/>
      <c r="I105" s="448"/>
    </row>
    <row r="106" spans="2:9" x14ac:dyDescent="0.2">
      <c r="B106" s="483"/>
      <c r="C106" s="476"/>
      <c r="D106" s="484"/>
      <c r="E106" s="484"/>
      <c r="F106" s="437"/>
      <c r="H106" s="448"/>
      <c r="I106" s="448"/>
    </row>
    <row r="107" spans="2:9" x14ac:dyDescent="0.2">
      <c r="B107" s="483"/>
      <c r="C107" s="476"/>
      <c r="D107" s="484"/>
      <c r="E107" s="484"/>
      <c r="F107" s="437"/>
      <c r="H107" s="448"/>
      <c r="I107" s="448"/>
    </row>
    <row r="108" spans="2:9" x14ac:dyDescent="0.2">
      <c r="B108" s="483"/>
      <c r="C108" s="476"/>
      <c r="D108" s="484"/>
      <c r="E108" s="484"/>
      <c r="F108" s="437"/>
      <c r="H108" s="448"/>
      <c r="I108" s="448"/>
    </row>
    <row r="109" spans="2:9" x14ac:dyDescent="0.2">
      <c r="B109" s="483"/>
      <c r="C109" s="476"/>
      <c r="D109" s="484"/>
      <c r="E109" s="484"/>
      <c r="F109" s="437"/>
      <c r="H109" s="448"/>
      <c r="I109" s="448"/>
    </row>
    <row r="110" spans="2:9" x14ac:dyDescent="0.2">
      <c r="B110" s="483"/>
      <c r="C110" s="476"/>
      <c r="D110" s="484"/>
      <c r="E110" s="484"/>
      <c r="F110" s="437"/>
      <c r="H110" s="448"/>
      <c r="I110" s="448"/>
    </row>
    <row r="111" spans="2:9" x14ac:dyDescent="0.2">
      <c r="B111" s="483"/>
      <c r="C111" s="476"/>
      <c r="D111" s="484"/>
      <c r="E111" s="484"/>
      <c r="F111" s="437"/>
      <c r="H111" s="448"/>
      <c r="I111" s="448"/>
    </row>
    <row r="112" spans="2:9" x14ac:dyDescent="0.2">
      <c r="B112" s="483"/>
      <c r="C112" s="476"/>
      <c r="D112" s="484"/>
      <c r="E112" s="484"/>
      <c r="F112" s="437"/>
      <c r="H112" s="448"/>
      <c r="I112" s="448"/>
    </row>
    <row r="113" spans="2:9" x14ac:dyDescent="0.2">
      <c r="B113" s="483"/>
      <c r="C113" s="476"/>
      <c r="D113" s="484"/>
      <c r="E113" s="484"/>
      <c r="F113" s="437"/>
      <c r="H113" s="448"/>
      <c r="I113" s="448"/>
    </row>
    <row r="114" spans="2:9" ht="12" thickBot="1" x14ac:dyDescent="0.25">
      <c r="B114" s="485"/>
      <c r="C114" s="478"/>
      <c r="D114" s="486"/>
      <c r="E114" s="486"/>
      <c r="F114" s="442"/>
      <c r="H114" s="448"/>
      <c r="I114" s="448"/>
    </row>
    <row r="115" spans="2:9" x14ac:dyDescent="0.2">
      <c r="C115" s="452"/>
      <c r="D115" s="425"/>
      <c r="E115" s="425"/>
      <c r="F115" s="425"/>
      <c r="G115" s="425"/>
      <c r="H115" s="425"/>
      <c r="I115" s="425"/>
    </row>
    <row r="116" spans="2:9" x14ac:dyDescent="0.2">
      <c r="C116" s="452"/>
      <c r="D116" s="425"/>
      <c r="E116" s="425"/>
      <c r="F116" s="425"/>
      <c r="G116" s="425"/>
      <c r="H116" s="425"/>
      <c r="I116" s="425"/>
    </row>
    <row r="117" spans="2:9" x14ac:dyDescent="0.2">
      <c r="C117" s="452"/>
      <c r="D117" s="425"/>
      <c r="E117" s="425"/>
      <c r="F117" s="425"/>
      <c r="G117" s="425"/>
      <c r="H117" s="425"/>
      <c r="I117" s="425"/>
    </row>
    <row r="118" spans="2:9" x14ac:dyDescent="0.2">
      <c r="C118" s="452"/>
      <c r="D118" s="425"/>
      <c r="E118" s="425"/>
      <c r="F118" s="425"/>
      <c r="G118" s="425"/>
      <c r="H118" s="425"/>
      <c r="I118" s="425"/>
    </row>
    <row r="119" spans="2:9" x14ac:dyDescent="0.2">
      <c r="C119" s="452"/>
      <c r="D119" s="425"/>
      <c r="E119" s="425"/>
      <c r="F119" s="425"/>
      <c r="G119" s="425"/>
      <c r="H119" s="425"/>
      <c r="I119" s="425"/>
    </row>
    <row r="120" spans="2:9" x14ac:dyDescent="0.2">
      <c r="C120" s="452"/>
      <c r="D120" s="425"/>
      <c r="E120" s="425"/>
      <c r="F120" s="425"/>
      <c r="G120" s="425"/>
      <c r="H120" s="425"/>
      <c r="I120" s="425"/>
    </row>
    <row r="121" spans="2:9" x14ac:dyDescent="0.2">
      <c r="C121" s="452"/>
      <c r="D121" s="425"/>
      <c r="E121" s="425"/>
      <c r="F121" s="425"/>
      <c r="G121" s="425"/>
      <c r="H121" s="425"/>
      <c r="I121" s="425"/>
    </row>
    <row r="122" spans="2:9" x14ac:dyDescent="0.2">
      <c r="C122" s="452"/>
      <c r="D122" s="425"/>
      <c r="E122" s="425"/>
      <c r="F122" s="425"/>
      <c r="G122" s="425"/>
      <c r="H122" s="425"/>
      <c r="I122" s="425"/>
    </row>
    <row r="123" spans="2:9" x14ac:dyDescent="0.2">
      <c r="C123" s="452"/>
      <c r="D123" s="425"/>
      <c r="E123" s="425"/>
      <c r="F123" s="425"/>
      <c r="G123" s="425"/>
      <c r="H123" s="425"/>
      <c r="I123" s="425"/>
    </row>
    <row r="124" spans="2:9" x14ac:dyDescent="0.2">
      <c r="C124" s="452"/>
      <c r="D124" s="425"/>
      <c r="E124" s="425"/>
      <c r="F124" s="425"/>
      <c r="G124" s="425"/>
      <c r="H124" s="425"/>
      <c r="I124" s="425"/>
    </row>
    <row r="125" spans="2:9" x14ac:dyDescent="0.2">
      <c r="C125" s="452"/>
      <c r="D125" s="425"/>
      <c r="E125" s="425"/>
      <c r="F125" s="425"/>
      <c r="G125" s="425"/>
      <c r="H125" s="425"/>
      <c r="I125" s="425"/>
    </row>
    <row r="126" spans="2:9" x14ac:dyDescent="0.2">
      <c r="C126" s="452"/>
      <c r="D126" s="425"/>
      <c r="E126" s="425"/>
      <c r="F126" s="425"/>
      <c r="G126" s="425"/>
      <c r="H126" s="425"/>
      <c r="I126" s="425"/>
    </row>
    <row r="127" spans="2:9" x14ac:dyDescent="0.2">
      <c r="C127" s="452"/>
      <c r="D127" s="425"/>
      <c r="E127" s="425"/>
      <c r="F127" s="425"/>
      <c r="G127" s="425"/>
      <c r="H127" s="425"/>
      <c r="I127" s="425"/>
    </row>
    <row r="128" spans="2:9" x14ac:dyDescent="0.2">
      <c r="C128" s="452"/>
      <c r="D128" s="425"/>
      <c r="E128" s="425"/>
      <c r="F128" s="425"/>
      <c r="G128" s="425"/>
      <c r="H128" s="425"/>
      <c r="I128" s="425"/>
    </row>
    <row r="129" spans="3:9" x14ac:dyDescent="0.2">
      <c r="C129" s="452"/>
      <c r="D129" s="425"/>
      <c r="E129" s="425"/>
      <c r="F129" s="425"/>
      <c r="G129" s="425"/>
      <c r="H129" s="425"/>
      <c r="I129" s="425"/>
    </row>
    <row r="130" spans="3:9" x14ac:dyDescent="0.2">
      <c r="C130" s="452"/>
      <c r="D130" s="425"/>
      <c r="E130" s="425"/>
      <c r="F130" s="425"/>
      <c r="G130" s="425"/>
      <c r="H130" s="425"/>
      <c r="I130" s="425"/>
    </row>
  </sheetData>
  <mergeCells count="5">
    <mergeCell ref="M3:M5"/>
    <mergeCell ref="M9:M10"/>
    <mergeCell ref="M17:M20"/>
    <mergeCell ref="R17:R20"/>
    <mergeCell ref="T17:T20"/>
  </mergeCells>
  <dataValidations disablePrompts="1" count="1">
    <dataValidation type="list" allowBlank="1" showInputMessage="1" showErrorMessage="1" sqref="C9:C1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46"/>
  <sheetViews>
    <sheetView topLeftCell="C1" workbookViewId="0">
      <selection activeCell="J47" sqref="J47"/>
    </sheetView>
  </sheetViews>
  <sheetFormatPr defaultColWidth="9.5" defaultRowHeight="11.25" x14ac:dyDescent="0.2"/>
  <cols>
    <col min="1" max="1" width="9.5" style="432"/>
    <col min="2" max="2" width="31.1640625" style="432" bestFit="1" customWidth="1"/>
    <col min="3" max="3" width="22.6640625" style="432" bestFit="1" customWidth="1"/>
    <col min="4" max="4" width="20.1640625" style="432" bestFit="1" customWidth="1"/>
    <col min="5" max="5" width="10.6640625" style="432" customWidth="1"/>
    <col min="6" max="6" width="11.6640625" style="432" bestFit="1" customWidth="1"/>
    <col min="7" max="7" width="9.33203125" style="432" bestFit="1" customWidth="1"/>
    <col min="8" max="8" width="12.1640625" style="432" bestFit="1" customWidth="1"/>
    <col min="9" max="9" width="20.1640625" style="432" bestFit="1" customWidth="1"/>
    <col min="10" max="10" width="28" style="432" bestFit="1" customWidth="1"/>
    <col min="11" max="11" width="20.1640625" style="432" bestFit="1" customWidth="1"/>
    <col min="12" max="12" width="15.33203125" style="432" customWidth="1"/>
    <col min="13" max="13" width="11.6640625" style="432" bestFit="1" customWidth="1"/>
    <col min="14" max="14" width="9.5" style="432"/>
    <col min="15" max="15" width="12.6640625" style="432" bestFit="1" customWidth="1"/>
    <col min="16" max="17" width="12.1640625" style="432" customWidth="1"/>
    <col min="18" max="19" width="12.1640625" style="432" bestFit="1" customWidth="1"/>
    <col min="20" max="20" width="9.5" style="432"/>
    <col min="21" max="21" width="12.1640625" style="432" bestFit="1" customWidth="1"/>
    <col min="22" max="23" width="12.83203125" style="432" bestFit="1" customWidth="1"/>
    <col min="24" max="16384" width="9.5" style="432"/>
  </cols>
  <sheetData>
    <row r="1" spans="2:25" ht="12" thickBot="1" x14ac:dyDescent="0.25"/>
    <row r="2" spans="2:25" ht="22.5" x14ac:dyDescent="0.2">
      <c r="B2" s="443" t="s">
        <v>147</v>
      </c>
      <c r="C2" s="444" t="s">
        <v>126</v>
      </c>
      <c r="D2" s="444" t="s">
        <v>127</v>
      </c>
      <c r="E2" s="444" t="s">
        <v>105</v>
      </c>
      <c r="F2" s="444" t="s">
        <v>44</v>
      </c>
      <c r="G2" s="463"/>
      <c r="H2" s="463"/>
      <c r="I2" s="445"/>
      <c r="J2" s="432" t="s">
        <v>156</v>
      </c>
      <c r="K2" s="432" t="str">
        <f>_xll.qlInterpolation(,J2,C4:C6,I4:I6)</f>
        <v>obj_0066d#0006</v>
      </c>
      <c r="S2" s="487" t="s">
        <v>163</v>
      </c>
      <c r="U2" s="381"/>
      <c r="W2" s="518" t="s">
        <v>162</v>
      </c>
      <c r="X2" s="527"/>
      <c r="Y2" s="527"/>
    </row>
    <row r="3" spans="2:25" x14ac:dyDescent="0.2">
      <c r="B3" s="433" t="str">
        <f t="array" ref="B3:B6">_xll.ohFilter(SynthDepo!D15:D24,SynthDepo!J15:J24)</f>
        <v>Euribor6MLastFixing_Quote</v>
      </c>
      <c r="C3" s="434">
        <f t="array" ref="C3:C6">_xll.ohFilter(SynthDepo!E15:E24,SynthDepo!J15:J24)</f>
        <v>41866</v>
      </c>
      <c r="D3" s="434">
        <f t="array" ref="D3:D6">_xll.ohFilter(SynthDepo!F15:F24,SynthDepo!J15:J24)</f>
        <v>42051</v>
      </c>
      <c r="E3" s="435">
        <f t="array" ref="E3:E6">_xll.ohFilter(SynthDepo!G15:G24,SynthDepo!J15:J24)</f>
        <v>2.99E-3</v>
      </c>
      <c r="F3" s="436">
        <f t="array" ref="F3:F6">_xll.ohFilter(SynthDepo!H15:H24,SynthDepo!J15:J24)</f>
        <v>5.2124537933690329E-4</v>
      </c>
      <c r="G3" s="464">
        <f>E3*_xll.qlDayCounterYearFraction(DayCounter3M,C3,D3,,,Trigger)</f>
        <v>1.5365277777777777E-3</v>
      </c>
      <c r="H3" s="464">
        <f>F3*_xll.qlDayCounterYearFraction(DayCounterOIS,C3,D3,,,Trigger)</f>
        <v>2.6786220882590861E-4</v>
      </c>
      <c r="I3" s="489">
        <f>G3-H3</f>
        <v>1.2686655689518691E-3</v>
      </c>
      <c r="K3" s="539">
        <f t="array" ref="K3:K6">_xll.qlInterpolationInterpolate(K2,C3:C6,TRUE,Trigger)</f>
        <v>1.2045969542097328E-3</v>
      </c>
      <c r="M3" s="557" t="s">
        <v>155</v>
      </c>
      <c r="N3" s="532"/>
      <c r="O3" s="455">
        <f>I9</f>
        <v>4.3402559099816551E-2</v>
      </c>
      <c r="P3" s="456">
        <f>H9</f>
        <v>0.12844811409270032</v>
      </c>
      <c r="Q3" s="457">
        <f>G9</f>
        <v>0.50684931506849318</v>
      </c>
      <c r="R3" s="446"/>
      <c r="S3" s="459">
        <f t="array" ref="S3:S5">MMULT(W3:Y5,U3:U5)</f>
        <v>-2.9003018841813055E-3</v>
      </c>
      <c r="T3" s="460"/>
      <c r="U3" s="435">
        <f>K3</f>
        <v>1.2045969542097328E-3</v>
      </c>
      <c r="W3" s="453">
        <f t="array" ref="W3:Y5">MINVERSE(O3:Q5)</f>
        <v>142.31149124218871</v>
      </c>
      <c r="X3" s="432">
        <v>-286.9036153568486</v>
      </c>
      <c r="Y3" s="432">
        <v>142.24633030297545</v>
      </c>
    </row>
    <row r="4" spans="2:25" x14ac:dyDescent="0.2">
      <c r="B4" s="433" t="str">
        <v>EUR1x7F_Quote</v>
      </c>
      <c r="C4" s="434">
        <v>41897</v>
      </c>
      <c r="D4" s="434">
        <v>42079</v>
      </c>
      <c r="E4" s="435">
        <v>2.9300000000000003E-3</v>
      </c>
      <c r="F4" s="436">
        <v>5.2620898370263575E-4</v>
      </c>
      <c r="G4" s="464">
        <f>E4*_xll.qlDayCounterYearFraction(DayCounter3M,C4,D4,,,Trigger)</f>
        <v>1.481277777777778E-3</v>
      </c>
      <c r="H4" s="464">
        <f>F4*_xll.qlDayCounterYearFraction(DayCounterOIS,C4,D4,,,Trigger)</f>
        <v>2.660278750941103E-4</v>
      </c>
      <c r="I4" s="489">
        <f>G4-H4</f>
        <v>1.2152499026836677E-3</v>
      </c>
      <c r="K4" s="539">
        <v>1.2152499026836677E-3</v>
      </c>
      <c r="M4" s="557"/>
      <c r="N4" s="532"/>
      <c r="O4" s="455">
        <f>I10</f>
        <v>6.6038628988793133E-2</v>
      </c>
      <c r="P4" s="456">
        <f>H10</f>
        <v>0.16666541565021584</v>
      </c>
      <c r="Q4" s="457">
        <f>G10</f>
        <v>0.49863013698630143</v>
      </c>
      <c r="R4" s="447" t="str">
        <f>SynthDepo!AA10</f>
        <v>x</v>
      </c>
      <c r="S4" s="459">
        <v>2.4287618508114228E-3</v>
      </c>
      <c r="T4" s="447" t="str">
        <f>SynthDepo!AC10</f>
        <v>=</v>
      </c>
      <c r="U4" s="435">
        <f>I4</f>
        <v>1.2152499026836677E-3</v>
      </c>
      <c r="W4" s="453">
        <v>-106.8310920557801</v>
      </c>
      <c r="X4" s="432">
        <v>190.97403769304032</v>
      </c>
      <c r="Y4" s="432">
        <v>-82.381993570406706</v>
      </c>
    </row>
    <row r="5" spans="2:25" x14ac:dyDescent="0.2">
      <c r="B5" s="433" t="str">
        <v>EUR2x8F_Quote</v>
      </c>
      <c r="C5" s="434">
        <v>41927</v>
      </c>
      <c r="D5" s="434">
        <v>42109</v>
      </c>
      <c r="E5" s="435">
        <v>2.9200000000000003E-3</v>
      </c>
      <c r="F5" s="436">
        <v>4.9581695188439785E-4</v>
      </c>
      <c r="G5" s="464">
        <f>E5*_xll.qlDayCounterYearFraction(DayCounter3M,C5,D5,,,Trigger)</f>
        <v>1.4762222222222223E-3</v>
      </c>
      <c r="H5" s="464">
        <f>F5*_xll.qlDayCounterYearFraction(DayCounterOIS,C5,D5,,,Trigger)</f>
        <v>2.5066301456377893E-4</v>
      </c>
      <c r="I5" s="489">
        <f>G5-H5</f>
        <v>1.2255592076584434E-3</v>
      </c>
      <c r="K5" s="539">
        <v>1.2255592076584434E-3</v>
      </c>
      <c r="M5" s="557"/>
      <c r="N5" s="532"/>
      <c r="O5" s="455">
        <f>I11</f>
        <v>9.6804173939270877E-2</v>
      </c>
      <c r="P5" s="456">
        <f>H11</f>
        <v>0.20764871458059675</v>
      </c>
      <c r="Q5" s="457">
        <f>G11</f>
        <v>0.49863013698630143</v>
      </c>
      <c r="R5" s="449"/>
      <c r="S5" s="459">
        <v>2.0094879652556279E-3</v>
      </c>
      <c r="T5" s="447"/>
      <c r="U5" s="435">
        <f>I5</f>
        <v>1.2255592076584434E-3</v>
      </c>
      <c r="W5" s="453">
        <v>16.860177448699293</v>
      </c>
      <c r="X5" s="432">
        <v>-23.829377887647905</v>
      </c>
      <c r="Y5" s="432">
        <v>8.6967799315524701</v>
      </c>
    </row>
    <row r="6" spans="2:25" ht="12" thickBot="1" x14ac:dyDescent="0.25">
      <c r="B6" s="438" t="str">
        <v>EUR3x9F_Quote</v>
      </c>
      <c r="C6" s="439">
        <v>41960</v>
      </c>
      <c r="D6" s="439">
        <v>42142</v>
      </c>
      <c r="E6" s="440">
        <v>2.9100000000000003E-3</v>
      </c>
      <c r="F6" s="441">
        <v>4.5853879297256346E-4</v>
      </c>
      <c r="G6" s="465">
        <f>E6*_xll.qlDayCounterYearFraction(DayCounter3M,C6,D6,,,Trigger)</f>
        <v>1.4711666666666668E-3</v>
      </c>
      <c r="H6" s="465">
        <f>F6*_xll.qlDayCounterYearFraction(DayCounterOIS,C6,D6,,,Trigger)</f>
        <v>2.318168342250182E-4</v>
      </c>
      <c r="I6" s="490">
        <f>G6-H6</f>
        <v>1.2393498324416486E-3</v>
      </c>
      <c r="K6" s="539">
        <v>1.2393498324416486E-3</v>
      </c>
      <c r="N6" s="532"/>
      <c r="S6" s="461"/>
      <c r="T6" s="451"/>
      <c r="U6" s="462"/>
    </row>
    <row r="7" spans="2:25" ht="12" thickBot="1" x14ac:dyDescent="0.25">
      <c r="S7" s="461"/>
      <c r="T7" s="451"/>
      <c r="U7" s="462"/>
    </row>
    <row r="8" spans="2:25" ht="13.5" thickBot="1" x14ac:dyDescent="0.25">
      <c r="E8" s="443"/>
      <c r="F8" s="444"/>
      <c r="G8" s="471" t="s">
        <v>165</v>
      </c>
      <c r="H8" s="472" t="s">
        <v>166</v>
      </c>
      <c r="I8" s="473" t="s">
        <v>167</v>
      </c>
      <c r="J8" s="473" t="s">
        <v>170</v>
      </c>
      <c r="S8" s="488" t="s">
        <v>164</v>
      </c>
      <c r="T8" s="451"/>
      <c r="U8" s="462"/>
    </row>
    <row r="9" spans="2:25" x14ac:dyDescent="0.2">
      <c r="B9" s="443" t="s">
        <v>158</v>
      </c>
      <c r="C9" s="466" t="s">
        <v>17</v>
      </c>
      <c r="E9" s="491">
        <f>_xll.qlDayCounterYearFraction(DayCounterON,SettlementDate,C3,,,Trigger)</f>
        <v>0</v>
      </c>
      <c r="F9" s="492">
        <f>_xll.qlDayCounterYearFraction(DayCounterON,SettlementDate,D3,,,Trigger)</f>
        <v>0.50684931506849318</v>
      </c>
      <c r="G9" s="492">
        <f>F9-E9</f>
        <v>0.50684931506849318</v>
      </c>
      <c r="H9" s="492">
        <f>(F9^2-E9^2)/2</f>
        <v>0.12844811409270032</v>
      </c>
      <c r="I9" s="492">
        <f>(F9^3-E9^3)/3</f>
        <v>4.3402559099816551E-2</v>
      </c>
      <c r="J9" s="528">
        <f>(F9^4-E9^4)/4</f>
        <v>1.649891801397136E-2</v>
      </c>
      <c r="M9" s="558" t="s">
        <v>156</v>
      </c>
      <c r="O9" s="450"/>
      <c r="P9" s="455">
        <f>H9</f>
        <v>0.12844811409270032</v>
      </c>
      <c r="Q9" s="457">
        <f>G9</f>
        <v>0.50684931506849318</v>
      </c>
      <c r="R9" s="517" t="s">
        <v>55</v>
      </c>
      <c r="S9" s="459">
        <f t="array" ref="S9:S10">MMULT(W9:X10,U9:U10)</f>
        <v>7.490513748648793E-4</v>
      </c>
      <c r="T9" s="518" t="s">
        <v>56</v>
      </c>
      <c r="U9" s="435">
        <f>K3</f>
        <v>1.2045969542097328E-3</v>
      </c>
      <c r="W9" s="432">
        <f t="array" ref="W9:X10">MINVERSE(P9:Q10)</f>
        <v>-24.411360513055413</v>
      </c>
      <c r="X9" s="432">
        <v>24.813745576457421</v>
      </c>
    </row>
    <row r="10" spans="2:25" x14ac:dyDescent="0.2">
      <c r="B10" s="467" t="s">
        <v>159</v>
      </c>
      <c r="C10" s="468" t="s">
        <v>17</v>
      </c>
      <c r="E10" s="493">
        <f>_xll.qlDayCounterYearFraction(DayCounterON,SettlementDate,C4,,,Trigger)</f>
        <v>8.4931506849315067E-2</v>
      </c>
      <c r="F10" s="494">
        <f>_xll.qlDayCounterYearFraction(DayCounterON,SettlementDate,D4,,,Trigger)</f>
        <v>0.58356164383561648</v>
      </c>
      <c r="G10" s="494">
        <f t="shared" ref="G10:G12" si="0">F10-E10</f>
        <v>0.49863013698630143</v>
      </c>
      <c r="H10" s="494">
        <f t="shared" ref="H10:H12" si="1">(F10^2-E10^2)/2</f>
        <v>0.16666541565021584</v>
      </c>
      <c r="I10" s="494">
        <f t="shared" ref="I10:I12" si="2">(F10^3-E10^3)/3</f>
        <v>6.6038628988793133E-2</v>
      </c>
      <c r="J10" s="529">
        <f>(F10^4-E10^4)/4</f>
        <v>2.8979578559108654E-2</v>
      </c>
      <c r="M10" s="558"/>
      <c r="O10" s="450"/>
      <c r="P10" s="455">
        <f>H10</f>
        <v>0.16666541565021584</v>
      </c>
      <c r="Q10" s="457">
        <f>G10</f>
        <v>0.49863013698630143</v>
      </c>
      <c r="R10" s="517"/>
      <c r="S10" s="459">
        <v>2.1868091458306736E-3</v>
      </c>
      <c r="T10" s="518"/>
      <c r="U10" s="435">
        <f>I4</f>
        <v>1.2152499026836677E-3</v>
      </c>
      <c r="W10" s="432">
        <v>8.1594136509390705</v>
      </c>
      <c r="X10" s="432">
        <v>-6.288414974855649</v>
      </c>
    </row>
    <row r="11" spans="2:25" ht="12" thickBot="1" x14ac:dyDescent="0.25">
      <c r="B11" s="469" t="s">
        <v>160</v>
      </c>
      <c r="C11" s="470" t="s">
        <v>161</v>
      </c>
      <c r="E11" s="493">
        <f>_xll.qlDayCounterYearFraction(DayCounterON,SettlementDate,C5,,,Trigger)</f>
        <v>0.16712328767123288</v>
      </c>
      <c r="F11" s="494">
        <f>_xll.qlDayCounterYearFraction(DayCounterON,SettlementDate,D5,,,Trigger)</f>
        <v>0.66575342465753429</v>
      </c>
      <c r="G11" s="494">
        <f t="shared" si="0"/>
        <v>0.49863013698630143</v>
      </c>
      <c r="H11" s="494">
        <f t="shared" si="1"/>
        <v>0.20764871458059675</v>
      </c>
      <c r="I11" s="494">
        <f t="shared" si="2"/>
        <v>9.6804173939270877E-2</v>
      </c>
      <c r="J11" s="529">
        <f>(F11^4-E11^4)/4</f>
        <v>4.89176573999777E-2</v>
      </c>
      <c r="S11" s="461"/>
      <c r="T11" s="451"/>
      <c r="U11" s="462"/>
    </row>
    <row r="12" spans="2:25" ht="12.75" thickBot="1" x14ac:dyDescent="0.25">
      <c r="E12" s="495">
        <f>_xll.qlDayCounterYearFraction(DayCounterON,SettlementDate,C6,,,Trigger)</f>
        <v>0.25753424657534246</v>
      </c>
      <c r="F12" s="496">
        <f>_xll.qlDayCounterYearFraction(DayCounterON,SettlementDate,D6,,,Trigger)</f>
        <v>0.75616438356164384</v>
      </c>
      <c r="G12" s="496">
        <f t="shared" si="0"/>
        <v>0.49863013698630138</v>
      </c>
      <c r="H12" s="496">
        <f t="shared" si="1"/>
        <v>0.25273034340401579</v>
      </c>
      <c r="I12" s="496">
        <f t="shared" si="2"/>
        <v>0.13842748603103036</v>
      </c>
      <c r="J12" s="530">
        <f>(F12^4-E12^4)/4</f>
        <v>8.0634685507458018E-2</v>
      </c>
      <c r="S12" s="487" t="s">
        <v>47</v>
      </c>
      <c r="T12" s="451"/>
      <c r="U12" s="462"/>
    </row>
    <row r="13" spans="2:25" x14ac:dyDescent="0.2">
      <c r="M13" s="531" t="s">
        <v>157</v>
      </c>
      <c r="P13" s="381"/>
      <c r="Q13" s="458">
        <f>G9</f>
        <v>0.50684931506849318</v>
      </c>
      <c r="R13" s="531" t="s">
        <v>55</v>
      </c>
      <c r="S13" s="459">
        <f>MMULT(W13,U13)</f>
        <v>2.3766372339813643E-3</v>
      </c>
      <c r="T13" s="531" t="s">
        <v>56</v>
      </c>
      <c r="U13" s="435">
        <f>K3</f>
        <v>1.2045969542097328E-3</v>
      </c>
      <c r="W13" s="432">
        <f>MINVERSE(Q13)</f>
        <v>1.9729729729729728</v>
      </c>
    </row>
    <row r="15" spans="2:25" ht="12" thickBot="1" x14ac:dyDescent="0.25"/>
    <row r="16" spans="2:25" ht="24.75" customHeight="1" x14ac:dyDescent="0.2">
      <c r="B16" s="443" t="s">
        <v>126</v>
      </c>
      <c r="C16" s="443"/>
      <c r="D16" s="444" t="s">
        <v>57</v>
      </c>
      <c r="E16" s="444" t="s">
        <v>142</v>
      </c>
      <c r="F16" s="445" t="s">
        <v>143</v>
      </c>
      <c r="G16" s="445" t="s">
        <v>171</v>
      </c>
    </row>
    <row r="17" spans="2:26" x14ac:dyDescent="0.2">
      <c r="B17" s="480">
        <f>SettlementDate</f>
        <v>41866</v>
      </c>
      <c r="C17" s="476">
        <f>_xll.qlDayCounterYearFraction(DayCounterON,SettlementDate,B17,,,Trigger)</f>
        <v>0</v>
      </c>
      <c r="D17" s="481">
        <f t="shared" ref="D17:D48" si="3">$S$13</f>
        <v>2.3766372339813643E-3</v>
      </c>
      <c r="E17" s="481">
        <f t="shared" ref="E17:E48" si="4">$S$10+$S$9*C17</f>
        <v>2.1868091458306736E-3</v>
      </c>
      <c r="F17" s="482">
        <f t="shared" ref="F17:F48" si="5">($S$5+$S$4*C17+$S$3*C17^2)</f>
        <v>2.0094879652556279E-3</v>
      </c>
      <c r="G17" s="482">
        <f>($S$20+$S$19*C17+$S$18*C17^2+$S$17*C17^3)</f>
        <v>1.8516503133813155E-3</v>
      </c>
      <c r="H17" s="448"/>
      <c r="I17" s="448"/>
      <c r="M17" s="559" t="s">
        <v>171</v>
      </c>
      <c r="N17" s="533">
        <f>J9</f>
        <v>1.649891801397136E-2</v>
      </c>
      <c r="O17" s="534">
        <f>I9</f>
        <v>4.3402559099816551E-2</v>
      </c>
      <c r="P17" s="534">
        <f>H9</f>
        <v>0.12844811409270032</v>
      </c>
      <c r="Q17" s="535">
        <f>G9</f>
        <v>0.50684931506849318</v>
      </c>
      <c r="R17" s="560" t="s">
        <v>55</v>
      </c>
      <c r="S17" s="459">
        <f t="array" ref="S17:S20">MMULT(W17:Z20,U17:U20)</f>
        <v>1.2108331810074091E-2</v>
      </c>
      <c r="T17" s="560" t="s">
        <v>56</v>
      </c>
      <c r="U17" s="435">
        <f>K3</f>
        <v>1.2045969542097328E-3</v>
      </c>
      <c r="W17" s="432">
        <f t="array" ref="W17:Z20">MINVERSE(N17:Q20)</f>
        <v>-535.9380011165556</v>
      </c>
      <c r="X17" s="432">
        <v>1612.8426093692146</v>
      </c>
      <c r="Y17" s="432">
        <v>-1552.050335484575</v>
      </c>
      <c r="Z17" s="432">
        <v>483.97987010746334</v>
      </c>
    </row>
    <row r="18" spans="2:26" x14ac:dyDescent="0.2">
      <c r="B18" s="483">
        <f>_xll.qlCalendarAdvance(Calendar,B17,"1d","mf")</f>
        <v>41869</v>
      </c>
      <c r="C18" s="476">
        <f>_xll.qlDayCounterYearFraction(DayCounterON,SettlementDate,B18,,,Trigger)</f>
        <v>8.21917808219178E-3</v>
      </c>
      <c r="D18" s="484">
        <f t="shared" si="3"/>
        <v>2.3766372339813643E-3</v>
      </c>
      <c r="E18" s="484">
        <f t="shared" si="4"/>
        <v>2.1929657324733986E-3</v>
      </c>
      <c r="F18" s="437">
        <f t="shared" si="5"/>
        <v>2.0292544618567229E-3</v>
      </c>
      <c r="G18" s="437">
        <f t="shared" ref="G18:G81" si="6">($S$20+$S$19*C18+$S$18*C18^2+$S$17*C18^3)</f>
        <v>1.8963067558904032E-3</v>
      </c>
      <c r="H18" s="448"/>
      <c r="I18" s="448"/>
      <c r="M18" s="559"/>
      <c r="N18" s="533">
        <f>J10</f>
        <v>2.8979578559108654E-2</v>
      </c>
      <c r="O18" s="534">
        <f t="shared" ref="O18:O20" si="7">I10</f>
        <v>6.6038628988793133E-2</v>
      </c>
      <c r="P18" s="534">
        <f t="shared" ref="P18:P20" si="8">H10</f>
        <v>0.16666541565021584</v>
      </c>
      <c r="Q18" s="535">
        <f t="shared" ref="Q18:Q20" si="9">G10</f>
        <v>0.49863013698630143</v>
      </c>
      <c r="R18" s="560"/>
      <c r="S18" s="459">
        <v>-1.4911730938659939E-2</v>
      </c>
      <c r="T18" s="560"/>
      <c r="U18" s="435">
        <f t="shared" ref="U18:U20" si="10">I4</f>
        <v>1.2152499026836677E-3</v>
      </c>
      <c r="W18" s="432">
        <v>673.96039044520228</v>
      </c>
      <c r="X18" s="432">
        <v>-1886.8386751444395</v>
      </c>
      <c r="Y18" s="432">
        <v>1681.8756356497872</v>
      </c>
      <c r="Z18" s="432">
        <v>-480.10658815569019</v>
      </c>
    </row>
    <row r="19" spans="2:26" x14ac:dyDescent="0.2">
      <c r="B19" s="483">
        <f>_xll.qlCalendarAdvance(Calendar,B18,"1d","mf")</f>
        <v>41870</v>
      </c>
      <c r="C19" s="476">
        <f>_xll.qlDayCounterYearFraction(DayCounterON,SettlementDate,B19,,,Trigger)</f>
        <v>1.0958904109589041E-2</v>
      </c>
      <c r="D19" s="484">
        <f t="shared" si="3"/>
        <v>2.3766372339813643E-3</v>
      </c>
      <c r="E19" s="484">
        <f t="shared" si="4"/>
        <v>2.1950179280209735E-3</v>
      </c>
      <c r="F19" s="437">
        <f t="shared" si="5"/>
        <v>2.0357562142482174E-3</v>
      </c>
      <c r="G19" s="437">
        <f t="shared" si="6"/>
        <v>1.9107514931319149E-3</v>
      </c>
      <c r="H19" s="448"/>
      <c r="I19" s="448"/>
      <c r="M19" s="559"/>
      <c r="N19" s="533">
        <f>J11</f>
        <v>4.89176573999777E-2</v>
      </c>
      <c r="O19" s="534">
        <f t="shared" si="7"/>
        <v>9.6804173939270877E-2</v>
      </c>
      <c r="P19" s="534">
        <f t="shared" si="8"/>
        <v>0.20764871458059675</v>
      </c>
      <c r="Q19" s="535">
        <f t="shared" si="9"/>
        <v>0.49863013698630143</v>
      </c>
      <c r="R19" s="560"/>
      <c r="S19" s="459">
        <v>5.5549447003674091E-3</v>
      </c>
      <c r="T19" s="560"/>
      <c r="U19" s="435">
        <f t="shared" si="10"/>
        <v>1.2255592076584434E-3</v>
      </c>
      <c r="W19" s="432">
        <v>-245.20194394488539</v>
      </c>
      <c r="X19" s="432">
        <v>607.38490118195045</v>
      </c>
      <c r="Y19" s="432">
        <v>-483.09723796127082</v>
      </c>
      <c r="Z19" s="432">
        <v>124.95607100901147</v>
      </c>
    </row>
    <row r="20" spans="2:26" x14ac:dyDescent="0.2">
      <c r="B20" s="483">
        <f>_xll.qlCalendarAdvance(Calendar,B19,"1d","mf")</f>
        <v>41871</v>
      </c>
      <c r="C20" s="476">
        <f>_xll.qlDayCounterYearFraction(DayCounterON,SettlementDate,B20,,,Trigger)</f>
        <v>1.3698630136986301E-2</v>
      </c>
      <c r="D20" s="484">
        <f t="shared" si="3"/>
        <v>2.3766372339813643E-3</v>
      </c>
      <c r="E20" s="484">
        <f t="shared" si="4"/>
        <v>2.1970701235685488E-3</v>
      </c>
      <c r="F20" s="437">
        <f t="shared" si="5"/>
        <v>2.0422144267352774E-3</v>
      </c>
      <c r="G20" s="437">
        <f t="shared" si="6"/>
        <v>1.9249783486125415E-3</v>
      </c>
      <c r="H20" s="448"/>
      <c r="I20" s="448"/>
      <c r="M20" s="559"/>
      <c r="N20" s="533">
        <f>J12</f>
        <v>8.0634685507458018E-2</v>
      </c>
      <c r="O20" s="534">
        <f t="shared" si="7"/>
        <v>0.13842748603103036</v>
      </c>
      <c r="P20" s="534">
        <f t="shared" si="8"/>
        <v>0.25273034340401579</v>
      </c>
      <c r="Q20" s="535">
        <f t="shared" si="9"/>
        <v>0.49863013698630138</v>
      </c>
      <c r="R20" s="560"/>
      <c r="S20" s="459">
        <v>1.8516503133813155E-3</v>
      </c>
      <c r="T20" s="560"/>
      <c r="U20" s="435">
        <f t="shared" si="10"/>
        <v>1.2393498324416486E-3</v>
      </c>
      <c r="W20" s="432">
        <v>23.846374802167084</v>
      </c>
      <c r="X20" s="432">
        <v>-44.853520131080231</v>
      </c>
      <c r="Y20" s="432">
        <v>28.928467036443831</v>
      </c>
      <c r="Z20" s="432">
        <v>-6.3088993141598086</v>
      </c>
    </row>
    <row r="21" spans="2:26" x14ac:dyDescent="0.2">
      <c r="B21" s="483">
        <f>_xll.qlCalendarAdvance(Calendar,B20,"1d","mf")</f>
        <v>41872</v>
      </c>
      <c r="C21" s="476">
        <f>_xll.qlDayCounterYearFraction(DayCounterON,SettlementDate,B21,,,Trigger)</f>
        <v>1.643835616438356E-2</v>
      </c>
      <c r="D21" s="484">
        <f t="shared" si="3"/>
        <v>2.3766372339813643E-3</v>
      </c>
      <c r="E21" s="484">
        <f t="shared" si="4"/>
        <v>2.1991223191161237E-3</v>
      </c>
      <c r="F21" s="437">
        <f t="shared" si="5"/>
        <v>2.0486290993179022E-3</v>
      </c>
      <c r="G21" s="437">
        <f t="shared" si="6"/>
        <v>1.9389888163542071E-3</v>
      </c>
      <c r="H21" s="448"/>
      <c r="I21" s="448"/>
    </row>
    <row r="22" spans="2:26" x14ac:dyDescent="0.2">
      <c r="B22" s="483">
        <f>_xll.qlCalendarAdvance(Calendar,B21,"1d","mf")</f>
        <v>41873</v>
      </c>
      <c r="C22" s="476">
        <f>_xll.qlDayCounterYearFraction(DayCounterON,SettlementDate,B22,,,Trigger)</f>
        <v>1.9178082191780823E-2</v>
      </c>
      <c r="D22" s="484">
        <f t="shared" si="3"/>
        <v>2.3766372339813643E-3</v>
      </c>
      <c r="E22" s="484">
        <f t="shared" si="4"/>
        <v>2.2011745146636986E-3</v>
      </c>
      <c r="F22" s="437">
        <f t="shared" si="5"/>
        <v>2.055000231996092E-3</v>
      </c>
      <c r="G22" s="437">
        <f t="shared" si="6"/>
        <v>1.952784390378836E-3</v>
      </c>
      <c r="H22" s="448"/>
      <c r="I22" s="448"/>
    </row>
    <row r="23" spans="2:26" x14ac:dyDescent="0.2">
      <c r="B23" s="483">
        <f>_xll.qlCalendarAdvance(Calendar,B22,"1d","mf")</f>
        <v>41876</v>
      </c>
      <c r="C23" s="476">
        <f>_xll.qlDayCounterYearFraction(DayCounterON,SettlementDate,B23,,,Trigger)</f>
        <v>2.7397260273972601E-2</v>
      </c>
      <c r="D23" s="484">
        <f t="shared" si="3"/>
        <v>2.3766372339813643E-3</v>
      </c>
      <c r="E23" s="484">
        <f t="shared" si="4"/>
        <v>2.2073311013064236E-3</v>
      </c>
      <c r="F23" s="437">
        <f t="shared" si="5"/>
        <v>2.0738523906040506E-3</v>
      </c>
      <c r="G23" s="437">
        <f t="shared" si="6"/>
        <v>1.992896690369745E-3</v>
      </c>
      <c r="H23" s="448"/>
      <c r="I23" s="448"/>
    </row>
    <row r="24" spans="2:26" x14ac:dyDescent="0.2">
      <c r="B24" s="483">
        <f>_xll.qlCalendarAdvance(Calendar,B23,"1d","mf")</f>
        <v>41877</v>
      </c>
      <c r="C24" s="476">
        <f>_xll.qlDayCounterYearFraction(DayCounterON,SettlementDate,B24,,,Trigger)</f>
        <v>3.0136986301369864E-2</v>
      </c>
      <c r="D24" s="484">
        <f t="shared" si="3"/>
        <v>2.3766372339813643E-3</v>
      </c>
      <c r="E24" s="484">
        <f t="shared" si="4"/>
        <v>2.2093832968539985E-3</v>
      </c>
      <c r="F24" s="437">
        <f t="shared" si="5"/>
        <v>2.0800493636644996E-3</v>
      </c>
      <c r="G24" s="437">
        <f t="shared" si="6"/>
        <v>2.0058476297454687E-3</v>
      </c>
      <c r="H24" s="448"/>
      <c r="I24" s="448"/>
    </row>
    <row r="25" spans="2:26" x14ac:dyDescent="0.2">
      <c r="B25" s="483">
        <f>_xll.qlCalendarAdvance(Calendar,B24,"1d","mf")</f>
        <v>41878</v>
      </c>
      <c r="C25" s="476">
        <f>_xll.qlDayCounterYearFraction(DayCounterON,SettlementDate,B25,,,Trigger)</f>
        <v>3.287671232876712E-2</v>
      </c>
      <c r="D25" s="484">
        <f t="shared" si="3"/>
        <v>2.3766372339813643E-3</v>
      </c>
      <c r="E25" s="484">
        <f t="shared" si="4"/>
        <v>2.2114354924015738E-3</v>
      </c>
      <c r="F25" s="437">
        <f t="shared" si="5"/>
        <v>2.0862027968205138E-3</v>
      </c>
      <c r="G25" s="437">
        <f t="shared" si="6"/>
        <v>2.0185911455137769E-3</v>
      </c>
      <c r="H25" s="448"/>
      <c r="I25" s="448"/>
    </row>
    <row r="26" spans="2:26" x14ac:dyDescent="0.2">
      <c r="B26" s="483">
        <f>_xll.qlCalendarAdvance(Calendar,B25,"1d","mf")</f>
        <v>41879</v>
      </c>
      <c r="C26" s="476">
        <f>_xll.qlDayCounterYearFraction(DayCounterON,SettlementDate,B26,,,Trigger)</f>
        <v>3.5616438356164383E-2</v>
      </c>
      <c r="D26" s="484">
        <f t="shared" si="3"/>
        <v>2.3766372339813643E-3</v>
      </c>
      <c r="E26" s="484">
        <f t="shared" si="4"/>
        <v>2.2134876879491487E-3</v>
      </c>
      <c r="F26" s="437">
        <f t="shared" si="5"/>
        <v>2.092312690072093E-3</v>
      </c>
      <c r="G26" s="437">
        <f t="shared" si="6"/>
        <v>2.0311287316965936E-3</v>
      </c>
      <c r="H26" s="448"/>
      <c r="I26" s="448"/>
    </row>
    <row r="27" spans="2:26" x14ac:dyDescent="0.2">
      <c r="B27" s="483">
        <f>_xll.qlCalendarAdvance(Calendar,B26,"1d","mf")</f>
        <v>41880</v>
      </c>
      <c r="C27" s="476">
        <f>_xll.qlDayCounterYearFraction(DayCounterON,SettlementDate,B27,,,Trigger)</f>
        <v>3.8356164383561646E-2</v>
      </c>
      <c r="D27" s="484">
        <f t="shared" si="3"/>
        <v>2.3766372339813643E-3</v>
      </c>
      <c r="E27" s="484">
        <f t="shared" si="4"/>
        <v>2.2155398834967236E-3</v>
      </c>
      <c r="F27" s="437">
        <f t="shared" si="5"/>
        <v>2.098379043419237E-3</v>
      </c>
      <c r="G27" s="437">
        <f t="shared" si="6"/>
        <v>2.0434618823158431E-3</v>
      </c>
      <c r="H27" s="448"/>
      <c r="I27" s="448"/>
    </row>
    <row r="28" spans="2:26" x14ac:dyDescent="0.2">
      <c r="B28" s="483">
        <f>_xll.qlCalendarAdvance(Calendar,B27,"1d","mf")</f>
        <v>41883</v>
      </c>
      <c r="C28" s="476">
        <f>_xll.qlDayCounterYearFraction(DayCounterON,SettlementDate,B28,,,Trigger)</f>
        <v>4.6575342465753428E-2</v>
      </c>
      <c r="D28" s="484">
        <f t="shared" si="3"/>
        <v>2.3766372339813643E-3</v>
      </c>
      <c r="E28" s="484">
        <f t="shared" si="4"/>
        <v>2.2216964701394486E-3</v>
      </c>
      <c r="F28" s="437">
        <f t="shared" si="5"/>
        <v>2.1163168640340592E-3</v>
      </c>
      <c r="G28" s="437">
        <f t="shared" si="6"/>
        <v>2.0792496610114288E-3</v>
      </c>
      <c r="H28" s="448"/>
      <c r="I28" s="448"/>
    </row>
    <row r="29" spans="2:26" x14ac:dyDescent="0.2">
      <c r="B29" s="483">
        <f>_xll.qlCalendarAdvance(Calendar,B28,"1d","mf")</f>
        <v>41884</v>
      </c>
      <c r="C29" s="476">
        <f>_xll.qlDayCounterYearFraction(DayCounterON,SettlementDate,B29,,,Trigger)</f>
        <v>4.9315068493150684E-2</v>
      </c>
      <c r="D29" s="484">
        <f t="shared" si="3"/>
        <v>2.3766372339813643E-3</v>
      </c>
      <c r="E29" s="484">
        <f t="shared" si="4"/>
        <v>2.223748665687024E-3</v>
      </c>
      <c r="F29" s="437">
        <f t="shared" si="5"/>
        <v>2.1222090577634628E-3</v>
      </c>
      <c r="G29" s="437">
        <f t="shared" si="6"/>
        <v>2.0907800095956502E-3</v>
      </c>
      <c r="H29" s="448"/>
      <c r="I29" s="448"/>
    </row>
    <row r="30" spans="2:26" x14ac:dyDescent="0.2">
      <c r="B30" s="483">
        <f>_xll.qlCalendarAdvance(Calendar,B29,"1d","mf")</f>
        <v>41885</v>
      </c>
      <c r="C30" s="476">
        <f>_xll.qlDayCounterYearFraction(DayCounterON,SettlementDate,B30,,,Trigger)</f>
        <v>5.2054794520547946E-2</v>
      </c>
      <c r="D30" s="484">
        <f t="shared" si="3"/>
        <v>2.3766372339813643E-3</v>
      </c>
      <c r="E30" s="484">
        <f t="shared" si="4"/>
        <v>2.2258008612345988E-3</v>
      </c>
      <c r="F30" s="437">
        <f t="shared" si="5"/>
        <v>2.1280577115884314E-3</v>
      </c>
      <c r="G30" s="437">
        <f t="shared" si="6"/>
        <v>2.1021133927259256E-3</v>
      </c>
      <c r="H30" s="448"/>
      <c r="I30" s="448"/>
    </row>
    <row r="31" spans="2:26" x14ac:dyDescent="0.2">
      <c r="B31" s="483">
        <f>_xll.qlCalendarAdvance(Calendar,B30,"1d","mf")</f>
        <v>41886</v>
      </c>
      <c r="C31" s="476">
        <f>_xll.qlDayCounterYearFraction(DayCounterON,SettlementDate,B31,,,Trigger)</f>
        <v>5.4794520547945202E-2</v>
      </c>
      <c r="D31" s="484">
        <f t="shared" si="3"/>
        <v>2.3766372339813643E-3</v>
      </c>
      <c r="E31" s="484">
        <f t="shared" si="4"/>
        <v>2.2278530567821737E-3</v>
      </c>
      <c r="F31" s="437">
        <f t="shared" si="5"/>
        <v>2.1338628255089653E-3</v>
      </c>
      <c r="G31" s="437">
        <f t="shared" si="6"/>
        <v>2.113251304424179E-3</v>
      </c>
      <c r="H31" s="448"/>
      <c r="I31" s="448"/>
    </row>
    <row r="32" spans="2:26" x14ac:dyDescent="0.2">
      <c r="B32" s="483">
        <f>_xll.qlCalendarAdvance(Calendar,B31,"1d","mf")</f>
        <v>41887</v>
      </c>
      <c r="C32" s="476">
        <f>_xll.qlDayCounterYearFraction(DayCounterON,SettlementDate,B32,,,Trigger)</f>
        <v>5.7534246575342465E-2</v>
      </c>
      <c r="D32" s="484">
        <f t="shared" si="3"/>
        <v>2.3766372339813643E-3</v>
      </c>
      <c r="E32" s="484">
        <f t="shared" si="4"/>
        <v>2.229905252329749E-3</v>
      </c>
      <c r="F32" s="437">
        <f t="shared" si="5"/>
        <v>2.1396243995250638E-3</v>
      </c>
      <c r="G32" s="437">
        <f t="shared" si="6"/>
        <v>2.1241952387123339E-3</v>
      </c>
      <c r="H32" s="448"/>
      <c r="I32" s="448"/>
    </row>
    <row r="33" spans="2:21" x14ac:dyDescent="0.2">
      <c r="B33" s="483">
        <f>_xll.qlCalendarAdvance(Calendar,B32,"1d","mf")</f>
        <v>41890</v>
      </c>
      <c r="C33" s="476">
        <f>_xll.qlDayCounterYearFraction(DayCounterON,SettlementDate,B33,,,Trigger)</f>
        <v>6.575342465753424E-2</v>
      </c>
      <c r="D33" s="484">
        <f t="shared" si="3"/>
        <v>2.3766372339813643E-3</v>
      </c>
      <c r="E33" s="484">
        <f t="shared" si="4"/>
        <v>2.2360618389724736E-3</v>
      </c>
      <c r="F33" s="437">
        <f t="shared" si="5"/>
        <v>2.1566478821467491E-3</v>
      </c>
      <c r="G33" s="437">
        <f t="shared" si="6"/>
        <v>2.1558781173354529E-3</v>
      </c>
      <c r="H33" s="448"/>
      <c r="I33" s="448"/>
    </row>
    <row r="34" spans="2:21" x14ac:dyDescent="0.2">
      <c r="B34" s="483">
        <f>_xll.qlCalendarAdvance(Calendar,B33,"1d","mf")</f>
        <v>41891</v>
      </c>
      <c r="C34" s="476">
        <f>_xll.qlDayCounterYearFraction(DayCounterON,SettlementDate,B34,,,Trigger)</f>
        <v>6.8493150684931503E-2</v>
      </c>
      <c r="D34" s="484">
        <f t="shared" si="3"/>
        <v>2.3766372339813643E-3</v>
      </c>
      <c r="E34" s="484">
        <f t="shared" si="4"/>
        <v>2.238114034520049E-3</v>
      </c>
      <c r="F34" s="437">
        <f t="shared" si="5"/>
        <v>2.1622352965451072E-3</v>
      </c>
      <c r="G34" s="437">
        <f t="shared" si="6"/>
        <v>2.1660610822024583E-3</v>
      </c>
      <c r="H34" s="448"/>
      <c r="I34" s="448"/>
    </row>
    <row r="35" spans="2:21" x14ac:dyDescent="0.2">
      <c r="B35" s="483">
        <f>_xll.qlCalendarAdvance(Calendar,B34,"1d","mf")</f>
        <v>41892</v>
      </c>
      <c r="C35" s="476">
        <f>_xll.qlDayCounterYearFraction(DayCounterON,SettlementDate,B35,,,Trigger)</f>
        <v>7.1232876712328766E-2</v>
      </c>
      <c r="D35" s="484">
        <f t="shared" si="3"/>
        <v>2.3766372339813643E-3</v>
      </c>
      <c r="E35" s="484">
        <f t="shared" si="4"/>
        <v>2.2401662300676238E-3</v>
      </c>
      <c r="F35" s="437">
        <f t="shared" si="5"/>
        <v>2.1677791710390305E-3</v>
      </c>
      <c r="G35" s="437">
        <f t="shared" si="6"/>
        <v>2.1760575397689864E-3</v>
      </c>
      <c r="H35" s="448"/>
      <c r="I35" s="448"/>
    </row>
    <row r="36" spans="2:21" x14ac:dyDescent="0.2">
      <c r="B36" s="483">
        <f>_xll.qlCalendarAdvance(Calendar,B35,"1d","mf")</f>
        <v>41893</v>
      </c>
      <c r="C36" s="476">
        <f>_xll.qlDayCounterYearFraction(DayCounterON,SettlementDate,B36,,,Trigger)</f>
        <v>7.3972602739726029E-2</v>
      </c>
      <c r="D36" s="484">
        <f t="shared" si="3"/>
        <v>2.3766372339813643E-3</v>
      </c>
      <c r="E36" s="484">
        <f t="shared" si="4"/>
        <v>2.2422184256151987E-3</v>
      </c>
      <c r="F36" s="437">
        <f t="shared" si="5"/>
        <v>2.1732795056285188E-3</v>
      </c>
      <c r="G36" s="437">
        <f t="shared" si="6"/>
        <v>2.1858689840569615E-3</v>
      </c>
      <c r="H36" s="448"/>
      <c r="I36" s="448"/>
    </row>
    <row r="37" spans="2:21" x14ac:dyDescent="0.2">
      <c r="B37" s="483">
        <f>_xll.qlCalendarAdvance(Calendar,B36,"1d","mf")</f>
        <v>41894</v>
      </c>
      <c r="C37" s="476">
        <f>_xll.qlDayCounterYearFraction(DayCounterON,SettlementDate,B37,,,Trigger)</f>
        <v>7.6712328767123292E-2</v>
      </c>
      <c r="D37" s="484">
        <f t="shared" si="3"/>
        <v>2.3766372339813643E-3</v>
      </c>
      <c r="E37" s="484">
        <f t="shared" si="4"/>
        <v>2.244270621162774E-3</v>
      </c>
      <c r="F37" s="437">
        <f t="shared" si="5"/>
        <v>2.1787363003135719E-3</v>
      </c>
      <c r="G37" s="437">
        <f t="shared" si="6"/>
        <v>2.1954969090883076E-3</v>
      </c>
      <c r="H37" s="448"/>
      <c r="I37" s="448"/>
    </row>
    <row r="38" spans="2:21" x14ac:dyDescent="0.2">
      <c r="B38" s="483">
        <f>_xll.qlCalendarAdvance(Calendar,B37,"1d","mf")</f>
        <v>41897</v>
      </c>
      <c r="C38" s="476">
        <f>_xll.qlDayCounterYearFraction(DayCounterON,SettlementDate,B38,,,Trigger)</f>
        <v>8.4931506849315067E-2</v>
      </c>
      <c r="D38" s="484">
        <f t="shared" si="3"/>
        <v>2.3766372339813643E-3</v>
      </c>
      <c r="E38" s="484">
        <f t="shared" si="4"/>
        <v>2.2504272078054991E-3</v>
      </c>
      <c r="F38" s="437">
        <f t="shared" si="5"/>
        <v>2.1948454449421204E-3</v>
      </c>
      <c r="G38" s="437">
        <f t="shared" si="6"/>
        <v>2.2232945088618162E-3</v>
      </c>
      <c r="H38" s="448"/>
      <c r="I38" s="448"/>
    </row>
    <row r="39" spans="2:21" x14ac:dyDescent="0.2">
      <c r="B39" s="483">
        <f>_xll.qlCalendarAdvance(Calendar,B38,"1d","mf")</f>
        <v>41898</v>
      </c>
      <c r="C39" s="476">
        <f>_xll.qlDayCounterYearFraction(DayCounterON,SettlementDate,B39,,,Trigger)</f>
        <v>8.7671232876712329E-2</v>
      </c>
      <c r="D39" s="484">
        <f t="shared" si="3"/>
        <v>2.3766372339813643E-3</v>
      </c>
      <c r="E39" s="484">
        <f t="shared" si="4"/>
        <v>2.252479403353074E-3</v>
      </c>
      <c r="F39" s="437">
        <f t="shared" si="5"/>
        <v>2.2001280800094335E-3</v>
      </c>
      <c r="G39" s="437">
        <f t="shared" si="6"/>
        <v>2.2322032970858901E-3</v>
      </c>
      <c r="H39" s="448"/>
      <c r="I39" s="448"/>
    </row>
    <row r="40" spans="2:21" x14ac:dyDescent="0.2">
      <c r="B40" s="483">
        <f>_xll.qlCalendarAdvance(Calendar,B39,"1d","mf")</f>
        <v>41899</v>
      </c>
      <c r="C40" s="476">
        <f>_xll.qlDayCounterYearFraction(DayCounterON,SettlementDate,B40,,,Trigger)</f>
        <v>9.0410958904109592E-2</v>
      </c>
      <c r="D40" s="484">
        <f t="shared" si="3"/>
        <v>2.3766372339813643E-3</v>
      </c>
      <c r="E40" s="484">
        <f t="shared" si="4"/>
        <v>2.2545315989006488E-3</v>
      </c>
      <c r="F40" s="437">
        <f t="shared" si="5"/>
        <v>2.2053671751723113E-3</v>
      </c>
      <c r="G40" s="437">
        <f t="shared" si="6"/>
        <v>2.2409360361629557E-3</v>
      </c>
      <c r="H40" s="448"/>
      <c r="I40" s="448"/>
    </row>
    <row r="41" spans="2:21" x14ac:dyDescent="0.2">
      <c r="B41" s="483">
        <f>_xll.qlCalendarAdvance(Calendar,B40,"1d","mf")</f>
        <v>41900</v>
      </c>
      <c r="C41" s="476">
        <f>_xll.qlDayCounterYearFraction(DayCounterON,SettlementDate,B41,,,Trigger)</f>
        <v>9.3150684931506855E-2</v>
      </c>
      <c r="D41" s="484">
        <f t="shared" si="3"/>
        <v>2.3766372339813643E-3</v>
      </c>
      <c r="E41" s="484">
        <f t="shared" si="4"/>
        <v>2.2565837944482242E-3</v>
      </c>
      <c r="F41" s="437">
        <f t="shared" si="5"/>
        <v>2.2105627304307538E-3</v>
      </c>
      <c r="G41" s="437">
        <f t="shared" si="6"/>
        <v>2.2494942201149383E-3</v>
      </c>
      <c r="H41" s="448"/>
      <c r="I41" s="448"/>
    </row>
    <row r="42" spans="2:21" ht="12" thickBot="1" x14ac:dyDescent="0.25">
      <c r="B42" s="483">
        <f>_xll.qlCalendarAdvance(Calendar,B41,"1d","mf")</f>
        <v>41901</v>
      </c>
      <c r="C42" s="476">
        <f>_xll.qlDayCounterYearFraction(DayCounterON,SettlementDate,B42,,,Trigger)</f>
        <v>9.5890410958904104E-2</v>
      </c>
      <c r="D42" s="484">
        <f t="shared" si="3"/>
        <v>2.3766372339813643E-3</v>
      </c>
      <c r="E42" s="484">
        <f t="shared" si="4"/>
        <v>2.258635989995799E-3</v>
      </c>
      <c r="F42" s="437">
        <f t="shared" si="5"/>
        <v>2.2157147457847618E-3</v>
      </c>
      <c r="G42" s="437">
        <f t="shared" si="6"/>
        <v>2.2578793429637611E-3</v>
      </c>
      <c r="H42" s="448"/>
      <c r="I42" s="448"/>
    </row>
    <row r="43" spans="2:21" ht="19.5" customHeight="1" x14ac:dyDescent="0.2">
      <c r="B43" s="483">
        <f>_xll.qlCalendarAdvance(Calendar,B42,"1d","mf")</f>
        <v>41904</v>
      </c>
      <c r="C43" s="476">
        <f>_xll.qlDayCounterYearFraction(DayCounterON,SettlementDate,B43,,,Trigger)</f>
        <v>0.10410958904109589</v>
      </c>
      <c r="D43" s="484">
        <f t="shared" si="3"/>
        <v>2.3766372339813643E-3</v>
      </c>
      <c r="E43" s="484">
        <f t="shared" si="4"/>
        <v>2.2647925766385241E-3</v>
      </c>
      <c r="F43" s="437">
        <f t="shared" si="5"/>
        <v>2.2309095524201735E-3</v>
      </c>
      <c r="G43" s="437">
        <f t="shared" si="6"/>
        <v>2.2820112851105159E-3</v>
      </c>
      <c r="I43" s="443" t="s">
        <v>168</v>
      </c>
      <c r="J43" s="444" t="s">
        <v>126</v>
      </c>
      <c r="K43" s="471" t="s">
        <v>127</v>
      </c>
      <c r="L43" s="472"/>
      <c r="M43" s="473"/>
      <c r="N43" s="443" t="s">
        <v>44</v>
      </c>
      <c r="O43" s="473"/>
      <c r="P43" s="473"/>
      <c r="Q43" s="473"/>
      <c r="R43" s="473" t="s">
        <v>157</v>
      </c>
      <c r="S43" s="473" t="s">
        <v>156</v>
      </c>
      <c r="T43" s="473" t="s">
        <v>155</v>
      </c>
      <c r="U43" s="473" t="s">
        <v>171</v>
      </c>
    </row>
    <row r="44" spans="2:21" x14ac:dyDescent="0.2">
      <c r="B44" s="483">
        <f>_xll.qlCalendarAdvance(Calendar,B43,"1d","mf")</f>
        <v>41905</v>
      </c>
      <c r="C44" s="476">
        <f>_xll.qlDayCounterYearFraction(DayCounterON,SettlementDate,B44,,,Trigger)</f>
        <v>0.10684931506849316</v>
      </c>
      <c r="D44" s="484">
        <f t="shared" si="3"/>
        <v>2.3766372339813643E-3</v>
      </c>
      <c r="E44" s="484">
        <f t="shared" si="4"/>
        <v>2.266844772186099E-3</v>
      </c>
      <c r="F44" s="437">
        <f t="shared" si="5"/>
        <v>2.2358874081564411E-3</v>
      </c>
      <c r="G44" s="437">
        <f t="shared" si="6"/>
        <v>2.2897191037659441E-3</v>
      </c>
      <c r="I44" s="526" t="s">
        <v>65</v>
      </c>
      <c r="J44" s="498">
        <f t="shared" ref="J44:J53" si="11">SettlementDate</f>
        <v>41866</v>
      </c>
      <c r="K44" s="499">
        <f>_xll.qlCalendarAdvance(Calendar,SettlementDate,I44,"Following")</f>
        <v>41869</v>
      </c>
      <c r="L44" s="500" t="str">
        <f>_xll.qlMakeDatedOIS(,J44,K44,OvernightIndex,0,,,,EvaluationDate)</f>
        <v>obj_003b2#0001</v>
      </c>
      <c r="M44" s="500" t="b">
        <f>_xll.qlInstrumentSetPricingEngine(L44,OisEngine)</f>
        <v>1</v>
      </c>
      <c r="N44" s="497">
        <f>_xll.qlOvernightIndexedSwapFairRate(L44,_xll.ohTrigger(InterestRatesTrigger))</f>
        <v>3.9999999632556182E-4</v>
      </c>
      <c r="O44" s="474">
        <f>_xll.qlDayCounterYearFraction(DayCounterOIS,J44,K44,,,Trigger)</f>
        <v>8.3333333333333332E-3</v>
      </c>
      <c r="P44" s="474">
        <f>_xll.qlDayCounterYearFraction(DayCounter3M,J44,K44,,,Trigger)</f>
        <v>8.3333333333333332E-3</v>
      </c>
      <c r="Q44" s="474">
        <f>_xll.qlDayCounterYearFraction(DayCounterON,J44,K44,,,Trigger)</f>
        <v>8.21917808219178E-3</v>
      </c>
      <c r="R44" s="474">
        <f t="shared" ref="R44:R49" si="12">$S$13*Q44</f>
        <v>1.9534004662860528E-5</v>
      </c>
      <c r="S44" s="474">
        <f t="shared" ref="S44:S49" si="13">$S$10*Q44+$S$9*Q44^2/2</f>
        <v>1.7999074842345502E-5</v>
      </c>
      <c r="T44" s="474">
        <f t="shared" ref="T44:T49" si="14">$S$5*Q44+$S$4*Q44^2/2+$S$3*Q44^3/3</f>
        <v>1.6597840014941107E-5</v>
      </c>
      <c r="U44" s="475">
        <f>$S$20*Q44+$S$19*Q44^2/2+$S$18*Q44^3/3+$S$17*Q44^4/4</f>
        <v>1.5403929429432581E-5</v>
      </c>
    </row>
    <row r="45" spans="2:21" x14ac:dyDescent="0.2">
      <c r="B45" s="483">
        <f>_xll.qlCalendarAdvance(Calendar,B44,"1d","mf")</f>
        <v>41906</v>
      </c>
      <c r="C45" s="476">
        <f>_xll.qlDayCounterYearFraction(DayCounterON,SettlementDate,B45,,,Trigger)</f>
        <v>0.1095890410958904</v>
      </c>
      <c r="D45" s="484">
        <f t="shared" si="3"/>
        <v>2.3766372339813643E-3</v>
      </c>
      <c r="E45" s="484">
        <f t="shared" si="4"/>
        <v>2.2688969677336739E-3</v>
      </c>
      <c r="F45" s="437">
        <f t="shared" si="5"/>
        <v>2.2408217239882735E-3</v>
      </c>
      <c r="G45" s="437">
        <f t="shared" si="6"/>
        <v>2.2972613314278328E-3</v>
      </c>
      <c r="I45" s="524" t="s">
        <v>66</v>
      </c>
      <c r="J45" s="434">
        <f t="shared" si="11"/>
        <v>41866</v>
      </c>
      <c r="K45" s="501">
        <f>_xll.qlCalendarAdvance(Calendar,SettlementDate,I45,"Following")</f>
        <v>41873</v>
      </c>
      <c r="L45" s="502" t="str">
        <f>_xll.qlMakeDatedOIS(,J45,K45,OvernightIndex,0,,,,EvaluationDate)</f>
        <v>obj_003b3#0001</v>
      </c>
      <c r="M45" s="502" t="b">
        <f>_xll.qlInstrumentSetPricingEngine(L45,OisEngine)</f>
        <v>1</v>
      </c>
      <c r="N45" s="436">
        <f>_xll.qlOvernightIndexedSwapFairRate(L45,_xll.ohTrigger(InterestRatesTrigger))</f>
        <v>3.5999999966205914E-4</v>
      </c>
      <c r="O45" s="476">
        <f>_xll.qlDayCounterYearFraction(DayCounterOIS,J45,K45,,,Trigger)</f>
        <v>1.9444444444444445E-2</v>
      </c>
      <c r="P45" s="536">
        <f>_xll.qlDayCounterYearFraction(DayCounter3M,J45,K45,,,Trigger)</f>
        <v>1.9444444444444445E-2</v>
      </c>
      <c r="Q45" s="476">
        <f>_xll.qlDayCounterYearFraction(DayCounterON,J45,K45,,,Trigger)</f>
        <v>1.9178082191780823E-2</v>
      </c>
      <c r="R45" s="476">
        <f t="shared" si="12"/>
        <v>4.5579344213341232E-5</v>
      </c>
      <c r="S45" s="476">
        <f t="shared" si="13"/>
        <v>4.207655564857617E-5</v>
      </c>
      <c r="T45" s="476">
        <f t="shared" si="14"/>
        <v>3.8977953988993945E-5</v>
      </c>
      <c r="U45" s="477">
        <f t="shared" ref="U45:U53" si="15">$S$20*Q45+$S$19*Q45^2/2+$S$18*Q45^3/3+$S$17*Q45^4/4</f>
        <v>3.6498001649924645E-5</v>
      </c>
    </row>
    <row r="46" spans="2:21" x14ac:dyDescent="0.2">
      <c r="B46" s="483">
        <f>_xll.qlCalendarAdvance(Calendar,B45,"1d","mf")</f>
        <v>41907</v>
      </c>
      <c r="C46" s="476">
        <f>_xll.qlDayCounterYearFraction(DayCounterON,SettlementDate,B46,,,Trigger)</f>
        <v>0.11232876712328767</v>
      </c>
      <c r="D46" s="484">
        <f t="shared" si="3"/>
        <v>2.3766372339813643E-3</v>
      </c>
      <c r="E46" s="484">
        <f t="shared" si="4"/>
        <v>2.2709491632812492E-3</v>
      </c>
      <c r="F46" s="437">
        <f t="shared" si="5"/>
        <v>2.2457124999156705E-3</v>
      </c>
      <c r="G46" s="437">
        <f t="shared" si="6"/>
        <v>2.3046394621181075E-3</v>
      </c>
      <c r="I46" s="524" t="s">
        <v>67</v>
      </c>
      <c r="J46" s="434">
        <f t="shared" si="11"/>
        <v>41866</v>
      </c>
      <c r="K46" s="501">
        <f>_xll.qlCalendarAdvance(Calendar,SettlementDate,I46,"Following")</f>
        <v>41880</v>
      </c>
      <c r="L46" s="502" t="str">
        <f>_xll.qlMakeDatedOIS(,J46,K46,OvernightIndex,0,,,,EvaluationDate)</f>
        <v>obj_003af#0001</v>
      </c>
      <c r="M46" s="502" t="b">
        <f>_xll.qlInstrumentSetPricingEngine(L46,OisEngine)</f>
        <v>1</v>
      </c>
      <c r="N46" s="436">
        <f>_xll.qlOvernightIndexedSwapFairRate(L46,_xll.ohTrigger(InterestRatesTrigger))</f>
        <v>3.699999999984272E-4</v>
      </c>
      <c r="O46" s="476">
        <f>_xll.qlDayCounterYearFraction(DayCounterOIS,J46,K46,,,Trigger)</f>
        <v>3.888888888888889E-2</v>
      </c>
      <c r="P46" s="536">
        <f>_xll.qlDayCounterYearFraction(DayCounter3M,J46,K46,,,Trigger)</f>
        <v>3.888888888888889E-2</v>
      </c>
      <c r="Q46" s="476">
        <f>_xll.qlDayCounterYearFraction(DayCounterON,J46,K46,,,Trigger)</f>
        <v>3.8356164383561646E-2</v>
      </c>
      <c r="R46" s="476">
        <f t="shared" si="12"/>
        <v>9.1158688426682465E-5</v>
      </c>
      <c r="S46" s="476">
        <f t="shared" si="13"/>
        <v>8.4428611521347339E-5</v>
      </c>
      <c r="T46" s="476">
        <f t="shared" si="14"/>
        <v>7.8808288179556737E-5</v>
      </c>
      <c r="U46" s="477">
        <f t="shared" si="15"/>
        <v>7.4834473333778567E-5</v>
      </c>
    </row>
    <row r="47" spans="2:21" x14ac:dyDescent="0.2">
      <c r="B47" s="483">
        <f>_xll.qlCalendarAdvance(Calendar,B46,"1d","mf")</f>
        <v>41908</v>
      </c>
      <c r="C47" s="476">
        <f>_xll.qlDayCounterYearFraction(DayCounterON,SettlementDate,B47,,,Trigger)</f>
        <v>0.11506849315068493</v>
      </c>
      <c r="D47" s="484">
        <f t="shared" si="3"/>
        <v>2.3766372339813643E-3</v>
      </c>
      <c r="E47" s="484">
        <f t="shared" si="4"/>
        <v>2.273001358828824E-3</v>
      </c>
      <c r="F47" s="437">
        <f t="shared" si="5"/>
        <v>2.2505597359386326E-3</v>
      </c>
      <c r="G47" s="437">
        <f t="shared" si="6"/>
        <v>2.3118549898586927E-3</v>
      </c>
      <c r="I47" s="524" t="s">
        <v>68</v>
      </c>
      <c r="J47" s="434">
        <f t="shared" si="11"/>
        <v>41866</v>
      </c>
      <c r="K47" s="501">
        <f>_xll.qlCalendarAdvance(Calendar,SettlementDate,I47,"Following")</f>
        <v>41887</v>
      </c>
      <c r="L47" s="502" t="str">
        <f>_xll.qlMakeDatedOIS(,J47,K47,OvernightIndex,0,,,,EvaluationDate)</f>
        <v>obj_003a0#0001</v>
      </c>
      <c r="M47" s="502" t="b">
        <f>_xll.qlInstrumentSetPricingEngine(L47,OisEngine)</f>
        <v>1</v>
      </c>
      <c r="N47" s="436">
        <f>_xll.qlOvernightIndexedSwapFairRate(L47,_xll.ohTrigger(InterestRatesTrigger))</f>
        <v>6.000000011001966E-4</v>
      </c>
      <c r="O47" s="476">
        <f>_xll.qlDayCounterYearFraction(DayCounterOIS,J47,K47,,,Trigger)</f>
        <v>5.8333333333333334E-2</v>
      </c>
      <c r="P47" s="536">
        <f>_xll.qlDayCounterYearFraction(DayCounter3M,J47,K47,,,Trigger)</f>
        <v>5.8333333333333334E-2</v>
      </c>
      <c r="Q47" s="476">
        <f>_xll.qlDayCounterYearFraction(DayCounterON,J47,K47,,,Trigger)</f>
        <v>5.7534246575342465E-2</v>
      </c>
      <c r="R47" s="476">
        <f t="shared" si="12"/>
        <v>1.367380326400237E-4</v>
      </c>
      <c r="S47" s="476">
        <f t="shared" si="13"/>
        <v>1.270561676183135E-4</v>
      </c>
      <c r="T47" s="476">
        <f t="shared" si="14"/>
        <v>1.1945008699026036E-4</v>
      </c>
      <c r="U47" s="477">
        <f t="shared" si="15"/>
        <v>1.1481379170333268E-4</v>
      </c>
    </row>
    <row r="48" spans="2:21" x14ac:dyDescent="0.2">
      <c r="B48" s="483">
        <f>_xll.qlCalendarAdvance(Calendar,B47,"1d","mf")</f>
        <v>41911</v>
      </c>
      <c r="C48" s="476">
        <f>_xll.qlDayCounterYearFraction(DayCounterON,SettlementDate,B48,,,Trigger)</f>
        <v>0.12328767123287671</v>
      </c>
      <c r="D48" s="484">
        <f t="shared" si="3"/>
        <v>2.3766372339813643E-3</v>
      </c>
      <c r="E48" s="484">
        <f t="shared" si="4"/>
        <v>2.2791579454715491E-3</v>
      </c>
      <c r="F48" s="437">
        <f t="shared" si="5"/>
        <v>2.2648402045809079E-3</v>
      </c>
      <c r="G48" s="437">
        <f t="shared" si="6"/>
        <v>2.3325408956015505E-3</v>
      </c>
      <c r="I48" s="524" t="s">
        <v>61</v>
      </c>
      <c r="J48" s="434">
        <f t="shared" si="11"/>
        <v>41866</v>
      </c>
      <c r="K48" s="501">
        <f>_xll.qlCalendarAdvance(Calendar,SettlementDate,I48,"mf",TRUE)</f>
        <v>41897</v>
      </c>
      <c r="L48" s="502" t="str">
        <f>_xll.qlMakeDatedOIS(,J48,K48,OvernightIndex,0,,,,EvaluationDate)</f>
        <v>obj_00397#0001</v>
      </c>
      <c r="M48" s="502" t="b">
        <f>_xll.qlInstrumentSetPricingEngine(L48,OisEngine)</f>
        <v>1</v>
      </c>
      <c r="N48" s="436">
        <f>_xll.qlOvernightIndexedSwapFairRate(L48,_xll.ohTrigger(InterestRatesTrigger))</f>
        <v>5.5999999717135367E-4</v>
      </c>
      <c r="O48" s="536">
        <f>_xll.qlDayCounterYearFraction(DayCounterOIS,J48,K48,,,Trigger)</f>
        <v>8.611111111111111E-2</v>
      </c>
      <c r="P48" s="536">
        <f>_xll.qlDayCounterYearFraction(DayCounter3M,J48,K48,,,Trigger)</f>
        <v>8.611111111111111E-2</v>
      </c>
      <c r="Q48" s="476">
        <f>_xll.qlDayCounterYearFraction(DayCounterON,J48,K48,,,Trigger)</f>
        <v>8.4931506849315067E-2</v>
      </c>
      <c r="R48" s="476">
        <f t="shared" si="12"/>
        <v>2.0185138151622545E-4</v>
      </c>
      <c r="S48" s="476">
        <f t="shared" si="13"/>
        <v>1.8843058488044018E-4</v>
      </c>
      <c r="T48" s="476">
        <f t="shared" si="14"/>
        <v>1.788363268469878E-4</v>
      </c>
      <c r="U48" s="477">
        <f t="shared" si="15"/>
        <v>1.7441068625424636E-4</v>
      </c>
    </row>
    <row r="49" spans="2:21" x14ac:dyDescent="0.2">
      <c r="B49" s="483">
        <f>_xll.qlCalendarAdvance(Calendar,B48,"1d","mf")</f>
        <v>41912</v>
      </c>
      <c r="C49" s="476">
        <f>_xll.qlDayCounterYearFraction(DayCounterON,SettlementDate,B49,,,Trigger)</f>
        <v>0.12602739726027398</v>
      </c>
      <c r="D49" s="484">
        <f t="shared" ref="D49:D83" si="16">$S$13</f>
        <v>2.3766372339813643E-3</v>
      </c>
      <c r="E49" s="484">
        <f t="shared" ref="E49:E83" si="17">$S$10+$S$9*C49</f>
        <v>2.281210141019124E-3</v>
      </c>
      <c r="F49" s="437">
        <f t="shared" ref="F49:F83" si="18">($S$5+$S$4*C49+$S$3*C49^2)</f>
        <v>2.2695132809861301E-3</v>
      </c>
      <c r="G49" s="437">
        <f t="shared" si="6"/>
        <v>2.3391209517626176E-3</v>
      </c>
      <c r="I49" s="524" t="s">
        <v>69</v>
      </c>
      <c r="J49" s="434">
        <f t="shared" si="11"/>
        <v>41866</v>
      </c>
      <c r="K49" s="501">
        <f>_xll.qlCalendarAdvance(Calendar,SettlementDate,I49,"mf",TRUE)</f>
        <v>41927</v>
      </c>
      <c r="L49" s="502" t="str">
        <f>_xll.qlMakeDatedOIS(,J49,K49,OvernightIndex,0,,,,EvaluationDate)</f>
        <v>obj_003ac#0001</v>
      </c>
      <c r="M49" s="502" t="b">
        <f>_xll.qlInstrumentSetPricingEngine(L49,OisEngine)</f>
        <v>1</v>
      </c>
      <c r="N49" s="436">
        <f>_xll.qlOvernightIndexedSwapFairRate(L49,_xll.ohTrigger(InterestRatesTrigger))</f>
        <v>5.4739076380109347E-4</v>
      </c>
      <c r="O49" s="536">
        <f>_xll.qlDayCounterYearFraction(DayCounterOIS,J49,K49,,,Trigger)</f>
        <v>0.16944444444444445</v>
      </c>
      <c r="P49" s="536">
        <f>_xll.qlDayCounterYearFraction(DayCounter3M,J49,K49,,,Trigger)</f>
        <v>0.16944444444444445</v>
      </c>
      <c r="Q49" s="476">
        <f>_xll.qlDayCounterYearFraction(DayCounterON,J49,K49,,,Trigger)</f>
        <v>0.16712328767123288</v>
      </c>
      <c r="R49" s="476">
        <f t="shared" si="12"/>
        <v>3.9719142814483076E-4</v>
      </c>
      <c r="S49" s="476">
        <f t="shared" si="13"/>
        <v>3.7592730879982026E-4</v>
      </c>
      <c r="T49" s="476">
        <f t="shared" si="14"/>
        <v>3.6523746667464378E-4</v>
      </c>
      <c r="U49" s="477">
        <f t="shared" si="15"/>
        <v>3.6618905367287891E-4</v>
      </c>
    </row>
    <row r="50" spans="2:21" x14ac:dyDescent="0.2">
      <c r="B50" s="483">
        <f>_xll.qlCalendarAdvance(Calendar,B49,"1d","mf")</f>
        <v>41913</v>
      </c>
      <c r="C50" s="476">
        <f>_xll.qlDayCounterYearFraction(DayCounterON,SettlementDate,B50,,,Trigger)</f>
        <v>0.12876712328767123</v>
      </c>
      <c r="D50" s="484">
        <f t="shared" si="16"/>
        <v>2.3766372339813643E-3</v>
      </c>
      <c r="E50" s="484">
        <f t="shared" si="17"/>
        <v>2.2832623365666993E-3</v>
      </c>
      <c r="F50" s="437">
        <f t="shared" si="18"/>
        <v>2.2741428174869165E-3</v>
      </c>
      <c r="G50" s="437">
        <f t="shared" si="6"/>
        <v>2.3455458750836155E-3</v>
      </c>
      <c r="I50" s="524" t="s">
        <v>62</v>
      </c>
      <c r="J50" s="434">
        <f t="shared" si="11"/>
        <v>41866</v>
      </c>
      <c r="K50" s="501">
        <f>_xll.qlCalendarAdvance(Calendar,SettlementDate,I50,"mf",TRUE)</f>
        <v>41960</v>
      </c>
      <c r="L50" s="502" t="str">
        <f>_xll.qlMakeDatedOIS(,J50,K50,OvernightIndex,0,,,,EvaluationDate)</f>
        <v>obj_003a5#0001</v>
      </c>
      <c r="M50" s="502" t="b">
        <f>_xll.qlInstrumentSetPricingEngine(L50,OisEngine)</f>
        <v>1</v>
      </c>
      <c r="N50" s="436">
        <f>_xll.qlOvernightIndexedSwapFairRate(L50,_xll.ohTrigger(InterestRatesTrigger))</f>
        <v>5.1204465057381218E-4</v>
      </c>
      <c r="O50" s="536">
        <f>_xll.qlDayCounterYearFraction(DayCounterOIS,J50,K50,,,Trigger)</f>
        <v>0.26111111111111113</v>
      </c>
      <c r="P50" s="536">
        <f>_xll.qlDayCounterYearFraction(DayCounter3M,J50,K50,,,Trigger)</f>
        <v>0.26111111111111113</v>
      </c>
      <c r="Q50" s="476">
        <f>_xll.qlDayCounterYearFraction(DayCounterON,J50,K50,,,Trigger)</f>
        <v>0.25753424657534246</v>
      </c>
      <c r="R50" s="476">
        <f t="shared" ref="R50:R52" si="19">$S$13*Q50</f>
        <v>6.1206547943629651E-4</v>
      </c>
      <c r="S50" s="476">
        <f t="shared" ref="S50:S52" si="20">$S$10*Q50+$S$9*Q50^2/2</f>
        <v>5.8801824558156089E-4</v>
      </c>
      <c r="T50" s="476">
        <f t="shared" ref="T50:T52" si="21">$S$5*Q50+$S$4*Q50^2/2+$S$3*Q50^3/3</f>
        <v>5.8154139820378807E-4</v>
      </c>
      <c r="U50" s="477">
        <f t="shared" ref="U50:U52" si="22">$S$20*Q50+$S$19*Q50^2/2+$S$18*Q50^3/3+$S$17*Q50^4/4</f>
        <v>5.8949104452724109E-4</v>
      </c>
    </row>
    <row r="51" spans="2:21" x14ac:dyDescent="0.2">
      <c r="B51" s="483">
        <f>_xll.qlCalendarAdvance(Calendar,B50,"1d","mf")</f>
        <v>41914</v>
      </c>
      <c r="C51" s="476">
        <f>_xll.qlDayCounterYearFraction(DayCounterON,SettlementDate,B51,,,Trigger)</f>
        <v>0.13150684931506848</v>
      </c>
      <c r="D51" s="484">
        <f t="shared" si="16"/>
        <v>2.3766372339813643E-3</v>
      </c>
      <c r="E51" s="484">
        <f t="shared" si="17"/>
        <v>2.2853145321142742E-3</v>
      </c>
      <c r="F51" s="437">
        <f t="shared" si="18"/>
        <v>2.2787288140832685E-3</v>
      </c>
      <c r="G51" s="437">
        <f t="shared" si="6"/>
        <v>2.351817159586469E-3</v>
      </c>
      <c r="I51" s="524" t="s">
        <v>70</v>
      </c>
      <c r="J51" s="434">
        <f t="shared" si="11"/>
        <v>41866</v>
      </c>
      <c r="K51" s="501">
        <f>_xll.qlCalendarAdvance(Calendar,SettlementDate,I51,"mf",TRUE)</f>
        <v>41988</v>
      </c>
      <c r="L51" s="502" t="str">
        <f>_xll.qlMakeDatedOIS(,J51,K51,OvernightIndex,0,,,,EvaluationDate)</f>
        <v>obj_00395#0001</v>
      </c>
      <c r="M51" s="502" t="b">
        <f>_xll.qlInstrumentSetPricingEngine(L51,OisEngine)</f>
        <v>1</v>
      </c>
      <c r="N51" s="436">
        <f>_xll.qlOvernightIndexedSwapFairRate(L51,_xll.ohTrigger(InterestRatesTrigger))</f>
        <v>5.1601757727437654E-4</v>
      </c>
      <c r="O51" s="536">
        <f>_xll.qlDayCounterYearFraction(DayCounterOIS,J51,K51,,,Trigger)</f>
        <v>0.33888888888888891</v>
      </c>
      <c r="P51" s="536">
        <f>_xll.qlDayCounterYearFraction(DayCounter3M,J51,K51,,,Trigger)</f>
        <v>0.33888888888888891</v>
      </c>
      <c r="Q51" s="476">
        <f>_xll.qlDayCounterYearFraction(DayCounterON,J51,K51,,,Trigger)</f>
        <v>0.33424657534246577</v>
      </c>
      <c r="R51" s="476">
        <f t="shared" si="19"/>
        <v>7.9438285628966152E-4</v>
      </c>
      <c r="S51" s="476">
        <f t="shared" si="20"/>
        <v>7.7277576727779562E-4</v>
      </c>
      <c r="T51" s="476">
        <f t="shared" si="21"/>
        <v>7.7123474580294553E-4</v>
      </c>
      <c r="U51" s="477">
        <f t="shared" si="22"/>
        <v>7.8137905822013467E-4</v>
      </c>
    </row>
    <row r="52" spans="2:21" x14ac:dyDescent="0.2">
      <c r="B52" s="483">
        <f>_xll.qlCalendarAdvance(Calendar,B51,"1d","mf")</f>
        <v>41915</v>
      </c>
      <c r="C52" s="476">
        <f>_xll.qlDayCounterYearFraction(DayCounterON,SettlementDate,B52,,,Trigger)</f>
        <v>0.13424657534246576</v>
      </c>
      <c r="D52" s="484">
        <f t="shared" si="16"/>
        <v>2.3766372339813643E-3</v>
      </c>
      <c r="E52" s="484">
        <f t="shared" si="17"/>
        <v>2.2873667276618491E-3</v>
      </c>
      <c r="F52" s="437">
        <f t="shared" si="18"/>
        <v>2.2832712707751852E-3</v>
      </c>
      <c r="G52" s="437">
        <f t="shared" si="6"/>
        <v>2.3579362992931017E-3</v>
      </c>
      <c r="I52" s="524" t="s">
        <v>71</v>
      </c>
      <c r="J52" s="434">
        <f t="shared" si="11"/>
        <v>41866</v>
      </c>
      <c r="K52" s="501">
        <f>_xll.qlCalendarAdvance(Calendar,SettlementDate,I52,"mf",TRUE)</f>
        <v>42019</v>
      </c>
      <c r="L52" s="502" t="str">
        <f>_xll.qlMakeDatedOIS(,J52,K52,OvernightIndex,0,,,,EvaluationDate)</f>
        <v>obj_003a4#0001</v>
      </c>
      <c r="M52" s="502" t="b">
        <f>_xll.qlInstrumentSetPricingEngine(L52,OisEngine)</f>
        <v>1</v>
      </c>
      <c r="N52" s="436">
        <f>_xll.qlOvernightIndexedSwapFairRate(L52,_xll.ohTrigger(InterestRatesTrigger))</f>
        <v>5.0873573821007354E-4</v>
      </c>
      <c r="O52" s="476">
        <f>_xll.qlDayCounterYearFraction(DayCounterOIS,J52,K52,,,Trigger)</f>
        <v>0.42499999999999999</v>
      </c>
      <c r="P52" s="476">
        <f>_xll.qlDayCounterYearFraction(DayCounter3M,J52,K52,,,Trigger)</f>
        <v>0.42499999999999999</v>
      </c>
      <c r="Q52" s="476">
        <f>_xll.qlDayCounterYearFraction(DayCounterON,J52,K52,,,Trigger)</f>
        <v>0.41917808219178082</v>
      </c>
      <c r="R52" s="476">
        <f t="shared" si="19"/>
        <v>9.9623423780588688E-4</v>
      </c>
      <c r="S52" s="476">
        <f t="shared" si="20"/>
        <v>9.82470471503246E-4</v>
      </c>
      <c r="T52" s="476">
        <f t="shared" si="21"/>
        <v>9.8450633152328106E-4</v>
      </c>
      <c r="U52" s="477">
        <f t="shared" si="22"/>
        <v>9.9155774304851953E-4</v>
      </c>
    </row>
    <row r="53" spans="2:21" ht="12" thickBot="1" x14ac:dyDescent="0.25">
      <c r="B53" s="483">
        <f>_xll.qlCalendarAdvance(Calendar,B52,"1d","mf")</f>
        <v>41918</v>
      </c>
      <c r="C53" s="476">
        <f>_xll.qlDayCounterYearFraction(DayCounterON,SettlementDate,B53,,,Trigger)</f>
        <v>0.14246575342465753</v>
      </c>
      <c r="D53" s="484">
        <f t="shared" si="16"/>
        <v>2.3766372339813643E-3</v>
      </c>
      <c r="E53" s="484">
        <f t="shared" si="17"/>
        <v>2.2935233143045741E-3</v>
      </c>
      <c r="F53" s="437">
        <f t="shared" si="18"/>
        <v>2.2966374014243241E-3</v>
      </c>
      <c r="G53" s="437">
        <f t="shared" si="6"/>
        <v>2.3753957898549173E-3</v>
      </c>
      <c r="I53" s="525" t="s">
        <v>63</v>
      </c>
      <c r="J53" s="439">
        <f t="shared" si="11"/>
        <v>41866</v>
      </c>
      <c r="K53" s="503">
        <f>_xll.qlCalendarAdvance(Calendar,SettlementDate,I53,"mf",TRUE)</f>
        <v>42051</v>
      </c>
      <c r="L53" s="504" t="str">
        <f>_xll.qlMakeDatedOIS(,J53,K53,OvernightIndex,0,,,,EvaluationDate)</f>
        <v>obj_0039b#0001</v>
      </c>
      <c r="M53" s="504" t="b">
        <f>_xll.qlInstrumentSetPricingEngine(L53,OisEngine)</f>
        <v>1</v>
      </c>
      <c r="N53" s="441">
        <f>_xll.qlOvernightIndexedSwapFairRate(L53,_xll.ohTrigger(InterestRatesTrigger))</f>
        <v>5.2124537933690329E-4</v>
      </c>
      <c r="O53" s="478">
        <f>_xll.qlDayCounterYearFraction(DayCounterOIS,J53,K53,,,Trigger)</f>
        <v>0.51388888888888884</v>
      </c>
      <c r="P53" s="478">
        <f>_xll.qlDayCounterYearFraction(DayCounter3M,J53,K53,,,Trigger)</f>
        <v>0.51388888888888884</v>
      </c>
      <c r="Q53" s="478">
        <f>_xll.qlDayCounterYearFraction(DayCounterON,J53,K53,,,Trigger)</f>
        <v>0.50684931506849318</v>
      </c>
      <c r="R53" s="478">
        <f>$S$13*Q53</f>
        <v>1.2045969542097325E-3</v>
      </c>
      <c r="S53" s="478">
        <f>$S$10*Q53+$S$9*Q53^2/2</f>
        <v>1.2045969542097315E-3</v>
      </c>
      <c r="T53" s="478">
        <f>$S$5*Q53+$S$4*Q53^2/2+$S$3*Q53^3/3</f>
        <v>1.2045969542097304E-3</v>
      </c>
      <c r="U53" s="479">
        <f t="shared" si="15"/>
        <v>1.2045969542097373E-3</v>
      </c>
    </row>
    <row r="54" spans="2:21" x14ac:dyDescent="0.2">
      <c r="B54" s="483">
        <f>_xll.qlCalendarAdvance(Calendar,B53,"1d","mf")</f>
        <v>41919</v>
      </c>
      <c r="C54" s="476">
        <f>_xll.qlDayCounterYearFraction(DayCounterON,SettlementDate,B54,,,Trigger)</f>
        <v>0.14520547945205478</v>
      </c>
      <c r="D54" s="484">
        <f t="shared" si="16"/>
        <v>2.3766372339813643E-3</v>
      </c>
      <c r="E54" s="484">
        <f t="shared" si="17"/>
        <v>2.295575509852149E-3</v>
      </c>
      <c r="F54" s="437">
        <f t="shared" si="18"/>
        <v>2.3010056984985004E-3</v>
      </c>
      <c r="G54" s="437">
        <f t="shared" si="6"/>
        <v>2.3809212905959091E-3</v>
      </c>
    </row>
    <row r="55" spans="2:21" ht="12" thickBot="1" x14ac:dyDescent="0.25">
      <c r="B55" s="483">
        <f>_xll.qlCalendarAdvance(Calendar,B54,"1d","mf")</f>
        <v>41920</v>
      </c>
      <c r="C55" s="476">
        <f>_xll.qlDayCounterYearFraction(DayCounterON,SettlementDate,B55,,,Trigger)</f>
        <v>0.14794520547945206</v>
      </c>
      <c r="D55" s="484">
        <f t="shared" si="16"/>
        <v>2.3766372339813643E-3</v>
      </c>
      <c r="E55" s="484">
        <f t="shared" si="17"/>
        <v>2.2976277053997243E-3</v>
      </c>
      <c r="F55" s="437">
        <f t="shared" si="18"/>
        <v>2.3053304556682414E-3</v>
      </c>
      <c r="G55" s="437">
        <f t="shared" si="6"/>
        <v>2.3863021166503013E-3</v>
      </c>
    </row>
    <row r="56" spans="2:21" ht="12" thickBot="1" x14ac:dyDescent="0.25">
      <c r="B56" s="483">
        <f>_xll.qlCalendarAdvance(Calendar,B55,"1d","mf")</f>
        <v>41921</v>
      </c>
      <c r="C56" s="476">
        <f>_xll.qlDayCounterYearFraction(DayCounterON,SettlementDate,B56,,,Trigger)</f>
        <v>0.15068493150684931</v>
      </c>
      <c r="D56" s="484">
        <f t="shared" si="16"/>
        <v>2.3766372339813643E-3</v>
      </c>
      <c r="E56" s="484">
        <f t="shared" si="17"/>
        <v>2.2996799009472992E-3</v>
      </c>
      <c r="F56" s="437">
        <f t="shared" si="18"/>
        <v>2.3096116729335479E-3</v>
      </c>
      <c r="G56" s="437">
        <f t="shared" si="6"/>
        <v>2.3915397620400181E-3</v>
      </c>
      <c r="N56" s="520" t="s">
        <v>169</v>
      </c>
      <c r="O56" s="521"/>
      <c r="P56" s="522"/>
      <c r="Q56" s="522"/>
    </row>
    <row r="57" spans="2:21" ht="12" thickBot="1" x14ac:dyDescent="0.25">
      <c r="B57" s="483">
        <f>_xll.qlCalendarAdvance(Calendar,B56,"1d","mf")</f>
        <v>41922</v>
      </c>
      <c r="C57" s="476">
        <f>_xll.qlDayCounterYearFraction(DayCounterON,SettlementDate,B57,,,Trigger)</f>
        <v>0.15342465753424658</v>
      </c>
      <c r="D57" s="484">
        <f t="shared" si="16"/>
        <v>2.3766372339813643E-3</v>
      </c>
      <c r="E57" s="484">
        <f t="shared" si="17"/>
        <v>2.3017320964948741E-3</v>
      </c>
      <c r="F57" s="437">
        <f t="shared" si="18"/>
        <v>2.3138493502944187E-3</v>
      </c>
      <c r="G57" s="437">
        <f t="shared" si="6"/>
        <v>2.3966357207869837E-3</v>
      </c>
      <c r="I57" s="505" t="s">
        <v>168</v>
      </c>
      <c r="J57" s="506" t="s">
        <v>126</v>
      </c>
      <c r="K57" s="507" t="s">
        <v>127</v>
      </c>
      <c r="N57" s="508" t="s">
        <v>157</v>
      </c>
      <c r="O57" s="508" t="s">
        <v>156</v>
      </c>
      <c r="P57" s="508" t="s">
        <v>155</v>
      </c>
      <c r="Q57" s="508" t="s">
        <v>171</v>
      </c>
    </row>
    <row r="58" spans="2:21" x14ac:dyDescent="0.2">
      <c r="B58" s="483">
        <f>_xll.qlCalendarAdvance(Calendar,B57,"1d","mf")</f>
        <v>41925</v>
      </c>
      <c r="C58" s="476">
        <f>_xll.qlDayCounterYearFraction(DayCounterON,SettlementDate,B58,,,Trigger)</f>
        <v>0.16164383561643836</v>
      </c>
      <c r="D58" s="484">
        <f t="shared" si="16"/>
        <v>2.3766372339813643E-3</v>
      </c>
      <c r="E58" s="484">
        <f t="shared" si="17"/>
        <v>2.3078886831375991E-3</v>
      </c>
      <c r="F58" s="437">
        <f t="shared" si="18"/>
        <v>2.3263011429504213E-3</v>
      </c>
      <c r="G58" s="437">
        <f t="shared" si="6"/>
        <v>2.4110884173906143E-3</v>
      </c>
      <c r="I58" s="526" t="s">
        <v>65</v>
      </c>
      <c r="J58" s="515">
        <f t="shared" ref="J58:J67" si="23">SettlementDate</f>
        <v>41866</v>
      </c>
      <c r="K58" s="516">
        <f>_xll.qlCalendarAdvance(Calendar,SettlementDate,I58,"Following")</f>
        <v>41869</v>
      </c>
      <c r="N58" s="509">
        <f t="shared" ref="N58:Q62" si="24">($N44*$O44+R44)/$P44</f>
        <v>2.7440805558688252E-3</v>
      </c>
      <c r="O58" s="509">
        <f t="shared" si="24"/>
        <v>2.5598889774070223E-3</v>
      </c>
      <c r="P58" s="509">
        <f t="shared" si="24"/>
        <v>2.3917407981184947E-3</v>
      </c>
      <c r="Q58" s="510">
        <f t="shared" si="24"/>
        <v>2.2484715278574714E-3</v>
      </c>
    </row>
    <row r="59" spans="2:21" x14ac:dyDescent="0.2">
      <c r="B59" s="483">
        <f>_xll.qlCalendarAdvance(Calendar,B58,"1d","mf")</f>
        <v>41926</v>
      </c>
      <c r="C59" s="476">
        <f>_xll.qlDayCounterYearFraction(DayCounterON,SettlementDate,B59,,,Trigger)</f>
        <v>0.16438356164383561</v>
      </c>
      <c r="D59" s="484">
        <f t="shared" si="16"/>
        <v>2.3766372339813643E-3</v>
      </c>
      <c r="E59" s="484">
        <f t="shared" si="17"/>
        <v>2.3099408786851744E-3</v>
      </c>
      <c r="F59" s="437">
        <f t="shared" si="18"/>
        <v>2.3303646606935521E-3</v>
      </c>
      <c r="G59" s="437">
        <f t="shared" si="6"/>
        <v>2.4156325697858166E-3</v>
      </c>
      <c r="I59" s="524" t="s">
        <v>66</v>
      </c>
      <c r="J59" s="434">
        <f t="shared" si="23"/>
        <v>41866</v>
      </c>
      <c r="K59" s="501">
        <f>_xll.qlCalendarAdvance(Calendar,SettlementDate,I59,"Following")</f>
        <v>41873</v>
      </c>
      <c r="N59" s="511">
        <f t="shared" si="24"/>
        <v>2.7040805592053224E-3</v>
      </c>
      <c r="O59" s="511">
        <f t="shared" si="24"/>
        <v>2.5239371473031193E-3</v>
      </c>
      <c r="P59" s="511">
        <f t="shared" si="24"/>
        <v>2.3645804905246051E-3</v>
      </c>
      <c r="Q59" s="512">
        <f t="shared" si="24"/>
        <v>2.2370400845153266E-3</v>
      </c>
    </row>
    <row r="60" spans="2:21" x14ac:dyDescent="0.2">
      <c r="B60" s="483">
        <f>_xll.qlCalendarAdvance(Calendar,B59,"1d","mf")</f>
        <v>41927</v>
      </c>
      <c r="C60" s="476">
        <f>_xll.qlDayCounterYearFraction(DayCounterON,SettlementDate,B60,,,Trigger)</f>
        <v>0.16712328767123288</v>
      </c>
      <c r="D60" s="484">
        <f t="shared" si="16"/>
        <v>2.3766372339813643E-3</v>
      </c>
      <c r="E60" s="484">
        <f t="shared" si="17"/>
        <v>2.3119930742327493E-3</v>
      </c>
      <c r="F60" s="437">
        <f t="shared" si="18"/>
        <v>2.334384638532248E-3</v>
      </c>
      <c r="G60" s="437">
        <f t="shared" si="6"/>
        <v>2.4200425056478889E-3</v>
      </c>
      <c r="I60" s="524" t="s">
        <v>67</v>
      </c>
      <c r="J60" s="434">
        <f t="shared" si="23"/>
        <v>41866</v>
      </c>
      <c r="K60" s="501">
        <f>_xll.qlCalendarAdvance(Calendar,SettlementDate,I60,"Following")</f>
        <v>41880</v>
      </c>
      <c r="N60" s="511">
        <f t="shared" si="24"/>
        <v>2.7140805595416906E-3</v>
      </c>
      <c r="O60" s="511">
        <f t="shared" si="24"/>
        <v>2.5410214391187874E-3</v>
      </c>
      <c r="P60" s="511">
        <f t="shared" si="24"/>
        <v>2.3964988389013147E-3</v>
      </c>
      <c r="Q60" s="512">
        <f t="shared" si="24"/>
        <v>2.2943150285813048E-3</v>
      </c>
    </row>
    <row r="61" spans="2:21" x14ac:dyDescent="0.2">
      <c r="B61" s="483">
        <f>_xll.qlCalendarAdvance(Calendar,B60,"1d","mf")</f>
        <v>41928</v>
      </c>
      <c r="C61" s="476">
        <f>_xll.qlDayCounterYearFraction(DayCounterON,SettlementDate,B61,,,Trigger)</f>
        <v>0.16986301369863013</v>
      </c>
      <c r="D61" s="484">
        <f t="shared" si="16"/>
        <v>2.3766372339813643E-3</v>
      </c>
      <c r="E61" s="484">
        <f t="shared" si="17"/>
        <v>2.3140452697803242E-3</v>
      </c>
      <c r="F61" s="437">
        <f t="shared" si="18"/>
        <v>2.3383610764665086E-3</v>
      </c>
      <c r="G61" s="437">
        <f t="shared" si="6"/>
        <v>2.4243197189987541E-3</v>
      </c>
      <c r="I61" s="524" t="s">
        <v>68</v>
      </c>
      <c r="J61" s="434">
        <f t="shared" si="23"/>
        <v>41866</v>
      </c>
      <c r="K61" s="501">
        <f>_xll.qlCalendarAdvance(Calendar,SettlementDate,I61,"Following")</f>
        <v>41887</v>
      </c>
      <c r="N61" s="511">
        <f t="shared" si="24"/>
        <v>2.94408056064346E-3</v>
      </c>
      <c r="O61" s="511">
        <f t="shared" si="24"/>
        <v>2.7781057316998564E-3</v>
      </c>
      <c r="P61" s="511">
        <f t="shared" si="24"/>
        <v>2.6477157780760889E-3</v>
      </c>
      <c r="Q61" s="512">
        <f t="shared" si="24"/>
        <v>2.5682364303001855E-3</v>
      </c>
    </row>
    <row r="62" spans="2:21" x14ac:dyDescent="0.2">
      <c r="B62" s="483">
        <f>_xll.qlCalendarAdvance(Calendar,B61,"1d","mf")</f>
        <v>41929</v>
      </c>
      <c r="C62" s="476">
        <f>_xll.qlDayCounterYearFraction(DayCounterON,SettlementDate,B62,,,Trigger)</f>
        <v>0.17260273972602741</v>
      </c>
      <c r="D62" s="484">
        <f t="shared" si="16"/>
        <v>2.3766372339813643E-3</v>
      </c>
      <c r="E62" s="484">
        <f t="shared" si="17"/>
        <v>2.3160974653278991E-3</v>
      </c>
      <c r="F62" s="437">
        <f t="shared" si="18"/>
        <v>2.342293974496334E-3</v>
      </c>
      <c r="G62" s="437">
        <f t="shared" si="6"/>
        <v>2.4284657038603384E-3</v>
      </c>
      <c r="H62" s="448"/>
      <c r="I62" s="524" t="s">
        <v>61</v>
      </c>
      <c r="J62" s="434">
        <f t="shared" si="23"/>
        <v>41866</v>
      </c>
      <c r="K62" s="501">
        <f>_xll.qlCalendarAdvance(Calendar,SettlementDate,I62,"mf",TRUE)</f>
        <v>41897</v>
      </c>
      <c r="N62" s="511">
        <f t="shared" si="24"/>
        <v>2.9040805567146174E-3</v>
      </c>
      <c r="O62" s="511">
        <f t="shared" si="24"/>
        <v>2.7482261441700139E-3</v>
      </c>
      <c r="P62" s="511">
        <f t="shared" si="24"/>
        <v>2.6368089541041152E-3</v>
      </c>
      <c r="Q62" s="512">
        <f t="shared" si="24"/>
        <v>2.5854144181884082E-3</v>
      </c>
    </row>
    <row r="63" spans="2:21" x14ac:dyDescent="0.2">
      <c r="B63" s="483">
        <f>_xll.qlCalendarAdvance(Calendar,B62,"1d","mf")</f>
        <v>41932</v>
      </c>
      <c r="C63" s="476">
        <f>_xll.qlDayCounterYearFraction(DayCounterON,SettlementDate,B63,,,Trigger)</f>
        <v>0.18082191780821918</v>
      </c>
      <c r="D63" s="484">
        <f t="shared" si="16"/>
        <v>2.3766372339813643E-3</v>
      </c>
      <c r="E63" s="484">
        <f t="shared" si="17"/>
        <v>2.3222540519706241E-3</v>
      </c>
      <c r="F63" s="437">
        <f t="shared" si="18"/>
        <v>2.3538314291592002E-3</v>
      </c>
      <c r="G63" s="437">
        <f t="shared" si="6"/>
        <v>2.4401312277286401E-3</v>
      </c>
      <c r="H63" s="448"/>
      <c r="I63" s="524" t="s">
        <v>69</v>
      </c>
      <c r="J63" s="434">
        <f t="shared" si="23"/>
        <v>41866</v>
      </c>
      <c r="K63" s="501">
        <f>_xll.qlCalendarAdvance(Calendar,SettlementDate,I63,"mf",TRUE)</f>
        <v>41927</v>
      </c>
      <c r="N63" s="511">
        <f t="shared" ref="N63:Q63" si="25">($N49*$O49+R49)/$P49</f>
        <v>2.891471323344357E-3</v>
      </c>
      <c r="O63" s="511">
        <f t="shared" si="25"/>
        <v>2.7659781599967538E-3</v>
      </c>
      <c r="P63" s="511">
        <f t="shared" si="25"/>
        <v>2.7028905671268597E-3</v>
      </c>
      <c r="Q63" s="512">
        <f t="shared" si="25"/>
        <v>2.7085064903951328E-3</v>
      </c>
    </row>
    <row r="64" spans="2:21" x14ac:dyDescent="0.2">
      <c r="B64" s="483">
        <f>_xll.qlCalendarAdvance(Calendar,B63,"1d","mf")</f>
        <v>41933</v>
      </c>
      <c r="C64" s="476">
        <f>_xll.qlDayCounterYearFraction(DayCounterON,SettlementDate,B64,,,Trigger)</f>
        <v>0.18356164383561643</v>
      </c>
      <c r="D64" s="484">
        <f t="shared" si="16"/>
        <v>2.3766372339813643E-3</v>
      </c>
      <c r="E64" s="484">
        <f t="shared" si="17"/>
        <v>2.3243062475181995E-3</v>
      </c>
      <c r="F64" s="437">
        <f t="shared" si="18"/>
        <v>2.3575901675712851E-3</v>
      </c>
      <c r="G64" s="437">
        <f t="shared" si="6"/>
        <v>2.443767238852338E-3</v>
      </c>
      <c r="H64" s="448"/>
      <c r="I64" s="524" t="s">
        <v>62</v>
      </c>
      <c r="J64" s="434">
        <f t="shared" si="23"/>
        <v>41866</v>
      </c>
      <c r="K64" s="501">
        <f>_xll.qlCalendarAdvance(Calendar,SettlementDate,I64,"mf",TRUE)</f>
        <v>41960</v>
      </c>
      <c r="N64" s="511">
        <f t="shared" ref="N64:Q64" si="26">($N50*$O50+R50)/$P50</f>
        <v>2.8561252101170754E-3</v>
      </c>
      <c r="O64" s="511">
        <f t="shared" si="26"/>
        <v>2.764029420886173E-3</v>
      </c>
      <c r="P64" s="511">
        <f t="shared" si="26"/>
        <v>2.7392244734819366E-3</v>
      </c>
      <c r="Q64" s="512">
        <f t="shared" si="26"/>
        <v>2.7696699274866502E-3</v>
      </c>
    </row>
    <row r="65" spans="2:17" x14ac:dyDescent="0.2">
      <c r="B65" s="483">
        <f>_xll.qlCalendarAdvance(Calendar,B64,"1d","mf")</f>
        <v>41934</v>
      </c>
      <c r="C65" s="476">
        <f>_xll.qlDayCounterYearFraction(DayCounterON,SettlementDate,B65,,,Trigger)</f>
        <v>0.18630136986301371</v>
      </c>
      <c r="D65" s="484">
        <f t="shared" si="16"/>
        <v>2.3766372339813643E-3</v>
      </c>
      <c r="E65" s="484">
        <f t="shared" si="17"/>
        <v>2.3263584430657743E-3</v>
      </c>
      <c r="F65" s="437">
        <f t="shared" si="18"/>
        <v>2.3613053660789356E-3</v>
      </c>
      <c r="G65" s="437">
        <f t="shared" si="6"/>
        <v>2.4472794915963748E-3</v>
      </c>
      <c r="H65" s="448"/>
      <c r="I65" s="524" t="s">
        <v>70</v>
      </c>
      <c r="J65" s="434">
        <f t="shared" si="23"/>
        <v>41866</v>
      </c>
      <c r="K65" s="501">
        <f>_xll.qlCalendarAdvance(Calendar,SettlementDate,I65,"mf",TRUE)</f>
        <v>41988</v>
      </c>
      <c r="N65" s="511">
        <f t="shared" ref="N65:Q65" si="27">($N51*$O51+R51)/$P51</f>
        <v>2.8600981368176398E-3</v>
      </c>
      <c r="O65" s="511">
        <f t="shared" si="27"/>
        <v>2.7963395135039374E-3</v>
      </c>
      <c r="P65" s="511">
        <f t="shared" si="27"/>
        <v>2.7917922370207732E-3</v>
      </c>
      <c r="Q65" s="512">
        <f t="shared" si="27"/>
        <v>2.821726273661659E-3</v>
      </c>
    </row>
    <row r="66" spans="2:17" x14ac:dyDescent="0.2">
      <c r="B66" s="483">
        <f>_xll.qlCalendarAdvance(Calendar,B65,"1d","mf")</f>
        <v>41935</v>
      </c>
      <c r="C66" s="476">
        <f>_xll.qlDayCounterYearFraction(DayCounterON,SettlementDate,B66,,,Trigger)</f>
        <v>0.18904109589041096</v>
      </c>
      <c r="D66" s="484">
        <f t="shared" si="16"/>
        <v>2.3766372339813643E-3</v>
      </c>
      <c r="E66" s="484">
        <f t="shared" si="17"/>
        <v>2.3284106386133492E-3</v>
      </c>
      <c r="F66" s="437">
        <f t="shared" si="18"/>
        <v>2.3649770246821507E-3</v>
      </c>
      <c r="G66" s="437">
        <f t="shared" si="6"/>
        <v>2.4506694799826755E-3</v>
      </c>
      <c r="H66" s="448"/>
      <c r="I66" s="524" t="s">
        <v>71</v>
      </c>
      <c r="J66" s="434">
        <f t="shared" si="23"/>
        <v>41866</v>
      </c>
      <c r="K66" s="501">
        <f>_xll.qlCalendarAdvance(Calendar,SettlementDate,I66,"mf",TRUE)</f>
        <v>42019</v>
      </c>
      <c r="N66" s="511">
        <f t="shared" ref="N66:Q66" si="28">($N52*$O52+R52)/$P52</f>
        <v>2.8528162977533369E-3</v>
      </c>
      <c r="O66" s="511">
        <f t="shared" si="28"/>
        <v>2.8204309652765346E-3</v>
      </c>
      <c r="P66" s="511">
        <f t="shared" si="28"/>
        <v>2.8252212241472053E-3</v>
      </c>
      <c r="Q66" s="512">
        <f t="shared" si="28"/>
        <v>2.8418127806771783E-3</v>
      </c>
    </row>
    <row r="67" spans="2:17" ht="12" thickBot="1" x14ac:dyDescent="0.25">
      <c r="B67" s="483">
        <f>_xll.qlCalendarAdvance(Calendar,B66,"1d","mf")</f>
        <v>41936</v>
      </c>
      <c r="C67" s="476">
        <f>_xll.qlDayCounterYearFraction(DayCounterON,SettlementDate,B67,,,Trigger)</f>
        <v>0.19178082191780821</v>
      </c>
      <c r="D67" s="484">
        <f t="shared" si="16"/>
        <v>2.3766372339813643E-3</v>
      </c>
      <c r="E67" s="484">
        <f t="shared" si="17"/>
        <v>2.3304628341609245E-3</v>
      </c>
      <c r="F67" s="437">
        <f t="shared" si="18"/>
        <v>2.3686051433809306E-3</v>
      </c>
      <c r="G67" s="437">
        <f t="shared" si="6"/>
        <v>2.4539386980331631E-3</v>
      </c>
      <c r="H67" s="448"/>
      <c r="I67" s="525" t="s">
        <v>63</v>
      </c>
      <c r="J67" s="439">
        <f t="shared" si="23"/>
        <v>41866</v>
      </c>
      <c r="K67" s="503">
        <f>_xll.qlCalendarAdvance(Calendar,SettlementDate,I67,"mf",TRUE)</f>
        <v>42051</v>
      </c>
      <c r="N67" s="513">
        <f>($N53*$O53+R53)/$P53</f>
        <v>2.8653259388801669E-3</v>
      </c>
      <c r="O67" s="513">
        <f>($N53*$O53+S53)/$P53</f>
        <v>2.8653259388801647E-3</v>
      </c>
      <c r="P67" s="513">
        <f>($N53*$O53+T53)/$P53</f>
        <v>2.8653259388801626E-3</v>
      </c>
      <c r="Q67" s="514">
        <f>($N53*$O53+U53)/$P53</f>
        <v>2.865325938880176E-3</v>
      </c>
    </row>
    <row r="68" spans="2:17" x14ac:dyDescent="0.2">
      <c r="B68" s="483">
        <f>_xll.qlCalendarAdvance(Calendar,B67,"1d","mf")</f>
        <v>41939</v>
      </c>
      <c r="C68" s="476">
        <f>_xll.qlDayCounterYearFraction(DayCounterON,SettlementDate,B68,,,Trigger)</f>
        <v>0.2</v>
      </c>
      <c r="D68" s="484">
        <f t="shared" si="16"/>
        <v>2.3766372339813643E-3</v>
      </c>
      <c r="E68" s="484">
        <f t="shared" si="17"/>
        <v>2.3366194208036496E-3</v>
      </c>
      <c r="F68" s="437">
        <f t="shared" si="18"/>
        <v>2.37922826005066E-3</v>
      </c>
      <c r="G68" s="437">
        <f t="shared" si="6"/>
        <v>2.4630366703889926E-3</v>
      </c>
      <c r="H68" s="448"/>
      <c r="I68" s="448"/>
    </row>
    <row r="69" spans="2:17" x14ac:dyDescent="0.2">
      <c r="B69" s="483">
        <f>_xll.qlCalendarAdvance(Calendar,B68,"1d","mf")</f>
        <v>41940</v>
      </c>
      <c r="C69" s="476">
        <f>_xll.qlDayCounterYearFraction(DayCounterON,SettlementDate,B69,,,Trigger)</f>
        <v>0.20273972602739726</v>
      </c>
      <c r="D69" s="484">
        <f t="shared" si="16"/>
        <v>2.3766372339813643E-3</v>
      </c>
      <c r="E69" s="484">
        <f t="shared" si="17"/>
        <v>2.3386716163512245E-3</v>
      </c>
      <c r="F69" s="437">
        <f t="shared" si="18"/>
        <v>2.3826822191316999E-3</v>
      </c>
      <c r="G69" s="437">
        <f t="shared" si="6"/>
        <v>2.4658377473154715E-3</v>
      </c>
      <c r="H69" s="448"/>
      <c r="I69" s="448"/>
    </row>
    <row r="70" spans="2:17" x14ac:dyDescent="0.2">
      <c r="B70" s="483">
        <f>_xll.qlCalendarAdvance(Calendar,B69,"1d","mf")</f>
        <v>41941</v>
      </c>
      <c r="C70" s="476">
        <f>_xll.qlDayCounterYearFraction(DayCounterON,SettlementDate,B70,,,Trigger)</f>
        <v>0.20547945205479451</v>
      </c>
      <c r="D70" s="484">
        <f t="shared" si="16"/>
        <v>2.3766372339813643E-3</v>
      </c>
      <c r="E70" s="484">
        <f t="shared" si="17"/>
        <v>2.3407238118987993E-3</v>
      </c>
      <c r="F70" s="437">
        <f t="shared" si="18"/>
        <v>2.3860926383083045E-3</v>
      </c>
      <c r="G70" s="437">
        <f t="shared" si="6"/>
        <v>2.4685255240157592E-3</v>
      </c>
      <c r="H70" s="448"/>
      <c r="I70" s="448"/>
    </row>
    <row r="71" spans="2:17" x14ac:dyDescent="0.2">
      <c r="B71" s="483">
        <f>_xll.qlCalendarAdvance(Calendar,B70,"1d","mf")</f>
        <v>41942</v>
      </c>
      <c r="C71" s="476">
        <f>_xll.qlDayCounterYearFraction(DayCounterON,SettlementDate,B71,,,Trigger)</f>
        <v>0.20821917808219179</v>
      </c>
      <c r="D71" s="484">
        <f t="shared" si="16"/>
        <v>2.3766372339813643E-3</v>
      </c>
      <c r="E71" s="484">
        <f t="shared" si="17"/>
        <v>2.3427760074463747E-3</v>
      </c>
      <c r="F71" s="437">
        <f t="shared" si="18"/>
        <v>2.3894595175804742E-3</v>
      </c>
      <c r="G71" s="437">
        <f t="shared" si="6"/>
        <v>2.4711014945117799E-3</v>
      </c>
      <c r="H71" s="448"/>
      <c r="I71" s="448"/>
    </row>
    <row r="72" spans="2:17" x14ac:dyDescent="0.2">
      <c r="B72" s="483">
        <f>_xll.qlCalendarAdvance(Calendar,B71,"1d","mf")</f>
        <v>41943</v>
      </c>
      <c r="C72" s="476">
        <f>_xll.qlDayCounterYearFraction(DayCounterON,SettlementDate,B72,,,Trigger)</f>
        <v>0.21095890410958903</v>
      </c>
      <c r="D72" s="484">
        <f t="shared" si="16"/>
        <v>2.3766372339813643E-3</v>
      </c>
      <c r="E72" s="484">
        <f t="shared" si="17"/>
        <v>2.3448282029939495E-3</v>
      </c>
      <c r="F72" s="437">
        <f t="shared" si="18"/>
        <v>2.392782856948209E-3</v>
      </c>
      <c r="G72" s="437">
        <f t="shared" si="6"/>
        <v>2.4735671528254561E-3</v>
      </c>
      <c r="H72" s="448"/>
      <c r="I72" s="448"/>
    </row>
    <row r="73" spans="2:17" x14ac:dyDescent="0.2">
      <c r="B73" s="483">
        <f>_xll.qlCalendarAdvance(Calendar,B72,"1d","mf")</f>
        <v>41946</v>
      </c>
      <c r="C73" s="476">
        <f>_xll.qlDayCounterYearFraction(DayCounterON,SettlementDate,B73,,,Trigger)</f>
        <v>0.21917808219178081</v>
      </c>
      <c r="D73" s="484">
        <f t="shared" si="16"/>
        <v>2.3766372339813643E-3</v>
      </c>
      <c r="E73" s="484">
        <f t="shared" si="17"/>
        <v>2.3509847896366746E-3</v>
      </c>
      <c r="F73" s="437">
        <f t="shared" si="18"/>
        <v>2.4024916356248016E-3</v>
      </c>
      <c r="G73" s="437">
        <f t="shared" si="6"/>
        <v>2.4803171948916693E-3</v>
      </c>
      <c r="H73" s="448"/>
      <c r="I73" s="448"/>
    </row>
    <row r="74" spans="2:17" x14ac:dyDescent="0.2">
      <c r="B74" s="483">
        <f>_xll.qlCalendarAdvance(Calendar,B73,"1d","mf")</f>
        <v>41947</v>
      </c>
      <c r="C74" s="476">
        <f>_xll.qlDayCounterYearFraction(DayCounterON,SettlementDate,B74,,,Trigger)</f>
        <v>0.22191780821917809</v>
      </c>
      <c r="D74" s="484">
        <f t="shared" si="16"/>
        <v>2.3766372339813643E-3</v>
      </c>
      <c r="E74" s="484">
        <f t="shared" si="17"/>
        <v>2.3530369851842495E-3</v>
      </c>
      <c r="F74" s="437">
        <f t="shared" si="18"/>
        <v>2.405640815374796E-3</v>
      </c>
      <c r="G74" s="437">
        <f t="shared" si="6"/>
        <v>2.4823565446952154E-3</v>
      </c>
      <c r="H74" s="448"/>
      <c r="I74" s="448"/>
    </row>
    <row r="75" spans="2:17" x14ac:dyDescent="0.2">
      <c r="B75" s="483">
        <f>_xll.qlCalendarAdvance(Calendar,B74,"1d","mf")</f>
        <v>41948</v>
      </c>
      <c r="C75" s="476">
        <f>_xll.qlDayCounterYearFraction(DayCounterON,SettlementDate,B75,,,Trigger)</f>
        <v>0.22465753424657534</v>
      </c>
      <c r="D75" s="484">
        <f t="shared" si="16"/>
        <v>2.3766372339813643E-3</v>
      </c>
      <c r="E75" s="484">
        <f t="shared" si="17"/>
        <v>2.3550891807318244E-3</v>
      </c>
      <c r="F75" s="437">
        <f t="shared" si="18"/>
        <v>2.4087464552203551E-3</v>
      </c>
      <c r="G75" s="437">
        <f t="shared" si="6"/>
        <v>2.4842930524260386E-3</v>
      </c>
      <c r="H75" s="448"/>
      <c r="I75" s="448"/>
    </row>
    <row r="76" spans="2:17" x14ac:dyDescent="0.2">
      <c r="B76" s="483">
        <f>_xll.qlCalendarAdvance(Calendar,B75,"1d","mf")</f>
        <v>41949</v>
      </c>
      <c r="C76" s="476">
        <f>_xll.qlDayCounterYearFraction(DayCounterON,SettlementDate,B76,,,Trigger)</f>
        <v>0.22739726027397261</v>
      </c>
      <c r="D76" s="484">
        <f t="shared" si="16"/>
        <v>2.3766372339813643E-3</v>
      </c>
      <c r="E76" s="484">
        <f t="shared" si="17"/>
        <v>2.3571413762793997E-3</v>
      </c>
      <c r="F76" s="437">
        <f t="shared" si="18"/>
        <v>2.4118085551614794E-3</v>
      </c>
      <c r="G76" s="437">
        <f t="shared" si="6"/>
        <v>2.4861282121060643E-3</v>
      </c>
      <c r="H76" s="448"/>
      <c r="I76" s="448"/>
    </row>
    <row r="77" spans="2:17" x14ac:dyDescent="0.2">
      <c r="B77" s="483">
        <f>_xll.qlCalendarAdvance(Calendar,B76,"1d","mf")</f>
        <v>41950</v>
      </c>
      <c r="C77" s="476">
        <f>_xll.qlDayCounterYearFraction(DayCounterON,SettlementDate,B77,,,Trigger)</f>
        <v>0.23013698630136986</v>
      </c>
      <c r="D77" s="484">
        <f t="shared" si="16"/>
        <v>2.3766372339813643E-3</v>
      </c>
      <c r="E77" s="484">
        <f t="shared" si="17"/>
        <v>2.3591935718269745E-3</v>
      </c>
      <c r="F77" s="437">
        <f t="shared" si="18"/>
        <v>2.4148271151981683E-3</v>
      </c>
      <c r="G77" s="437">
        <f t="shared" si="6"/>
        <v>2.487863517757215E-3</v>
      </c>
      <c r="H77" s="448"/>
      <c r="I77" s="448"/>
    </row>
    <row r="78" spans="2:17" x14ac:dyDescent="0.2">
      <c r="B78" s="483">
        <f>_xll.qlCalendarAdvance(Calendar,B77,"1d","mf")</f>
        <v>41953</v>
      </c>
      <c r="C78" s="476">
        <f>_xll.qlDayCounterYearFraction(DayCounterON,SettlementDate,B78,,,Trigger)</f>
        <v>0.23835616438356164</v>
      </c>
      <c r="D78" s="484">
        <f t="shared" si="16"/>
        <v>2.3766372339813643E-3</v>
      </c>
      <c r="E78" s="484">
        <f t="shared" si="17"/>
        <v>2.3653501584696996E-3</v>
      </c>
      <c r="F78" s="437">
        <f t="shared" si="18"/>
        <v>2.4236215558816245E-3</v>
      </c>
      <c r="G78" s="437">
        <f t="shared" si="6"/>
        <v>2.4924852507566685E-3</v>
      </c>
      <c r="H78" s="448"/>
      <c r="I78" s="448"/>
    </row>
    <row r="79" spans="2:17" x14ac:dyDescent="0.2">
      <c r="B79" s="483">
        <f>_xll.qlCalendarAdvance(Calendar,B78,"1d","mf")</f>
        <v>41954</v>
      </c>
      <c r="C79" s="476">
        <f>_xll.qlDayCounterYearFraction(DayCounterON,SettlementDate,B79,,,Trigger)</f>
        <v>0.24109589041095891</v>
      </c>
      <c r="D79" s="484">
        <f t="shared" si="16"/>
        <v>2.3766372339813643E-3</v>
      </c>
      <c r="E79" s="484">
        <f t="shared" si="17"/>
        <v>2.3674023540172745E-3</v>
      </c>
      <c r="F79" s="437">
        <f t="shared" si="18"/>
        <v>2.4264659563005735E-3</v>
      </c>
      <c r="G79" s="437">
        <f t="shared" si="6"/>
        <v>2.4938360805115659E-3</v>
      </c>
      <c r="H79" s="448"/>
      <c r="I79" s="448"/>
    </row>
    <row r="80" spans="2:17" x14ac:dyDescent="0.2">
      <c r="B80" s="483">
        <f>_xll.qlCalendarAdvance(Calendar,B79,"1d","mf")</f>
        <v>41955</v>
      </c>
      <c r="C80" s="476">
        <f>_xll.qlDayCounterYearFraction(DayCounterON,SettlementDate,B80,,,Trigger)</f>
        <v>0.24383561643835616</v>
      </c>
      <c r="D80" s="484">
        <f t="shared" si="16"/>
        <v>2.3766372339813643E-3</v>
      </c>
      <c r="E80" s="484">
        <f t="shared" si="17"/>
        <v>2.3694545495648498E-3</v>
      </c>
      <c r="F80" s="437">
        <f t="shared" si="18"/>
        <v>2.4292668168150872E-3</v>
      </c>
      <c r="G80" s="437">
        <f t="shared" si="6"/>
        <v>2.4950945263472113E-3</v>
      </c>
      <c r="H80" s="448"/>
      <c r="I80" s="448"/>
    </row>
    <row r="81" spans="2:9" x14ac:dyDescent="0.2">
      <c r="B81" s="483">
        <f>_xll.qlCalendarAdvance(Calendar,B80,"1d","mf")</f>
        <v>41956</v>
      </c>
      <c r="C81" s="476">
        <f>_xll.qlDayCounterYearFraction(DayCounterON,SettlementDate,B81,,,Trigger)</f>
        <v>0.24657534246575341</v>
      </c>
      <c r="D81" s="484">
        <f t="shared" si="16"/>
        <v>2.3766372339813643E-3</v>
      </c>
      <c r="E81" s="484">
        <f t="shared" si="17"/>
        <v>2.3715067451124247E-3</v>
      </c>
      <c r="F81" s="437">
        <f t="shared" si="18"/>
        <v>2.4320241374251655E-3</v>
      </c>
      <c r="G81" s="437">
        <f t="shared" si="6"/>
        <v>2.4962620822855273E-3</v>
      </c>
      <c r="H81" s="448"/>
      <c r="I81" s="448"/>
    </row>
    <row r="82" spans="2:9" x14ac:dyDescent="0.2">
      <c r="B82" s="483">
        <f>_xll.qlCalendarAdvance(Calendar,B81,"1d","mf")</f>
        <v>41957</v>
      </c>
      <c r="C82" s="476">
        <f>_xll.qlDayCounterYearFraction(DayCounterON,SettlementDate,B82,,,Trigger)</f>
        <v>0.24931506849315069</v>
      </c>
      <c r="D82" s="484">
        <f t="shared" si="16"/>
        <v>2.3766372339813643E-3</v>
      </c>
      <c r="E82" s="484">
        <f t="shared" si="17"/>
        <v>2.3735589406599996E-3</v>
      </c>
      <c r="F82" s="437">
        <f t="shared" si="18"/>
        <v>2.4347379181308094E-3</v>
      </c>
      <c r="G82" s="437">
        <f t="shared" ref="G82:G83" si="29">($S$20+$S$19*C82+$S$18*C82^2+$S$17*C82^3)</f>
        <v>2.4973402423484393E-3</v>
      </c>
      <c r="H82" s="448"/>
      <c r="I82" s="448"/>
    </row>
    <row r="83" spans="2:9" x14ac:dyDescent="0.2">
      <c r="B83" s="483">
        <f>_xll.qlCalendarAdvance(Calendar,B82,"1d","mf")</f>
        <v>41960</v>
      </c>
      <c r="C83" s="476">
        <f>_xll.qlDayCounterYearFraction(DayCounterON,SettlementDate,B83,,,Trigger)</f>
        <v>0.25753424657534246</v>
      </c>
      <c r="D83" s="484">
        <f t="shared" si="16"/>
        <v>2.3766372339813643E-3</v>
      </c>
      <c r="E83" s="484">
        <f t="shared" si="17"/>
        <v>2.3797155273027246E-3</v>
      </c>
      <c r="F83" s="437">
        <f t="shared" si="18"/>
        <v>2.4426180208211292E-3</v>
      </c>
      <c r="G83" s="437">
        <f t="shared" si="29"/>
        <v>2.5000532875039888E-3</v>
      </c>
      <c r="H83" s="448"/>
      <c r="I83" s="448"/>
    </row>
    <row r="84" spans="2:9" x14ac:dyDescent="0.2">
      <c r="B84" s="483">
        <f>_xll.qlCalendarAdvance(Calendar,B83,"1d","mf")</f>
        <v>41961</v>
      </c>
      <c r="C84" s="476">
        <f>_xll.qlDayCounterYearFraction(DayCounterON,SettlementDate,B84,,,Trigger)</f>
        <v>0.26027397260273971</v>
      </c>
      <c r="D84" s="484">
        <f t="shared" ref="D84:D144" si="30">$S$13</f>
        <v>2.3766372339813643E-3</v>
      </c>
      <c r="E84" s="484">
        <f t="shared" ref="E84:E114" si="31">$S$10+$S$9*C84</f>
        <v>2.3817677228502995E-3</v>
      </c>
      <c r="F84" s="437">
        <f t="shared" ref="F84:F114" si="32">($S$5+$S$4*C84+$S$3*C84^2)</f>
        <v>2.4451576419090323E-3</v>
      </c>
      <c r="G84" s="437">
        <f t="shared" ref="G84:G115" si="33">($S$20+$S$19*C84+$S$18*C84^2+$S$17*C84^3)</f>
        <v>2.5007888042845238E-3</v>
      </c>
      <c r="H84" s="448"/>
      <c r="I84" s="448"/>
    </row>
    <row r="85" spans="2:9" x14ac:dyDescent="0.2">
      <c r="B85" s="483">
        <f>_xll.qlCalendarAdvance(Calendar,B84,"1d","mf")</f>
        <v>41962</v>
      </c>
      <c r="C85" s="476">
        <f>_xll.qlDayCounterYearFraction(DayCounterON,SettlementDate,B85,,,Trigger)</f>
        <v>0.26301369863013696</v>
      </c>
      <c r="D85" s="484">
        <f t="shared" si="30"/>
        <v>2.3766372339813643E-3</v>
      </c>
      <c r="E85" s="484">
        <f t="shared" si="31"/>
        <v>2.3838199183978748E-3</v>
      </c>
      <c r="F85" s="437">
        <f t="shared" si="32"/>
        <v>2.4476537230925005E-3</v>
      </c>
      <c r="G85" s="437">
        <f t="shared" si="33"/>
        <v>2.5014423952992759E-3</v>
      </c>
      <c r="H85" s="448"/>
      <c r="I85" s="448"/>
    </row>
    <row r="86" spans="2:9" x14ac:dyDescent="0.2">
      <c r="B86" s="483">
        <f>_xll.qlCalendarAdvance(Calendar,B85,"1d","mf")</f>
        <v>41963</v>
      </c>
      <c r="C86" s="476">
        <f>_xll.qlDayCounterYearFraction(DayCounterON,SettlementDate,B86,,,Trigger)</f>
        <v>0.26575342465753427</v>
      </c>
      <c r="D86" s="484">
        <f t="shared" si="30"/>
        <v>2.3766372339813643E-3</v>
      </c>
      <c r="E86" s="484">
        <f t="shared" si="31"/>
        <v>2.3858721139454497E-3</v>
      </c>
      <c r="F86" s="437">
        <f t="shared" si="32"/>
        <v>2.4501062643715334E-3</v>
      </c>
      <c r="G86" s="437">
        <f t="shared" si="33"/>
        <v>2.5020155545701678E-3</v>
      </c>
      <c r="H86" s="448"/>
      <c r="I86" s="448"/>
    </row>
    <row r="87" spans="2:9" x14ac:dyDescent="0.2">
      <c r="B87" s="483">
        <f>_xll.qlCalendarAdvance(Calendar,B86,"1d","mf")</f>
        <v>41964</v>
      </c>
      <c r="C87" s="476">
        <f>_xll.qlDayCounterYearFraction(DayCounterON,SettlementDate,B87,,,Trigger)</f>
        <v>0.26849315068493151</v>
      </c>
      <c r="D87" s="484">
        <f t="shared" si="30"/>
        <v>2.3766372339813643E-3</v>
      </c>
      <c r="E87" s="484">
        <f t="shared" si="31"/>
        <v>2.3879243094930246E-3</v>
      </c>
      <c r="F87" s="437">
        <f t="shared" si="32"/>
        <v>2.4525152657461314E-3</v>
      </c>
      <c r="G87" s="437">
        <f t="shared" si="33"/>
        <v>2.5025097761191251E-3</v>
      </c>
      <c r="H87" s="448"/>
      <c r="I87" s="448"/>
    </row>
    <row r="88" spans="2:9" x14ac:dyDescent="0.2">
      <c r="B88" s="483">
        <f>_xll.qlCalendarAdvance(Calendar,B87,"1d","mf")</f>
        <v>41967</v>
      </c>
      <c r="C88" s="476">
        <f>_xll.qlDayCounterYearFraction(DayCounterON,SettlementDate,B88,,,Trigger)</f>
        <v>0.27671232876712326</v>
      </c>
      <c r="D88" s="484">
        <f t="shared" si="30"/>
        <v>2.3766372339813643E-3</v>
      </c>
      <c r="E88" s="484">
        <f t="shared" si="31"/>
        <v>2.3940808961357496E-3</v>
      </c>
      <c r="F88" s="437">
        <f t="shared" si="32"/>
        <v>2.4594810304433149E-3</v>
      </c>
      <c r="G88" s="437">
        <f t="shared" si="33"/>
        <v>2.503533754653627E-3</v>
      </c>
      <c r="H88" s="448"/>
      <c r="I88" s="448"/>
    </row>
    <row r="89" spans="2:9" x14ac:dyDescent="0.2">
      <c r="B89" s="483">
        <f>_xll.qlCalendarAdvance(Calendar,B88,"1d","mf")</f>
        <v>41968</v>
      </c>
      <c r="C89" s="476">
        <f>_xll.qlDayCounterYearFraction(DayCounterON,SettlementDate,B89,,,Trigger)</f>
        <v>0.27945205479452057</v>
      </c>
      <c r="D89" s="484">
        <f t="shared" si="30"/>
        <v>2.3766372339813643E-3</v>
      </c>
      <c r="E89" s="484">
        <f t="shared" si="31"/>
        <v>2.3961330916833249E-3</v>
      </c>
      <c r="F89" s="437">
        <f t="shared" si="32"/>
        <v>2.4617158722001725E-3</v>
      </c>
      <c r="G89" s="437">
        <f t="shared" si="33"/>
        <v>2.5037271655340854E-3</v>
      </c>
      <c r="H89" s="448"/>
      <c r="I89" s="448"/>
    </row>
    <row r="90" spans="2:9" x14ac:dyDescent="0.2">
      <c r="B90" s="483">
        <f>_xll.qlCalendarAdvance(Calendar,B89,"1d","mf")</f>
        <v>41969</v>
      </c>
      <c r="C90" s="476">
        <f>_xll.qlDayCounterYearFraction(DayCounterON,SettlementDate,B90,,,Trigger)</f>
        <v>0.28219178082191781</v>
      </c>
      <c r="D90" s="484">
        <f t="shared" si="30"/>
        <v>2.3766372339813643E-3</v>
      </c>
      <c r="E90" s="484">
        <f t="shared" si="31"/>
        <v>2.3981852872308998E-3</v>
      </c>
      <c r="F90" s="437">
        <f t="shared" si="32"/>
        <v>2.4639071740525952E-3</v>
      </c>
      <c r="G90" s="437">
        <f t="shared" si="33"/>
        <v>2.5038491088022288E-3</v>
      </c>
      <c r="H90" s="448"/>
      <c r="I90" s="448"/>
    </row>
    <row r="91" spans="2:9" x14ac:dyDescent="0.2">
      <c r="B91" s="483">
        <f>_xll.qlCalendarAdvance(Calendar,B90,"1d","mf")</f>
        <v>41970</v>
      </c>
      <c r="C91" s="476">
        <f>_xll.qlDayCounterYearFraction(DayCounterON,SettlementDate,B91,,,Trigger)</f>
        <v>0.28493150684931506</v>
      </c>
      <c r="D91" s="484">
        <f t="shared" si="30"/>
        <v>2.3766372339813643E-3</v>
      </c>
      <c r="E91" s="484">
        <f t="shared" si="31"/>
        <v>2.4002374827784747E-3</v>
      </c>
      <c r="F91" s="437">
        <f t="shared" si="32"/>
        <v>2.4660549360005827E-3</v>
      </c>
      <c r="G91" s="437">
        <f t="shared" si="33"/>
        <v>2.5039010784799827E-3</v>
      </c>
      <c r="H91" s="448"/>
      <c r="I91" s="448"/>
    </row>
    <row r="92" spans="2:9" x14ac:dyDescent="0.2">
      <c r="B92" s="483">
        <f>_xll.qlCalendarAdvance(Calendar,B91,"1d","mf")</f>
        <v>41971</v>
      </c>
      <c r="C92" s="476">
        <f>_xll.qlDayCounterYearFraction(DayCounterON,SettlementDate,B92,,,Trigger)</f>
        <v>0.28767123287671231</v>
      </c>
      <c r="D92" s="484">
        <f t="shared" si="30"/>
        <v>2.3766372339813643E-3</v>
      </c>
      <c r="E92" s="484">
        <f t="shared" si="31"/>
        <v>2.40228967832605E-3</v>
      </c>
      <c r="F92" s="437">
        <f t="shared" si="32"/>
        <v>2.4681591580441352E-3</v>
      </c>
      <c r="G92" s="437">
        <f t="shared" si="33"/>
        <v>2.5038845685892703E-3</v>
      </c>
      <c r="H92" s="448"/>
      <c r="I92" s="448"/>
    </row>
    <row r="93" spans="2:9" x14ac:dyDescent="0.2">
      <c r="B93" s="483">
        <f>_xll.qlCalendarAdvance(Calendar,B92,"1d","mf")</f>
        <v>41974</v>
      </c>
      <c r="C93" s="476">
        <f>_xll.qlDayCounterYearFraction(DayCounterON,SettlementDate,B93,,,Trigger)</f>
        <v>0.29589041095890412</v>
      </c>
      <c r="D93" s="484">
        <f t="shared" si="30"/>
        <v>2.3766372339813643E-3</v>
      </c>
      <c r="E93" s="484">
        <f t="shared" si="31"/>
        <v>2.4084462649687746E-3</v>
      </c>
      <c r="F93" s="437">
        <f t="shared" si="32"/>
        <v>2.4742105847481819E-3</v>
      </c>
      <c r="G93" s="437">
        <f t="shared" si="33"/>
        <v>2.5034391017255812E-3</v>
      </c>
      <c r="H93" s="448"/>
      <c r="I93" s="448"/>
    </row>
    <row r="94" spans="2:9" x14ac:dyDescent="0.2">
      <c r="B94" s="483">
        <f>_xll.qlCalendarAdvance(Calendar,B93,"1d","mf")</f>
        <v>41975</v>
      </c>
      <c r="C94" s="476">
        <f>_xll.qlDayCounterYearFraction(DayCounterON,SettlementDate,B94,,,Trigger)</f>
        <v>0.29863013698630136</v>
      </c>
      <c r="D94" s="484">
        <f t="shared" si="30"/>
        <v>2.3766372339813643E-3</v>
      </c>
      <c r="E94" s="484">
        <f t="shared" si="31"/>
        <v>2.4104984605163499E-3</v>
      </c>
      <c r="F94" s="437">
        <f t="shared" si="32"/>
        <v>2.4761406471739945E-3</v>
      </c>
      <c r="G94" s="437">
        <f t="shared" si="33"/>
        <v>2.5031636137802481E-3</v>
      </c>
      <c r="H94" s="448"/>
      <c r="I94" s="448"/>
    </row>
    <row r="95" spans="2:9" x14ac:dyDescent="0.2">
      <c r="B95" s="483">
        <f>_xll.qlCalendarAdvance(Calendar,B94,"1d","mf")</f>
        <v>41976</v>
      </c>
      <c r="C95" s="476">
        <f>_xll.qlDayCounterYearFraction(DayCounterON,SettlementDate,B95,,,Trigger)</f>
        <v>0.30136986301369861</v>
      </c>
      <c r="D95" s="484">
        <f t="shared" si="30"/>
        <v>2.3766372339813643E-3</v>
      </c>
      <c r="E95" s="484">
        <f t="shared" si="31"/>
        <v>2.4125506560639248E-3</v>
      </c>
      <c r="F95" s="437">
        <f t="shared" si="32"/>
        <v>2.4780271696953713E-3</v>
      </c>
      <c r="G95" s="437">
        <f t="shared" si="33"/>
        <v>2.5028271163760694E-3</v>
      </c>
      <c r="H95" s="448"/>
      <c r="I95" s="448"/>
    </row>
    <row r="96" spans="2:9" x14ac:dyDescent="0.2">
      <c r="B96" s="483">
        <f>_xll.qlCalendarAdvance(Calendar,B95,"1d","mf")</f>
        <v>41977</v>
      </c>
      <c r="C96" s="476">
        <f>_xll.qlDayCounterYearFraction(DayCounterON,SettlementDate,B96,,,Trigger)</f>
        <v>0.30410958904109592</v>
      </c>
      <c r="D96" s="484">
        <f t="shared" si="30"/>
        <v>2.3766372339813643E-3</v>
      </c>
      <c r="E96" s="484">
        <f t="shared" si="31"/>
        <v>2.4146028516114997E-3</v>
      </c>
      <c r="F96" s="437">
        <f t="shared" si="32"/>
        <v>2.4798701523123133E-3</v>
      </c>
      <c r="G96" s="437">
        <f t="shared" si="33"/>
        <v>2.5024311035349704E-3</v>
      </c>
      <c r="H96" s="448"/>
      <c r="I96" s="448"/>
    </row>
    <row r="97" spans="2:9" x14ac:dyDescent="0.2">
      <c r="B97" s="483">
        <f>_xll.qlCalendarAdvance(Calendar,B96,"1d","mf")</f>
        <v>41978</v>
      </c>
      <c r="C97" s="476">
        <f>_xll.qlDayCounterYearFraction(DayCounterON,SettlementDate,B97,,,Trigger)</f>
        <v>0.30684931506849317</v>
      </c>
      <c r="D97" s="484">
        <f t="shared" si="30"/>
        <v>2.3766372339813643E-3</v>
      </c>
      <c r="E97" s="484">
        <f t="shared" si="31"/>
        <v>2.416655047159075E-3</v>
      </c>
      <c r="F97" s="437">
        <f t="shared" si="32"/>
        <v>2.4816695950248204E-3</v>
      </c>
      <c r="G97" s="437">
        <f t="shared" si="33"/>
        <v>2.5019770692788746E-3</v>
      </c>
      <c r="H97" s="448"/>
      <c r="I97" s="448"/>
    </row>
    <row r="98" spans="2:9" x14ac:dyDescent="0.2">
      <c r="B98" s="483">
        <f>_xll.qlCalendarAdvance(Calendar,B97,"1d","mf")</f>
        <v>41981</v>
      </c>
      <c r="C98" s="476">
        <f>_xll.qlDayCounterYearFraction(DayCounterON,SettlementDate,B98,,,Trigger)</f>
        <v>0.31506849315068491</v>
      </c>
      <c r="D98" s="484">
        <f t="shared" si="30"/>
        <v>2.3766372339813643E-3</v>
      </c>
      <c r="E98" s="484">
        <f t="shared" si="31"/>
        <v>2.4228116338018001E-3</v>
      </c>
      <c r="F98" s="437">
        <f t="shared" si="32"/>
        <v>2.4868066837357306E-3</v>
      </c>
      <c r="G98" s="437">
        <f t="shared" si="33"/>
        <v>2.5002817782398506E-3</v>
      </c>
      <c r="H98" s="448"/>
      <c r="I98" s="448"/>
    </row>
    <row r="99" spans="2:9" x14ac:dyDescent="0.2">
      <c r="B99" s="483">
        <f>_xll.qlCalendarAdvance(Calendar,B98,"1d","mf")</f>
        <v>41982</v>
      </c>
      <c r="C99" s="476">
        <f>_xll.qlDayCounterYearFraction(DayCounterON,SettlementDate,B99,,,Trigger)</f>
        <v>0.31780821917808222</v>
      </c>
      <c r="D99" s="484">
        <f t="shared" si="30"/>
        <v>2.3766372339813643E-3</v>
      </c>
      <c r="E99" s="484">
        <f t="shared" si="31"/>
        <v>2.424863829349375E-3</v>
      </c>
      <c r="F99" s="437">
        <f t="shared" si="32"/>
        <v>2.4884319668304973E-3</v>
      </c>
      <c r="G99" s="437">
        <f t="shared" si="33"/>
        <v>2.4996105985430109E-3</v>
      </c>
      <c r="H99" s="448"/>
      <c r="I99" s="448"/>
    </row>
    <row r="100" spans="2:9" x14ac:dyDescent="0.2">
      <c r="B100" s="483">
        <f>_xll.qlCalendarAdvance(Calendar,B99,"1d","mf")</f>
        <v>41983</v>
      </c>
      <c r="C100" s="476">
        <f>_xll.qlDayCounterYearFraction(DayCounterON,SettlementDate,B100,,,Trigger)</f>
        <v>0.32054794520547947</v>
      </c>
      <c r="D100" s="484">
        <f t="shared" si="30"/>
        <v>2.3766372339813643E-3</v>
      </c>
      <c r="E100" s="484">
        <f t="shared" si="31"/>
        <v>2.4269160248969498E-3</v>
      </c>
      <c r="F100" s="437">
        <f t="shared" si="32"/>
        <v>2.4900137100208291E-3</v>
      </c>
      <c r="G100" s="437">
        <f t="shared" si="33"/>
        <v>2.4988888675407956E-3</v>
      </c>
      <c r="H100" s="448"/>
      <c r="I100" s="448"/>
    </row>
    <row r="101" spans="2:9" x14ac:dyDescent="0.2">
      <c r="B101" s="483">
        <f>_xll.qlCalendarAdvance(Calendar,B100,"1d","mf")</f>
        <v>41984</v>
      </c>
      <c r="C101" s="476">
        <f>_xll.qlDayCounterYearFraction(DayCounterON,SettlementDate,B101,,,Trigger)</f>
        <v>0.32328767123287672</v>
      </c>
      <c r="D101" s="484">
        <f t="shared" si="30"/>
        <v>2.3766372339813643E-3</v>
      </c>
      <c r="E101" s="484">
        <f t="shared" si="31"/>
        <v>2.4289682204445251E-3</v>
      </c>
      <c r="F101" s="437">
        <f t="shared" si="32"/>
        <v>2.4915519133067257E-3</v>
      </c>
      <c r="G101" s="437">
        <f t="shared" si="33"/>
        <v>2.4981180792551291E-3</v>
      </c>
      <c r="H101" s="448"/>
      <c r="I101" s="448"/>
    </row>
    <row r="102" spans="2:9" x14ac:dyDescent="0.2">
      <c r="B102" s="483">
        <f>_xll.qlCalendarAdvance(Calendar,B101,"1d","mf")</f>
        <v>41985</v>
      </c>
      <c r="C102" s="476">
        <f>_xll.qlDayCounterYearFraction(DayCounterON,SettlementDate,B102,,,Trigger)</f>
        <v>0.32602739726027397</v>
      </c>
      <c r="D102" s="484">
        <f t="shared" si="30"/>
        <v>2.3766372339813643E-3</v>
      </c>
      <c r="E102" s="484">
        <f t="shared" si="31"/>
        <v>2.4310204159921E-3</v>
      </c>
      <c r="F102" s="437">
        <f t="shared" si="32"/>
        <v>2.4930465766881873E-3</v>
      </c>
      <c r="G102" s="437">
        <f t="shared" si="33"/>
        <v>2.4972997277079353E-3</v>
      </c>
      <c r="H102" s="448"/>
      <c r="I102" s="448"/>
    </row>
    <row r="103" spans="2:9" x14ac:dyDescent="0.2">
      <c r="B103" s="483">
        <f>_xll.qlCalendarAdvance(Calendar,B102,"1d","mf")</f>
        <v>41988</v>
      </c>
      <c r="C103" s="476">
        <f>_xll.qlDayCounterYearFraction(DayCounterON,SettlementDate,B103,,,Trigger)</f>
        <v>0.33424657534246577</v>
      </c>
      <c r="D103" s="484">
        <f t="shared" si="30"/>
        <v>2.3766372339813643E-3</v>
      </c>
      <c r="E103" s="484">
        <f t="shared" si="31"/>
        <v>2.4371770026348251E-3</v>
      </c>
      <c r="F103" s="437">
        <f t="shared" si="32"/>
        <v>2.4972693274059607E-3</v>
      </c>
      <c r="G103" s="437">
        <f t="shared" si="33"/>
        <v>2.4945742337164328E-3</v>
      </c>
      <c r="H103" s="448"/>
      <c r="I103" s="448"/>
    </row>
    <row r="104" spans="2:9" x14ac:dyDescent="0.2">
      <c r="B104" s="483">
        <f>_xll.qlCalendarAdvance(Calendar,B103,"1d","mf")</f>
        <v>41989</v>
      </c>
      <c r="C104" s="476">
        <f>_xll.qlDayCounterYearFraction(DayCounterON,SettlementDate,B104,,,Trigger)</f>
        <v>0.33698630136986302</v>
      </c>
      <c r="D104" s="484">
        <f t="shared" si="30"/>
        <v>2.3766372339813643E-3</v>
      </c>
      <c r="E104" s="484">
        <f t="shared" si="31"/>
        <v>2.4392291981824E-3</v>
      </c>
      <c r="F104" s="437">
        <f t="shared" si="32"/>
        <v>2.498589831169682E-3</v>
      </c>
      <c r="G104" s="437">
        <f t="shared" si="33"/>
        <v>2.4935805693423723E-3</v>
      </c>
      <c r="H104" s="448"/>
      <c r="I104" s="448"/>
    </row>
    <row r="105" spans="2:9" x14ac:dyDescent="0.2">
      <c r="B105" s="483">
        <f>_xll.qlCalendarAdvance(Calendar,B104,"1d","mf")</f>
        <v>41990</v>
      </c>
      <c r="C105" s="476">
        <f>_xll.qlDayCounterYearFraction(DayCounterON,SettlementDate,B105,,,Trigger)</f>
        <v>0.33972602739726027</v>
      </c>
      <c r="D105" s="484">
        <f t="shared" si="30"/>
        <v>2.3766372339813643E-3</v>
      </c>
      <c r="E105" s="484">
        <f t="shared" si="31"/>
        <v>2.4412813937299748E-3</v>
      </c>
      <c r="F105" s="437">
        <f t="shared" si="32"/>
        <v>2.4998667950289679E-3</v>
      </c>
      <c r="G105" s="437">
        <f t="shared" si="33"/>
        <v>2.4925468118164049E-3</v>
      </c>
      <c r="H105" s="448"/>
      <c r="I105" s="448"/>
    </row>
    <row r="106" spans="2:9" x14ac:dyDescent="0.2">
      <c r="B106" s="483">
        <f>_xll.qlCalendarAdvance(Calendar,B105,"1d","mf")</f>
        <v>41991</v>
      </c>
      <c r="C106" s="476">
        <f>_xll.qlDayCounterYearFraction(DayCounterON,SettlementDate,B106,,,Trigger)</f>
        <v>0.34246575342465752</v>
      </c>
      <c r="D106" s="484">
        <f t="shared" si="30"/>
        <v>2.3766372339813643E-3</v>
      </c>
      <c r="E106" s="484">
        <f t="shared" si="31"/>
        <v>2.4433335892775502E-3</v>
      </c>
      <c r="F106" s="437">
        <f t="shared" si="32"/>
        <v>2.5011002189838194E-3</v>
      </c>
      <c r="G106" s="437">
        <f t="shared" si="33"/>
        <v>2.4914744551604562E-3</v>
      </c>
      <c r="H106" s="448"/>
      <c r="I106" s="448"/>
    </row>
    <row r="107" spans="2:9" x14ac:dyDescent="0.2">
      <c r="B107" s="483">
        <f>_xll.qlCalendarAdvance(Calendar,B106,"1d","mf")</f>
        <v>41992</v>
      </c>
      <c r="C107" s="476">
        <f>_xll.qlDayCounterYearFraction(DayCounterON,SettlementDate,B107,,,Trigger)</f>
        <v>0.34520547945205482</v>
      </c>
      <c r="D107" s="484">
        <f t="shared" si="30"/>
        <v>2.3766372339813643E-3</v>
      </c>
      <c r="E107" s="484">
        <f t="shared" si="31"/>
        <v>2.445385784825125E-3</v>
      </c>
      <c r="F107" s="437">
        <f t="shared" si="32"/>
        <v>2.5022901030342351E-3</v>
      </c>
      <c r="G107" s="437">
        <f t="shared" si="33"/>
        <v>2.4903649933964499E-3</v>
      </c>
      <c r="H107" s="448"/>
      <c r="I107" s="448"/>
    </row>
    <row r="108" spans="2:9" x14ac:dyDescent="0.2">
      <c r="B108" s="483">
        <f>_xll.qlCalendarAdvance(Calendar,B107,"1d","mf")</f>
        <v>41995</v>
      </c>
      <c r="C108" s="476">
        <f>_xll.qlDayCounterYearFraction(DayCounterON,SettlementDate,B108,,,Trigger)</f>
        <v>0.35342465753424657</v>
      </c>
      <c r="D108" s="484">
        <f t="shared" si="30"/>
        <v>2.3766372339813643E-3</v>
      </c>
      <c r="E108" s="484">
        <f t="shared" si="31"/>
        <v>2.4515423714678501E-3</v>
      </c>
      <c r="F108" s="437">
        <f t="shared" si="32"/>
        <v>2.5055985157588722E-3</v>
      </c>
      <c r="G108" s="437">
        <f t="shared" si="33"/>
        <v>2.486828917675325E-3</v>
      </c>
      <c r="H108" s="448"/>
      <c r="I108" s="448"/>
    </row>
    <row r="109" spans="2:9" x14ac:dyDescent="0.2">
      <c r="B109" s="483">
        <f>_xll.qlCalendarAdvance(Calendar,B108,"1d","mf")</f>
        <v>41996</v>
      </c>
      <c r="C109" s="476">
        <f>_xll.qlDayCounterYearFraction(DayCounterON,SettlementDate,B109,,,Trigger)</f>
        <v>0.35616438356164382</v>
      </c>
      <c r="D109" s="484">
        <f t="shared" si="30"/>
        <v>2.3766372339813643E-3</v>
      </c>
      <c r="E109" s="484">
        <f t="shared" si="31"/>
        <v>2.453594567015425E-3</v>
      </c>
      <c r="F109" s="437">
        <f t="shared" si="32"/>
        <v>2.506614240191548E-3</v>
      </c>
      <c r="G109" s="437">
        <f t="shared" si="33"/>
        <v>2.4855859756983283E-3</v>
      </c>
      <c r="H109" s="448"/>
      <c r="I109" s="448"/>
    </row>
    <row r="110" spans="2:9" x14ac:dyDescent="0.2">
      <c r="B110" s="483">
        <f>_xll.qlCalendarAdvance(Calendar,B109,"1d","mf")</f>
        <v>41997</v>
      </c>
      <c r="C110" s="476">
        <f>_xll.qlDayCounterYearFraction(DayCounterON,SettlementDate,B110,,,Trigger)</f>
        <v>0.35890410958904112</v>
      </c>
      <c r="D110" s="484">
        <f t="shared" si="30"/>
        <v>2.3766372339813643E-3</v>
      </c>
      <c r="E110" s="484">
        <f t="shared" si="31"/>
        <v>2.4556467625630003E-3</v>
      </c>
      <c r="F110" s="437">
        <f t="shared" si="32"/>
        <v>2.5075864247197884E-3</v>
      </c>
      <c r="G110" s="437">
        <f t="shared" si="33"/>
        <v>2.484313398722896E-3</v>
      </c>
      <c r="H110" s="448"/>
      <c r="I110" s="448"/>
    </row>
    <row r="111" spans="2:9" x14ac:dyDescent="0.2">
      <c r="B111" s="483">
        <f>_xll.qlCalendarAdvance(Calendar,B110,"1d","mf")</f>
        <v>42002</v>
      </c>
      <c r="C111" s="476">
        <f>_xll.qlDayCounterYearFraction(DayCounterON,SettlementDate,B111,,,Trigger)</f>
        <v>0.37260273972602742</v>
      </c>
      <c r="D111" s="484">
        <f t="shared" si="30"/>
        <v>2.3766372339813643E-3</v>
      </c>
      <c r="E111" s="484">
        <f t="shared" si="31"/>
        <v>2.4659077403008751E-3</v>
      </c>
      <c r="F111" s="437">
        <f t="shared" si="32"/>
        <v>2.511794248794465E-3</v>
      </c>
      <c r="G111" s="437">
        <f t="shared" si="33"/>
        <v>2.4775582796365252E-3</v>
      </c>
      <c r="H111" s="448"/>
      <c r="I111" s="448"/>
    </row>
    <row r="112" spans="2:9" x14ac:dyDescent="0.2">
      <c r="B112" s="483">
        <f>_xll.qlCalendarAdvance(Calendar,B111,"1d","mf")</f>
        <v>42003</v>
      </c>
      <c r="C112" s="476">
        <f>_xll.qlDayCounterYearFraction(DayCounterON,SettlementDate,B112,,,Trigger)</f>
        <v>0.37534246575342467</v>
      </c>
      <c r="D112" s="484">
        <f t="shared" si="30"/>
        <v>2.3766372339813643E-3</v>
      </c>
      <c r="E112" s="484">
        <f t="shared" si="31"/>
        <v>2.46795993584845E-3</v>
      </c>
      <c r="F112" s="437">
        <f t="shared" si="32"/>
        <v>2.5125051938960953E-3</v>
      </c>
      <c r="G112" s="437">
        <f t="shared" si="33"/>
        <v>2.4761392671308795E-3</v>
      </c>
      <c r="H112" s="448"/>
      <c r="I112" s="448"/>
    </row>
    <row r="113" spans="2:9" x14ac:dyDescent="0.2">
      <c r="B113" s="483">
        <f>_xll.qlCalendarAdvance(Calendar,B112,"1d","mf")</f>
        <v>42004</v>
      </c>
      <c r="C113" s="476">
        <f>_xll.qlDayCounterYearFraction(DayCounterON,SettlementDate,B113,,,Trigger)</f>
        <v>0.37808219178082192</v>
      </c>
      <c r="D113" s="484">
        <f t="shared" si="30"/>
        <v>2.3766372339813643E-3</v>
      </c>
      <c r="E113" s="484">
        <f t="shared" si="31"/>
        <v>2.4700121313960253E-3</v>
      </c>
      <c r="F113" s="437">
        <f t="shared" si="32"/>
        <v>2.5131725990932903E-3</v>
      </c>
      <c r="G113" s="437">
        <f t="shared" si="33"/>
        <v>2.4747010777802659E-3</v>
      </c>
      <c r="H113" s="448"/>
      <c r="I113" s="448"/>
    </row>
    <row r="114" spans="2:9" x14ac:dyDescent="0.2">
      <c r="B114" s="483">
        <f>_xll.qlCalendarAdvance(Calendar,B113,"1d","mf")</f>
        <v>42006</v>
      </c>
      <c r="C114" s="476">
        <f>_xll.qlDayCounterYearFraction(DayCounterON,SettlementDate,B114,,,Trigger)</f>
        <v>0.38356164383561642</v>
      </c>
      <c r="D114" s="484">
        <f t="shared" si="30"/>
        <v>2.3766372339813643E-3</v>
      </c>
      <c r="E114" s="484">
        <f t="shared" si="31"/>
        <v>2.4741165224911751E-3</v>
      </c>
      <c r="F114" s="437">
        <f t="shared" si="32"/>
        <v>2.5143767897743757E-3</v>
      </c>
      <c r="G114" s="437">
        <f t="shared" si="33"/>
        <v>2.4717731446318334E-3</v>
      </c>
      <c r="H114" s="448"/>
      <c r="I114" s="448"/>
    </row>
    <row r="115" spans="2:9" x14ac:dyDescent="0.2">
      <c r="B115" s="483">
        <f>_xll.qlCalendarAdvance(Calendar,B114,"1d","mf")</f>
        <v>42009</v>
      </c>
      <c r="C115" s="476">
        <f>_xll.qlDayCounterYearFraction(DayCounterON,SettlementDate,B115,,,Trigger)</f>
        <v>0.39178082191780822</v>
      </c>
      <c r="D115" s="484">
        <f>$S$13</f>
        <v>2.3766372339813643E-3</v>
      </c>
      <c r="E115" s="484">
        <f>$S$10+$S$9*C115</f>
        <v>2.4802731091339001E-3</v>
      </c>
      <c r="F115" s="437">
        <f>($S$5+$S$4*C115+$S$3*C115^2)</f>
        <v>2.5158565265127396E-3</v>
      </c>
      <c r="G115" s="437">
        <f t="shared" si="33"/>
        <v>2.4672747691200326E-3</v>
      </c>
      <c r="H115" s="425"/>
      <c r="I115" s="448"/>
    </row>
    <row r="116" spans="2:9" x14ac:dyDescent="0.2">
      <c r="B116" s="483">
        <f>_xll.qlCalendarAdvance(Calendar,B115,"1d","mf")</f>
        <v>42010</v>
      </c>
      <c r="C116" s="476">
        <f>_xll.qlDayCounterYearFraction(DayCounterON,SettlementDate,B116,,,Trigger)</f>
        <v>0.39452054794520547</v>
      </c>
      <c r="D116" s="484">
        <f t="shared" si="30"/>
        <v>2.3766372339813643E-3</v>
      </c>
      <c r="E116" s="484">
        <f t="shared" ref="E116:E144" si="34">$S$10+$S$9*C116</f>
        <v>2.482325304681475E-3</v>
      </c>
      <c r="F116" s="437">
        <f t="shared" ref="F116:F144" si="35">($S$5+$S$4*C116+$S$3*C116^2)</f>
        <v>2.516262692283324E-3</v>
      </c>
      <c r="G116" s="437">
        <f t="shared" ref="G116:G146" si="36">($S$20+$S$19*C116+$S$18*C116^2+$S$17*C116^3)</f>
        <v>2.4657528931600224E-3</v>
      </c>
      <c r="H116" s="425"/>
      <c r="I116" s="448"/>
    </row>
    <row r="117" spans="2:9" x14ac:dyDescent="0.2">
      <c r="B117" s="483">
        <f>_xll.qlCalendarAdvance(Calendar,B116,"1d","mf")</f>
        <v>42011</v>
      </c>
      <c r="C117" s="476">
        <f>_xll.qlDayCounterYearFraction(DayCounterON,SettlementDate,B117,,,Trigger)</f>
        <v>0.39726027397260272</v>
      </c>
      <c r="D117" s="484">
        <f t="shared" si="30"/>
        <v>2.3766372339813643E-3</v>
      </c>
      <c r="E117" s="484">
        <f t="shared" si="34"/>
        <v>2.4843775002290503E-3</v>
      </c>
      <c r="F117" s="437">
        <f t="shared" si="35"/>
        <v>2.516625318149474E-3</v>
      </c>
      <c r="G117" s="437">
        <f t="shared" si="36"/>
        <v>2.4642222985085138E-3</v>
      </c>
      <c r="H117" s="425"/>
      <c r="I117" s="448"/>
    </row>
    <row r="118" spans="2:9" x14ac:dyDescent="0.2">
      <c r="B118" s="483">
        <f>_xll.qlCalendarAdvance(Calendar,B117,"1d","mf")</f>
        <v>42012</v>
      </c>
      <c r="C118" s="476">
        <f>_xll.qlDayCounterYearFraction(DayCounterON,SettlementDate,B118,,,Trigger)</f>
        <v>0.4</v>
      </c>
      <c r="D118" s="484">
        <f t="shared" si="30"/>
        <v>2.3766372339813643E-3</v>
      </c>
      <c r="E118" s="484">
        <f t="shared" si="34"/>
        <v>2.4864296957766252E-3</v>
      </c>
      <c r="F118" s="437">
        <f t="shared" si="35"/>
        <v>2.5169444041111882E-3</v>
      </c>
      <c r="G118" s="437">
        <f t="shared" si="36"/>
        <v>2.4626844791874308E-3</v>
      </c>
      <c r="H118" s="425"/>
      <c r="I118" s="448"/>
    </row>
    <row r="119" spans="2:9" x14ac:dyDescent="0.2">
      <c r="B119" s="483">
        <f>_xll.qlCalendarAdvance(Calendar,B118,"1d","mf")</f>
        <v>42013</v>
      </c>
      <c r="C119" s="476">
        <f>_xll.qlDayCounterYearFraction(DayCounterON,SettlementDate,B119,,,Trigger)</f>
        <v>0.40273972602739727</v>
      </c>
      <c r="D119" s="484">
        <f t="shared" si="30"/>
        <v>2.3766372339813643E-3</v>
      </c>
      <c r="E119" s="484">
        <f t="shared" si="34"/>
        <v>2.4884818913242001E-3</v>
      </c>
      <c r="F119" s="437">
        <f t="shared" si="35"/>
        <v>2.5172199501684676E-3</v>
      </c>
      <c r="G119" s="437">
        <f t="shared" si="36"/>
        <v>2.4611409292186986E-3</v>
      </c>
      <c r="H119" s="425"/>
      <c r="I119" s="448"/>
    </row>
    <row r="120" spans="2:9" x14ac:dyDescent="0.2">
      <c r="B120" s="483">
        <f>_xll.qlCalendarAdvance(Calendar,B119,"1d","mf")</f>
        <v>42016</v>
      </c>
      <c r="C120" s="476">
        <f>_xll.qlDayCounterYearFraction(DayCounterON,SettlementDate,B120,,,Trigger)</f>
        <v>0.41095890410958902</v>
      </c>
      <c r="D120" s="484">
        <f t="shared" si="30"/>
        <v>2.3766372339813643E-3</v>
      </c>
      <c r="E120" s="484">
        <f t="shared" si="34"/>
        <v>2.4946384779669251E-3</v>
      </c>
      <c r="F120" s="437">
        <f t="shared" si="35"/>
        <v>2.5177853489136955E-3</v>
      </c>
      <c r="G120" s="437">
        <f t="shared" si="36"/>
        <v>2.456490835645845E-3</v>
      </c>
      <c r="H120" s="425"/>
      <c r="I120" s="448"/>
    </row>
    <row r="121" spans="2:9" x14ac:dyDescent="0.2">
      <c r="B121" s="483">
        <f>_xll.qlCalendarAdvance(Calendar,B120,"1d","mf")</f>
        <v>42017</v>
      </c>
      <c r="C121" s="476">
        <f>_xll.qlDayCounterYearFraction(DayCounterON,SettlementDate,B121,,,Trigger)</f>
        <v>0.41369863013698632</v>
      </c>
      <c r="D121" s="484">
        <f t="shared" si="30"/>
        <v>2.3766372339813643E-3</v>
      </c>
      <c r="E121" s="484">
        <f t="shared" si="34"/>
        <v>2.4966906735145004E-3</v>
      </c>
      <c r="F121" s="437">
        <f t="shared" si="35"/>
        <v>2.5178867353532345E-3</v>
      </c>
      <c r="G121" s="437">
        <f t="shared" si="36"/>
        <v>2.4549393033057548E-3</v>
      </c>
      <c r="H121" s="425"/>
      <c r="I121" s="425"/>
    </row>
    <row r="122" spans="2:9" x14ac:dyDescent="0.2">
      <c r="B122" s="483">
        <f>_xll.qlCalendarAdvance(Calendar,B121,"1d","mf")</f>
        <v>42018</v>
      </c>
      <c r="C122" s="476">
        <f>_xll.qlDayCounterYearFraction(DayCounterON,SettlementDate,B122,,,Trigger)</f>
        <v>0.41643835616438357</v>
      </c>
      <c r="D122" s="484">
        <f t="shared" si="30"/>
        <v>2.3766372339813643E-3</v>
      </c>
      <c r="E122" s="484">
        <f t="shared" si="34"/>
        <v>2.4987428690620753E-3</v>
      </c>
      <c r="F122" s="437">
        <f t="shared" si="35"/>
        <v>2.5179445818883386E-3</v>
      </c>
      <c r="G122" s="437">
        <f t="shared" si="36"/>
        <v>2.4533895104276371E-3</v>
      </c>
      <c r="H122" s="425"/>
      <c r="I122" s="425"/>
    </row>
    <row r="123" spans="2:9" x14ac:dyDescent="0.2">
      <c r="B123" s="483">
        <f>_xll.qlCalendarAdvance(Calendar,B122,"1d","mf")</f>
        <v>42019</v>
      </c>
      <c r="C123" s="476">
        <f>_xll.qlDayCounterYearFraction(DayCounterON,SettlementDate,B123,,,Trigger)</f>
        <v>0.41917808219178082</v>
      </c>
      <c r="D123" s="484">
        <f t="shared" si="30"/>
        <v>2.3766372339813643E-3</v>
      </c>
      <c r="E123" s="484">
        <f t="shared" si="34"/>
        <v>2.5007950646096502E-3</v>
      </c>
      <c r="F123" s="437">
        <f t="shared" si="35"/>
        <v>2.5179588885190073E-3</v>
      </c>
      <c r="G123" s="437">
        <f t="shared" si="36"/>
        <v>2.4518429510334136E-3</v>
      </c>
      <c r="H123" s="425"/>
      <c r="I123" s="425"/>
    </row>
    <row r="124" spans="2:9" x14ac:dyDescent="0.2">
      <c r="B124" s="483">
        <f>_xll.qlCalendarAdvance(Calendar,B123,"1d","mf")</f>
        <v>42020</v>
      </c>
      <c r="C124" s="476">
        <f>_xll.qlDayCounterYearFraction(DayCounterON,SettlementDate,B124,,,Trigger)</f>
        <v>0.42191780821917807</v>
      </c>
      <c r="D124" s="484">
        <f t="shared" si="30"/>
        <v>2.3766372339813643E-3</v>
      </c>
      <c r="E124" s="484">
        <f t="shared" si="34"/>
        <v>2.5028472601572255E-3</v>
      </c>
      <c r="F124" s="437">
        <f t="shared" si="35"/>
        <v>2.5179296552452412E-3</v>
      </c>
      <c r="G124" s="437">
        <f t="shared" si="36"/>
        <v>2.4503011191450092E-3</v>
      </c>
      <c r="H124" s="425"/>
      <c r="I124" s="425"/>
    </row>
    <row r="125" spans="2:9" x14ac:dyDescent="0.2">
      <c r="B125" s="483">
        <f>_xll.qlCalendarAdvance(Calendar,B124,"1d","mf")</f>
        <v>42023</v>
      </c>
      <c r="C125" s="476">
        <f>_xll.qlDayCounterYearFraction(DayCounterON,SettlementDate,B125,,,Trigger)</f>
        <v>0.43013698630136987</v>
      </c>
      <c r="D125" s="484">
        <f t="shared" si="30"/>
        <v>2.3766372339813643E-3</v>
      </c>
      <c r="E125" s="484">
        <f t="shared" si="34"/>
        <v>2.5090038467999506E-3</v>
      </c>
      <c r="F125" s="437">
        <f t="shared" si="35"/>
        <v>2.5175807159973323E-3</v>
      </c>
      <c r="G125" s="437">
        <f t="shared" si="36"/>
        <v>2.4457189287339582E-3</v>
      </c>
      <c r="H125" s="425"/>
      <c r="I125" s="425"/>
    </row>
    <row r="126" spans="2:9" x14ac:dyDescent="0.2">
      <c r="B126" s="483">
        <f>_xll.qlCalendarAdvance(Calendar,B125,"1d","mf")</f>
        <v>42024</v>
      </c>
      <c r="C126" s="476">
        <f>_xll.qlDayCounterYearFraction(DayCounterON,SettlementDate,B126,,,Trigger)</f>
        <v>0.43287671232876712</v>
      </c>
      <c r="D126" s="484">
        <f t="shared" si="30"/>
        <v>2.3766372339813643E-3</v>
      </c>
      <c r="E126" s="484">
        <f t="shared" si="34"/>
        <v>2.5110560423475255E-3</v>
      </c>
      <c r="F126" s="437">
        <f t="shared" si="35"/>
        <v>2.5173773231058263E-3</v>
      </c>
      <c r="G126" s="437">
        <f t="shared" si="36"/>
        <v>2.4442109470880751E-3</v>
      </c>
      <c r="H126" s="425"/>
      <c r="I126" s="425"/>
    </row>
    <row r="127" spans="2:9" x14ac:dyDescent="0.2">
      <c r="B127" s="483">
        <f>_xll.qlCalendarAdvance(Calendar,B126,"1d","mf")</f>
        <v>42025</v>
      </c>
      <c r="C127" s="476">
        <f>_xll.qlDayCounterYearFraction(DayCounterON,SettlementDate,B127,,,Trigger)</f>
        <v>0.43561643835616437</v>
      </c>
      <c r="D127" s="484">
        <f t="shared" si="30"/>
        <v>2.3766372339813643E-3</v>
      </c>
      <c r="E127" s="484">
        <f t="shared" si="34"/>
        <v>2.5131082378951003E-3</v>
      </c>
      <c r="F127" s="437">
        <f t="shared" si="35"/>
        <v>2.5171303903098845E-3</v>
      </c>
      <c r="G127" s="437">
        <f t="shared" si="36"/>
        <v>2.4427151630576319E-3</v>
      </c>
      <c r="H127" s="425"/>
      <c r="I127" s="425"/>
    </row>
    <row r="128" spans="2:9" x14ac:dyDescent="0.2">
      <c r="B128" s="483">
        <f>_xll.qlCalendarAdvance(Calendar,B127,"1d","mf")</f>
        <v>42026</v>
      </c>
      <c r="C128" s="476">
        <f>_xll.qlDayCounterYearFraction(DayCounterON,SettlementDate,B128,,,Trigger)</f>
        <v>0.43835616438356162</v>
      </c>
      <c r="D128" s="484">
        <f t="shared" si="30"/>
        <v>2.3766372339813643E-3</v>
      </c>
      <c r="E128" s="484">
        <f t="shared" si="34"/>
        <v>2.5151604334426756E-3</v>
      </c>
      <c r="F128" s="437">
        <f t="shared" si="35"/>
        <v>2.5168399176095078E-3</v>
      </c>
      <c r="G128" s="437">
        <f t="shared" si="36"/>
        <v>2.4412330706645542E-3</v>
      </c>
      <c r="H128" s="425"/>
      <c r="I128" s="425"/>
    </row>
    <row r="129" spans="2:9" x14ac:dyDescent="0.2">
      <c r="B129" s="483">
        <f>_xll.qlCalendarAdvance(Calendar,B128,"1d","mf")</f>
        <v>42027</v>
      </c>
      <c r="C129" s="476">
        <f>_xll.qlDayCounterYearFraction(DayCounterON,SettlementDate,B129,,,Trigger)</f>
        <v>0.44109589041095892</v>
      </c>
      <c r="D129" s="484">
        <f t="shared" si="30"/>
        <v>2.3766372339813643E-3</v>
      </c>
      <c r="E129" s="484">
        <f t="shared" si="34"/>
        <v>2.5172126289902505E-3</v>
      </c>
      <c r="F129" s="437">
        <f t="shared" si="35"/>
        <v>2.5165059050046967E-3</v>
      </c>
      <c r="G129" s="437">
        <f t="shared" si="36"/>
        <v>2.4397661639307647E-3</v>
      </c>
      <c r="H129" s="425"/>
      <c r="I129" s="425"/>
    </row>
    <row r="130" spans="2:9" x14ac:dyDescent="0.2">
      <c r="B130" s="483">
        <f>_xll.qlCalendarAdvance(Calendar,B129,"1d","mf")</f>
        <v>42030</v>
      </c>
      <c r="C130" s="476">
        <f>_xll.qlDayCounterYearFraction(DayCounterON,SettlementDate,B130,,,Trigger)</f>
        <v>0.44931506849315067</v>
      </c>
      <c r="D130" s="484">
        <f t="shared" si="30"/>
        <v>2.3766372339813643E-3</v>
      </c>
      <c r="E130" s="484">
        <f t="shared" si="34"/>
        <v>2.5233692156329756E-3</v>
      </c>
      <c r="F130" s="437">
        <f t="shared" si="35"/>
        <v>2.515242627763651E-3</v>
      </c>
      <c r="G130" s="437">
        <f t="shared" si="36"/>
        <v>2.4354714979043721E-3</v>
      </c>
      <c r="H130" s="425"/>
      <c r="I130" s="425"/>
    </row>
    <row r="131" spans="2:9" x14ac:dyDescent="0.2">
      <c r="B131" s="483">
        <f>_xll.qlCalendarAdvance(Calendar,B130,"1d","mf")</f>
        <v>42031</v>
      </c>
      <c r="C131" s="476">
        <f>_xll.qlDayCounterYearFraction(DayCounterON,SettlementDate,B131,,,Trigger)</f>
        <v>0.45205479452054792</v>
      </c>
      <c r="D131" s="484">
        <f t="shared" si="30"/>
        <v>2.3766372339813643E-3</v>
      </c>
      <c r="E131" s="484">
        <f t="shared" si="34"/>
        <v>2.5254214111805505E-3</v>
      </c>
      <c r="F131" s="437">
        <f t="shared" si="35"/>
        <v>2.514734455541099E-3</v>
      </c>
      <c r="G131" s="437">
        <f t="shared" si="36"/>
        <v>2.4340802740269799E-3</v>
      </c>
      <c r="I131" s="425"/>
    </row>
    <row r="132" spans="2:9" x14ac:dyDescent="0.2">
      <c r="B132" s="483">
        <f>_xll.qlCalendarAdvance(Calendar,B131,"1d","mf")</f>
        <v>42032</v>
      </c>
      <c r="C132" s="476">
        <f>_xll.qlDayCounterYearFraction(DayCounterON,SettlementDate,B132,,,Trigger)</f>
        <v>0.45479452054794522</v>
      </c>
      <c r="D132" s="484">
        <f t="shared" si="30"/>
        <v>2.3766372339813643E-3</v>
      </c>
      <c r="E132" s="484">
        <f t="shared" si="34"/>
        <v>2.5274736067281253E-3</v>
      </c>
      <c r="F132" s="437">
        <f t="shared" si="35"/>
        <v>2.5141827434141122E-3</v>
      </c>
      <c r="G132" s="437">
        <f t="shared" si="36"/>
        <v>2.4327117059184996E-3</v>
      </c>
      <c r="I132" s="425"/>
    </row>
    <row r="133" spans="2:9" x14ac:dyDescent="0.2">
      <c r="B133" s="483">
        <f>_xll.qlCalendarAdvance(Calendar,B132,"1d","mf")</f>
        <v>42033</v>
      </c>
      <c r="C133" s="476">
        <f>_xll.qlDayCounterYearFraction(DayCounterON,SettlementDate,B133,,,Trigger)</f>
        <v>0.45753424657534247</v>
      </c>
      <c r="D133" s="484">
        <f t="shared" si="30"/>
        <v>2.3766372339813643E-3</v>
      </c>
      <c r="E133" s="484">
        <f t="shared" si="34"/>
        <v>2.5295258022757007E-3</v>
      </c>
      <c r="F133" s="437">
        <f t="shared" si="35"/>
        <v>2.51358749138269E-3</v>
      </c>
      <c r="G133" s="437">
        <f t="shared" si="36"/>
        <v>2.4313672876008514E-3</v>
      </c>
      <c r="I133" s="425"/>
    </row>
    <row r="134" spans="2:9" x14ac:dyDescent="0.2">
      <c r="B134" s="483">
        <f>_xll.qlCalendarAdvance(Calendar,B133,"1d","mf")</f>
        <v>42034</v>
      </c>
      <c r="C134" s="476">
        <f>_xll.qlDayCounterYearFraction(DayCounterON,SettlementDate,B134,,,Trigger)</f>
        <v>0.46027397260273972</v>
      </c>
      <c r="D134" s="484">
        <f t="shared" si="30"/>
        <v>2.3766372339813643E-3</v>
      </c>
      <c r="E134" s="484">
        <f t="shared" si="34"/>
        <v>2.5315779978232755E-3</v>
      </c>
      <c r="F134" s="437">
        <f t="shared" si="35"/>
        <v>2.512948699446833E-3</v>
      </c>
      <c r="G134" s="437">
        <f t="shared" si="36"/>
        <v>2.4300485130959613E-3</v>
      </c>
      <c r="I134" s="425"/>
    </row>
    <row r="135" spans="2:9" x14ac:dyDescent="0.2">
      <c r="B135" s="483">
        <f>_xll.qlCalendarAdvance(Calendar,B134,"1d","mf")</f>
        <v>42037</v>
      </c>
      <c r="C135" s="476">
        <f>_xll.qlDayCounterYearFraction(DayCounterON,SettlementDate,B135,,,Trigger)</f>
        <v>0.46849315068493153</v>
      </c>
      <c r="D135" s="484">
        <f t="shared" si="30"/>
        <v>2.3766372339813643E-3</v>
      </c>
      <c r="E135" s="484">
        <f t="shared" si="34"/>
        <v>2.5377345844660006E-3</v>
      </c>
      <c r="F135" s="437">
        <f t="shared" si="35"/>
        <v>2.5107710842126509E-3</v>
      </c>
      <c r="G135" s="437">
        <f t="shared" si="36"/>
        <v>2.426260992677085E-3</v>
      </c>
      <c r="I135" s="425"/>
    </row>
    <row r="136" spans="2:9" x14ac:dyDescent="0.2">
      <c r="B136" s="483">
        <f>_xll.qlCalendarAdvance(Calendar,B135,"1d","mf")</f>
        <v>42038</v>
      </c>
      <c r="C136" s="476">
        <f>_xll.qlDayCounterYearFraction(DayCounterON,SettlementDate,B136,,,Trigger)</f>
        <v>0.47123287671232877</v>
      </c>
      <c r="D136" s="484">
        <f t="shared" si="30"/>
        <v>2.3766372339813643E-3</v>
      </c>
      <c r="E136" s="484">
        <f t="shared" si="34"/>
        <v>2.5397867800135755E-3</v>
      </c>
      <c r="F136" s="437">
        <f t="shared" si="35"/>
        <v>2.5099581326590535E-3</v>
      </c>
      <c r="G136" s="437">
        <f t="shared" si="36"/>
        <v>2.4250597336424708E-3</v>
      </c>
      <c r="I136" s="425"/>
    </row>
    <row r="137" spans="2:9" x14ac:dyDescent="0.2">
      <c r="B137" s="483">
        <f>_xll.qlCalendarAdvance(Calendar,B136,"1d","mf")</f>
        <v>42039</v>
      </c>
      <c r="C137" s="476">
        <f>_xll.qlDayCounterYearFraction(DayCounterON,SettlementDate,B137,,,Trigger)</f>
        <v>0.47397260273972602</v>
      </c>
      <c r="D137" s="484">
        <f t="shared" si="30"/>
        <v>2.3766372339813643E-3</v>
      </c>
      <c r="E137" s="484">
        <f t="shared" si="34"/>
        <v>2.5418389755611503E-3</v>
      </c>
      <c r="F137" s="437">
        <f t="shared" si="35"/>
        <v>2.5091016412010212E-3</v>
      </c>
      <c r="G137" s="437">
        <f t="shared" si="36"/>
        <v>2.4238915885302359E-3</v>
      </c>
    </row>
    <row r="138" spans="2:9" x14ac:dyDescent="0.2">
      <c r="B138" s="483">
        <f>_xll.qlCalendarAdvance(Calendar,B137,"1d","mf")</f>
        <v>42040</v>
      </c>
      <c r="C138" s="476">
        <f>_xll.qlDayCounterYearFraction(DayCounterON,SettlementDate,B138,,,Trigger)</f>
        <v>0.47671232876712327</v>
      </c>
      <c r="D138" s="484">
        <f t="shared" si="30"/>
        <v>2.3766372339813643E-3</v>
      </c>
      <c r="E138" s="484">
        <f t="shared" si="34"/>
        <v>2.5438911711087257E-3</v>
      </c>
      <c r="F138" s="437">
        <f t="shared" si="35"/>
        <v>2.5082016098385532E-3</v>
      </c>
      <c r="G138" s="437">
        <f t="shared" si="36"/>
        <v>2.4227580513623038E-3</v>
      </c>
    </row>
    <row r="139" spans="2:9" x14ac:dyDescent="0.2">
      <c r="B139" s="483">
        <f>_xll.qlCalendarAdvance(Calendar,B138,"1d","mf")</f>
        <v>42041</v>
      </c>
      <c r="C139" s="476">
        <f>_xll.qlDayCounterYearFraction(DayCounterON,SettlementDate,B139,,,Trigger)</f>
        <v>0.47945205479452052</v>
      </c>
      <c r="D139" s="484">
        <f t="shared" si="30"/>
        <v>2.3766372339813643E-3</v>
      </c>
      <c r="E139" s="484">
        <f t="shared" si="34"/>
        <v>2.5459433666563005E-3</v>
      </c>
      <c r="F139" s="437">
        <f t="shared" si="35"/>
        <v>2.5072580385716511E-3</v>
      </c>
      <c r="G139" s="437">
        <f t="shared" si="36"/>
        <v>2.4216606161605999E-3</v>
      </c>
    </row>
    <row r="140" spans="2:9" x14ac:dyDescent="0.2">
      <c r="B140" s="483">
        <f>_xll.qlCalendarAdvance(Calendar,B139,"1d","mf")</f>
        <v>42044</v>
      </c>
      <c r="C140" s="476">
        <f>_xll.qlDayCounterYearFraction(DayCounterON,SettlementDate,B140,,,Trigger)</f>
        <v>0.48767123287671232</v>
      </c>
      <c r="D140" s="484">
        <f t="shared" si="30"/>
        <v>2.3766372339813643E-3</v>
      </c>
      <c r="E140" s="484">
        <f t="shared" si="34"/>
        <v>2.5520999532990256E-3</v>
      </c>
      <c r="F140" s="437">
        <f t="shared" si="35"/>
        <v>2.5041660853443322E-3</v>
      </c>
      <c r="G140" s="437">
        <f t="shared" si="36"/>
        <v>2.4185998625720949E-3</v>
      </c>
    </row>
    <row r="141" spans="2:9" x14ac:dyDescent="0.2">
      <c r="B141" s="483">
        <f>_xll.qlCalendarAdvance(Calendar,B140,"1d","mf")</f>
        <v>42045</v>
      </c>
      <c r="C141" s="476">
        <f>_xll.qlDayCounterYearFraction(DayCounterON,SettlementDate,B141,,,Trigger)</f>
        <v>0.49041095890410957</v>
      </c>
      <c r="D141" s="484">
        <f t="shared" si="30"/>
        <v>2.3766372339813643E-3</v>
      </c>
      <c r="E141" s="484">
        <f t="shared" si="34"/>
        <v>2.5541521488466005E-3</v>
      </c>
      <c r="F141" s="437">
        <f t="shared" si="35"/>
        <v>2.5030483544596898E-3</v>
      </c>
      <c r="G141" s="437">
        <f t="shared" si="36"/>
        <v>2.4176617754545432E-3</v>
      </c>
    </row>
    <row r="142" spans="2:9" x14ac:dyDescent="0.2">
      <c r="B142" s="483">
        <f>_xll.qlCalendarAdvance(Calendar,B141,"1d","mf")</f>
        <v>42046</v>
      </c>
      <c r="C142" s="476">
        <f>_xll.qlDayCounterYearFraction(DayCounterON,SettlementDate,B142,,,Trigger)</f>
        <v>0.49315068493150682</v>
      </c>
      <c r="D142" s="484">
        <f t="shared" si="30"/>
        <v>2.3766372339813643E-3</v>
      </c>
      <c r="E142" s="484">
        <f t="shared" si="34"/>
        <v>2.5562043443941758E-3</v>
      </c>
      <c r="F142" s="437">
        <f t="shared" si="35"/>
        <v>2.5018870836706116E-3</v>
      </c>
      <c r="G142" s="437">
        <f t="shared" si="36"/>
        <v>2.41676726041284E-3</v>
      </c>
    </row>
    <row r="143" spans="2:9" x14ac:dyDescent="0.2">
      <c r="B143" s="483">
        <f>_xll.qlCalendarAdvance(Calendar,B142,"1d","mf")</f>
        <v>42047</v>
      </c>
      <c r="C143" s="476">
        <f>_xll.qlDayCounterYearFraction(DayCounterON,SettlementDate,B143,,,Trigger)</f>
        <v>0.49589041095890413</v>
      </c>
      <c r="D143" s="484">
        <f t="shared" si="30"/>
        <v>2.3766372339813643E-3</v>
      </c>
      <c r="E143" s="484">
        <f t="shared" si="34"/>
        <v>2.5582565399417507E-3</v>
      </c>
      <c r="F143" s="437">
        <f t="shared" si="35"/>
        <v>2.5006822729770986E-3</v>
      </c>
      <c r="G143" s="437">
        <f t="shared" si="36"/>
        <v>2.4159178114689091E-3</v>
      </c>
    </row>
    <row r="144" spans="2:9" x14ac:dyDescent="0.2">
      <c r="B144" s="483">
        <f>_xll.qlCalendarAdvance(Calendar,B143,"1d","mf")</f>
        <v>42048</v>
      </c>
      <c r="C144" s="476">
        <f>_xll.qlDayCounterYearFraction(DayCounterON,SettlementDate,B144,,,Trigger)</f>
        <v>0.49863013698630138</v>
      </c>
      <c r="D144" s="484">
        <f t="shared" si="30"/>
        <v>2.3766372339813643E-3</v>
      </c>
      <c r="E144" s="484">
        <f t="shared" si="34"/>
        <v>2.5603087354893255E-3</v>
      </c>
      <c r="F144" s="437">
        <f t="shared" si="35"/>
        <v>2.4994339223791502E-3</v>
      </c>
      <c r="G144" s="437">
        <f t="shared" si="36"/>
        <v>2.4151149226446758E-3</v>
      </c>
    </row>
    <row r="145" spans="2:7" x14ac:dyDescent="0.2">
      <c r="B145" s="483">
        <f>_xll.qlCalendarAdvance(Calendar,B144,"1d","mf")</f>
        <v>42051</v>
      </c>
      <c r="C145" s="476">
        <f>_xll.qlDayCounterYearFraction(DayCounterON,SettlementDate,B145,,,Trigger)</f>
        <v>0.50684931506849318</v>
      </c>
      <c r="D145" s="484">
        <f>$S$13</f>
        <v>2.3766372339813643E-3</v>
      </c>
      <c r="E145" s="484">
        <f>$S$10+$S$9*C145</f>
        <v>2.5664653221320506E-3</v>
      </c>
      <c r="F145" s="437">
        <f>($S$5+$S$4*C145+$S$3*C145^2)</f>
        <v>2.4954276311586953E-3</v>
      </c>
      <c r="G145" s="437">
        <f t="shared" si="36"/>
        <v>2.4130005571093988E-3</v>
      </c>
    </row>
    <row r="146" spans="2:7" x14ac:dyDescent="0.2">
      <c r="B146" s="483">
        <f>_xll.qlCalendarAdvance(Calendar,B145,"1d","mf")</f>
        <v>42052</v>
      </c>
      <c r="C146" s="476">
        <f>_xll.qlDayCounterYearFraction(DayCounterON,SettlementDate,B146,,,Trigger)</f>
        <v>0.50958904109589043</v>
      </c>
      <c r="D146" s="484">
        <f>$S$13</f>
        <v>2.3766372339813643E-3</v>
      </c>
      <c r="E146" s="484">
        <f>$S$10+$S$9*C146</f>
        <v>2.5685175176796259E-3</v>
      </c>
      <c r="F146" s="437">
        <f>($S$5+$S$4*C146+$S$3*C146^2)</f>
        <v>2.494005120943007E-3</v>
      </c>
      <c r="G146" s="437">
        <f t="shared" si="36"/>
        <v>2.412398848983195E-3</v>
      </c>
    </row>
  </sheetData>
  <mergeCells count="5">
    <mergeCell ref="M3:M5"/>
    <mergeCell ref="M9:M10"/>
    <mergeCell ref="M17:M20"/>
    <mergeCell ref="R17:R20"/>
    <mergeCell ref="T17:T20"/>
  </mergeCells>
  <dataValidations count="1">
    <dataValidation type="list" allowBlank="1" showInputMessage="1" showErrorMessage="1" sqref="C9:C1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81"/>
  <sheetViews>
    <sheetView showGridLines="0" workbookViewId="0"/>
  </sheetViews>
  <sheetFormatPr defaultRowHeight="11.25" x14ac:dyDescent="0.2"/>
  <cols>
    <col min="1" max="1" width="4.1640625" bestFit="1" customWidth="1"/>
    <col min="2" max="2" width="2.1640625" bestFit="1" customWidth="1"/>
    <col min="3" max="3" width="3.1640625" bestFit="1" customWidth="1"/>
    <col min="4" max="4" width="23.6640625" bestFit="1" customWidth="1"/>
    <col min="5" max="6" width="16.6640625" bestFit="1" customWidth="1"/>
    <col min="7" max="7" width="10" customWidth="1"/>
    <col min="8" max="8" width="15.1640625" hidden="1" customWidth="1"/>
    <col min="9" max="10" width="8.33203125" bestFit="1" customWidth="1"/>
    <col min="12" max="12" width="16.6640625" bestFit="1" customWidth="1"/>
    <col min="13" max="13" width="15.83203125" customWidth="1"/>
    <col min="14" max="14" width="8.83203125" hidden="1" customWidth="1"/>
  </cols>
  <sheetData>
    <row r="1" spans="3:17" ht="26.25" customHeight="1" x14ac:dyDescent="0.2">
      <c r="D1" s="540" t="s">
        <v>178</v>
      </c>
      <c r="E1" s="541" t="s">
        <v>173</v>
      </c>
      <c r="F1" s="541" t="s">
        <v>174</v>
      </c>
      <c r="G1" s="541" t="s">
        <v>182</v>
      </c>
      <c r="H1" s="541"/>
      <c r="I1" s="541" t="s">
        <v>183</v>
      </c>
      <c r="J1" s="542" t="s">
        <v>181</v>
      </c>
      <c r="L1" s="540" t="s">
        <v>173</v>
      </c>
      <c r="M1" s="541" t="s">
        <v>174</v>
      </c>
      <c r="N1" s="541"/>
      <c r="O1" s="541" t="s">
        <v>179</v>
      </c>
      <c r="P1" s="541" t="s">
        <v>180</v>
      </c>
      <c r="Q1" s="542" t="s">
        <v>181</v>
      </c>
    </row>
    <row r="2" spans="3:17" x14ac:dyDescent="0.2">
      <c r="D2" s="543" t="str">
        <f>PROPER(Currency&amp;IborType)&amp;"3M"&amp;"LastFixing"&amp;QuoteSuffix</f>
        <v>Euribor3MLastFixing_Quote</v>
      </c>
      <c r="E2" s="544">
        <f>SettlementDate</f>
        <v>41866</v>
      </c>
      <c r="F2" s="544">
        <f>_xll.qlCalendarAdvance(Calendar,E2,"3M","mf")</f>
        <v>41960</v>
      </c>
      <c r="G2" s="545">
        <f>_xll.qlQuoteValue(D2)</f>
        <v>1.99E-3</v>
      </c>
      <c r="H2" s="546" t="str">
        <f>_xll.qlMakeDatedOIS(,E2,F2,"eonia")</f>
        <v>obj_00695#0000</v>
      </c>
      <c r="I2" s="545">
        <f>_xll.qlOvernightIndexedSwapFairRate(H2,Trigger)</f>
        <v>5.1204465057381218E-4</v>
      </c>
      <c r="J2" s="547">
        <f t="shared" ref="J2:J11" si="0">G2-I2</f>
        <v>1.4779553494261878E-3</v>
      </c>
      <c r="L2" s="553">
        <f>SettlementDate</f>
        <v>41866</v>
      </c>
      <c r="M2" s="544">
        <f>_xll.qlCalendarAdvance(Calendar,L2,"3M","mf",,Trigger)</f>
        <v>41960</v>
      </c>
      <c r="N2" s="546" t="str">
        <f>_xll.qlMakeDatedOIS(,L2,M2,"eonia",,,,,Trigger)</f>
        <v>obj_00694#0000</v>
      </c>
      <c r="O2" s="545">
        <f>_xll.qlIndexFixing("euribor3m",_xll.qlInterestRateIndexFixingDate("Euribor3M",L2),TRUE)</f>
        <v>2.0176847477635703E-3</v>
      </c>
      <c r="P2" s="545">
        <f>_xll.qlOvernightIndexedSwapFairRate(N2,Trigger)</f>
        <v>5.1204465057381218E-4</v>
      </c>
      <c r="Q2" s="547">
        <f>O2-P2</f>
        <v>1.5056400971897581E-3</v>
      </c>
    </row>
    <row r="3" spans="3:17" x14ac:dyDescent="0.2">
      <c r="C3" t="str">
        <f>SynthDepo!A10</f>
        <v>Q4</v>
      </c>
      <c r="D3" s="543" t="str">
        <f t="shared" ref="D3:D11" si="1">Currency&amp;"FUT"&amp;"3M"&amp;C3&amp;QuoteSuffix</f>
        <v>EURFUT3MQ4_Quote</v>
      </c>
      <c r="E3" s="544">
        <f>_xll.qlIMMdate(C3,$E$2,Trigger)</f>
        <v>41871</v>
      </c>
      <c r="F3" s="544">
        <f>_xll.qlCalendarAdvance(Calendar,E3,"3M","mf")</f>
        <v>41963</v>
      </c>
      <c r="G3" s="545">
        <f>1-_xll.qlQuoteValue(D3)/100</f>
        <v>1.974999999999949E-3</v>
      </c>
      <c r="H3" s="546" t="str">
        <f>_xll.qlMakeDatedOIS(,E3,F3,"eonia")</f>
        <v>obj_00b33#0000</v>
      </c>
      <c r="I3" s="545">
        <f>_xll.qlOvernightIndexedSwapFairRate(H3,Trigger)</f>
        <v>5.2056670153206679E-4</v>
      </c>
      <c r="J3" s="547">
        <f t="shared" si="0"/>
        <v>1.4544332984678821E-3</v>
      </c>
      <c r="L3" s="553">
        <f>_xll.qlCalendarAdvance(Calendar,L2,"1M","f",,Trigger)</f>
        <v>41897</v>
      </c>
      <c r="M3" s="544">
        <f>_xll.qlCalendarAdvance(Calendar,L3,"3M","mf",,Trigger)</f>
        <v>41988</v>
      </c>
      <c r="N3" s="546" t="str">
        <f>_xll.qlMakeDatedOIS(,L3,M3,"eonia",,,,,Trigger)</f>
        <v>obj_006a2#0000</v>
      </c>
      <c r="O3" s="545">
        <f>_xll.qlIndexFixing("euribor3m",_xll.qlInterestRateIndexFixingDate("Euribor3M",L3),TRUE)</f>
        <v>1.8781111152149949E-3</v>
      </c>
      <c r="P3" s="545">
        <f>_xll.qlOvernightIndexedSwapFairRate(N3,Trigger)</f>
        <v>5.010103952770976E-4</v>
      </c>
      <c r="Q3" s="547">
        <f t="shared" ref="Q3:Q66" si="2">O3-P3</f>
        <v>1.3771007199378973E-3</v>
      </c>
    </row>
    <row r="4" spans="3:17" x14ac:dyDescent="0.2">
      <c r="C4" t="str">
        <f>_xll.qlIMMNextCode($E$2,IF(_xll.qlIMMIsIMMdate(E3,TRUE),FALSE,TRUE))</f>
        <v>U4</v>
      </c>
      <c r="D4" s="543" t="str">
        <f t="shared" si="1"/>
        <v>EURFUT3MU4_Quote</v>
      </c>
      <c r="E4" s="544">
        <f>_xll.qlIMMdate(C4,$E$2,Trigger)</f>
        <v>41899</v>
      </c>
      <c r="F4" s="544">
        <f>_xll.qlCalendarAdvance(Calendar,E4,"3M","mf")</f>
        <v>41990</v>
      </c>
      <c r="G4" s="545">
        <f>1-_xll.qlQuoteValue(D4)/100</f>
        <v>1.87499999999996E-3</v>
      </c>
      <c r="H4" s="546" t="str">
        <f>_xll.qlMakeDatedOIS(,E4,F4,"eonia")</f>
        <v>obj_00b38#0000</v>
      </c>
      <c r="I4" s="545">
        <f>_xll.qlOvernightIndexedSwapFairRate(H4,Trigger)</f>
        <v>4.991180105367594E-4</v>
      </c>
      <c r="J4" s="547">
        <f t="shared" si="0"/>
        <v>1.3758819894632006E-3</v>
      </c>
      <c r="L4" s="553">
        <f>_xll.qlCalendarAdvance(Calendar,L3,"1M","f",,Trigger)</f>
        <v>41927</v>
      </c>
      <c r="M4" s="544">
        <f>_xll.qlCalendarAdvance(Calendar,L4,"3M","mf",,Trigger)</f>
        <v>42019</v>
      </c>
      <c r="N4" s="546" t="str">
        <f>_xll.qlMakeDatedOIS(,L4,M4,"eonia",,,,,Trigger)</f>
        <v>obj_006a5#0000</v>
      </c>
      <c r="O4" s="545">
        <f>_xll.qlIndexFixing("euribor3m",_xll.qlInterestRateIndexFixingDate("Euribor3M",L4),TRUE)</f>
        <v>1.8063246539080503E-3</v>
      </c>
      <c r="P4" s="545">
        <f>_xll.qlOvernightIndexedSwapFairRate(N4,Trigger)</f>
        <v>4.8306097056242654E-4</v>
      </c>
      <c r="Q4" s="547">
        <f t="shared" si="2"/>
        <v>1.3232636833456239E-3</v>
      </c>
    </row>
    <row r="5" spans="3:17" x14ac:dyDescent="0.2">
      <c r="C5" t="str">
        <f>_xll.qlIMMNextCode($E4,TRUE)</f>
        <v>Z4</v>
      </c>
      <c r="D5" s="543" t="str">
        <f t="shared" si="1"/>
        <v>EURFUT3MZ4_Quote</v>
      </c>
      <c r="E5" s="544">
        <f>_xll.qlIMMdate(C5,$E$2,Trigger)</f>
        <v>41990</v>
      </c>
      <c r="F5" s="544">
        <f>_xll.qlCalendarAdvance(Calendar,E5,"3M","mf")</f>
        <v>42080</v>
      </c>
      <c r="G5" s="545">
        <f>1-_xll.qlQuoteValue(D5)/100</f>
        <v>1.8250000000000766E-3</v>
      </c>
      <c r="H5" s="546" t="str">
        <f>_xll.qlMakeDatedOIS(,E5,F5,"eonia")</f>
        <v>obj_00b36#0002</v>
      </c>
      <c r="I5" s="545">
        <f>_xll.qlOvernightIndexedSwapFairRate(H5,Trigger)</f>
        <v>5.5068527577439852E-4</v>
      </c>
      <c r="J5" s="547">
        <f t="shared" si="0"/>
        <v>1.274314724225678E-3</v>
      </c>
      <c r="L5" s="553">
        <f>_xll.qlCalendarAdvance(Calendar,L4,"1M","f",,Trigger)</f>
        <v>41960</v>
      </c>
      <c r="M5" s="544">
        <f>_xll.qlCalendarAdvance(Calendar,L5,"3M","mf",,Trigger)</f>
        <v>42052</v>
      </c>
      <c r="N5" s="546" t="str">
        <f>_xll.qlMakeDatedOIS(,L5,M5,"eonia",,,,,Trigger)</f>
        <v>obj_006a7#0002</v>
      </c>
      <c r="O5" s="545">
        <f>_xll.qlIndexFixing("euribor3m",_xll.qlInterestRateIndexFixingDate("Euribor3M",L5),TRUE)</f>
        <v>1.7994848108587147E-3</v>
      </c>
      <c r="P5" s="545">
        <f>_xll.qlOvernightIndexedSwapFairRate(N5,Trigger)</f>
        <v>5.3197613612482081E-4</v>
      </c>
      <c r="Q5" s="547">
        <f t="shared" si="2"/>
        <v>1.2675086747338938E-3</v>
      </c>
    </row>
    <row r="6" spans="3:17" x14ac:dyDescent="0.2">
      <c r="C6" t="str">
        <f>_xll.qlIMMNextCode($E5,TRUE)</f>
        <v>H5</v>
      </c>
      <c r="D6" s="543" t="str">
        <f t="shared" si="1"/>
        <v>EURFUT3MH5_Quote</v>
      </c>
      <c r="E6" s="544">
        <f>_xll.qlIMMdate(C6,$E$2,Trigger)</f>
        <v>42081</v>
      </c>
      <c r="F6" s="544">
        <f>_xll.qlCalendarAdvance(Calendar,E6,"3M","mf")</f>
        <v>42173</v>
      </c>
      <c r="G6" s="545">
        <f>1-_xll.qlQuoteValue(D6)/100</f>
        <v>1.7249999999999766E-3</v>
      </c>
      <c r="H6" s="546" t="str">
        <f>_xll.qlMakeDatedOIS(,E6,F6,"eonia")</f>
        <v>obj_00b34#0002</v>
      </c>
      <c r="I6" s="545">
        <f>_xll.qlOvernightIndexedSwapFairRate(H6,Trigger)</f>
        <v>2.569528215323264E-4</v>
      </c>
      <c r="J6" s="547">
        <f t="shared" si="0"/>
        <v>1.46804717846765E-3</v>
      </c>
      <c r="L6" s="553">
        <f>_xll.qlCalendarAdvance(Calendar,L5,"1M","f",,Trigger)</f>
        <v>41990</v>
      </c>
      <c r="M6" s="544">
        <f>_xll.qlCalendarAdvance(Calendar,L6,"3M","mf",,Trigger)</f>
        <v>42080</v>
      </c>
      <c r="N6" s="546" t="str">
        <f>_xll.qlMakeDatedOIS(,L6,M6,"eonia",,,,,Trigger)</f>
        <v>obj_006a9#0002</v>
      </c>
      <c r="O6" s="545">
        <f>_xll.qlIndexFixing("euribor3m",_xll.qlInterestRateIndexFixingDate("Euribor3M",L6),TRUE)</f>
        <v>1.8250000000001876E-3</v>
      </c>
      <c r="P6" s="545">
        <f>_xll.qlOvernightIndexedSwapFairRate(N6,Trigger)</f>
        <v>5.5068527577439852E-4</v>
      </c>
      <c r="Q6" s="547">
        <f t="shared" si="2"/>
        <v>1.2743147242257891E-3</v>
      </c>
    </row>
    <row r="7" spans="3:17" x14ac:dyDescent="0.2">
      <c r="C7" t="str">
        <f>_xll.qlIMMNextCode($E6,TRUE)</f>
        <v>M5</v>
      </c>
      <c r="D7" s="543" t="str">
        <f t="shared" si="1"/>
        <v>EURFUT3MM5_Quote</v>
      </c>
      <c r="E7" s="544">
        <f>_xll.qlIMMdate(C7,$E$2,Trigger)</f>
        <v>42172</v>
      </c>
      <c r="F7" s="544">
        <f>_xll.qlCalendarAdvance(Calendar,E7,"3M","mf")</f>
        <v>42264</v>
      </c>
      <c r="G7" s="545">
        <f>1-_xll.qlQuoteValue(D7)/100</f>
        <v>1.7249999999999766E-3</v>
      </c>
      <c r="H7" s="546" t="str">
        <f>_xll.qlMakeDatedOIS(,E7,F7,"eonia")</f>
        <v>obj_00b32#0002</v>
      </c>
      <c r="I7" s="545">
        <f>_xll.qlOvernightIndexedSwapFairRate(H7,Trigger)</f>
        <v>1.9694638042845668E-4</v>
      </c>
      <c r="J7" s="547">
        <f t="shared" si="0"/>
        <v>1.5280536195715199E-3</v>
      </c>
      <c r="L7" s="553">
        <f>_xll.qlCalendarAdvance(Calendar,L6,"1M","f",,Trigger)</f>
        <v>42023</v>
      </c>
      <c r="M7" s="544">
        <f>_xll.qlCalendarAdvance(Calendar,L7,"3M","mf",,Trigger)</f>
        <v>42114</v>
      </c>
      <c r="N7" s="546" t="str">
        <f>_xll.qlMakeDatedOIS(,L7,M7,"eonia",,,,,Trigger)</f>
        <v>obj_006ab#0002</v>
      </c>
      <c r="O7" s="545">
        <f>_xll.qlIndexFixing("euribor3m",_xll.qlInterestRateIndexFixingDate("Euribor3M",L7),TRUE)</f>
        <v>1.8080430168603719E-3</v>
      </c>
      <c r="P7" s="545">
        <f>_xll.qlOvernightIndexedSwapFairRate(N7,Trigger)</f>
        <v>5.013343786666643E-4</v>
      </c>
      <c r="Q7" s="547">
        <f t="shared" si="2"/>
        <v>1.3067086381937077E-3</v>
      </c>
    </row>
    <row r="8" spans="3:17" x14ac:dyDescent="0.2">
      <c r="C8" t="str">
        <f>_xll.qlIMMNextCode($E7,TRUE)</f>
        <v>U5</v>
      </c>
      <c r="D8" s="543" t="str">
        <f t="shared" si="1"/>
        <v>EURFUT3MU5_Quote</v>
      </c>
      <c r="E8" s="544">
        <f>_xll.qlIMMdate(C8,$E$2,Trigger)</f>
        <v>42263</v>
      </c>
      <c r="F8" s="544">
        <f>_xll.qlCalendarAdvance(Calendar,E8,"3M","mf")</f>
        <v>42354</v>
      </c>
      <c r="G8" s="545">
        <f>1-_xll.qlQuoteValue(D8)/100</f>
        <v>1.8250000000000766E-3</v>
      </c>
      <c r="H8" s="546" t="str">
        <f>_xll.qlMakeDatedOIS(,E8,F8,"eonia")</f>
        <v>obj_00b39#0002</v>
      </c>
      <c r="I8" s="545">
        <f>_xll.qlOvernightIndexedSwapFairRate(H8,Trigger)</f>
        <v>2.2481178223449753E-4</v>
      </c>
      <c r="J8" s="547">
        <f t="shared" si="0"/>
        <v>1.600188217765579E-3</v>
      </c>
      <c r="L8" s="553">
        <f>_xll.qlCalendarAdvance(Calendar,L7,"1M","f",,Trigger)</f>
        <v>42054</v>
      </c>
      <c r="M8" s="544">
        <f>_xll.qlCalendarAdvance(Calendar,L8,"3M","mf",,Trigger)</f>
        <v>42143</v>
      </c>
      <c r="N8" s="546" t="str">
        <f>_xll.qlMakeDatedOIS(,L8,M8,"eonia",,,,,Trigger)</f>
        <v>obj_006ad#0002</v>
      </c>
      <c r="O8" s="545">
        <f>_xll.qlIndexFixing("euribor3m",_xll.qlInterestRateIndexFixingDate("Euribor3M",L8),TRUE)</f>
        <v>1.7642227569200798E-3</v>
      </c>
      <c r="P8" s="545">
        <f>_xll.qlOvernightIndexedSwapFairRate(N8,Trigger)</f>
        <v>3.7520501215364472E-4</v>
      </c>
      <c r="Q8" s="547">
        <f t="shared" si="2"/>
        <v>1.3890177447664349E-3</v>
      </c>
    </row>
    <row r="9" spans="3:17" x14ac:dyDescent="0.2">
      <c r="C9" t="str">
        <f>_xll.qlIMMNextCode($E8,TRUE)</f>
        <v>Z5</v>
      </c>
      <c r="D9" s="543" t="str">
        <f t="shared" si="1"/>
        <v>EURFUT3MZ5_Quote</v>
      </c>
      <c r="E9" s="544">
        <f>_xll.qlIMMdate(C9,$E$2,Trigger)</f>
        <v>42354</v>
      </c>
      <c r="F9" s="544">
        <f>_xll.qlCalendarAdvance(Calendar,E9,"3M","mf")</f>
        <v>42445</v>
      </c>
      <c r="G9" s="545">
        <f>1-_xll.qlQuoteValue(D9)/100</f>
        <v>2.0250000000000545E-3</v>
      </c>
      <c r="H9" s="546" t="str">
        <f>_xll.qlMakeDatedOIS(,E9,F9,"eonia")</f>
        <v>obj_00b37#0002</v>
      </c>
      <c r="I9" s="545">
        <f>_xll.qlOvernightIndexedSwapFairRate(H9,Trigger)</f>
        <v>4.2951034390213992E-4</v>
      </c>
      <c r="J9" s="547">
        <f t="shared" si="0"/>
        <v>1.5954896560979146E-3</v>
      </c>
      <c r="L9" s="553">
        <f>_xll.qlCalendarAdvance(Calendar,L8,"1M","f",,Trigger)</f>
        <v>42082</v>
      </c>
      <c r="M9" s="544">
        <f>_xll.qlCalendarAdvance(Calendar,L9,"3M","mf",,Trigger)</f>
        <v>42174</v>
      </c>
      <c r="N9" s="546" t="str">
        <f>_xll.qlMakeDatedOIS(,L9,M9,"eonia",,,,,Trigger)</f>
        <v>obj_006af#0002</v>
      </c>
      <c r="O9" s="545">
        <f>_xll.qlIndexFixing("euribor3m",_xll.qlInterestRateIndexFixingDate("Euribor3M",L9),TRUE)</f>
        <v>1.7239492680954783E-3</v>
      </c>
      <c r="P9" s="545">
        <f>_xll.qlOvernightIndexedSwapFairRate(N9,Trigger)</f>
        <v>2.556185164676281E-4</v>
      </c>
      <c r="Q9" s="547">
        <f t="shared" si="2"/>
        <v>1.4683307516278501E-3</v>
      </c>
    </row>
    <row r="10" spans="3:17" x14ac:dyDescent="0.2">
      <c r="C10" t="str">
        <f>_xll.qlIMMNextCode($E9,TRUE)</f>
        <v>H6</v>
      </c>
      <c r="D10" s="543" t="str">
        <f t="shared" si="1"/>
        <v>EURFUT3MH6_Quote</v>
      </c>
      <c r="E10" s="544">
        <f>_xll.qlIMMdate(C10,$E$2,Trigger)</f>
        <v>42445</v>
      </c>
      <c r="F10" s="544">
        <f>_xll.qlCalendarAdvance(Calendar,E10,"3M","mf")</f>
        <v>42537</v>
      </c>
      <c r="G10" s="545">
        <f>1-_xll.qlQuoteValue(D10)/100</f>
        <v>2.3250000000000215E-3</v>
      </c>
      <c r="H10" s="546" t="str">
        <f>_xll.qlMakeDatedOIS(,E10,F10,"eonia")</f>
        <v>obj_00b35#0002</v>
      </c>
      <c r="I10" s="545">
        <f>_xll.qlOvernightIndexedSwapFairRate(H10,Trigger)</f>
        <v>6.4524744355761192E-4</v>
      </c>
      <c r="J10" s="547">
        <f t="shared" si="0"/>
        <v>1.6797525564424096E-3</v>
      </c>
      <c r="L10" s="553">
        <f>_xll.qlCalendarAdvance(Calendar,L9,"1M","f",,Trigger)</f>
        <v>42114</v>
      </c>
      <c r="M10" s="544">
        <f>_xll.qlCalendarAdvance(Calendar,L10,"3M","mf",,Trigger)</f>
        <v>42205</v>
      </c>
      <c r="N10" s="546" t="str">
        <f>_xll.qlMakeDatedOIS(,L10,M10,"eonia",,,,,Trigger)</f>
        <v>obj_006b1#0002</v>
      </c>
      <c r="O10" s="545">
        <f>_xll.qlIndexFixing("euribor3m",_xll.qlInterestRateIndexFixingDate("Euribor3M",L10),TRUE)</f>
        <v>1.7052143455366087E-3</v>
      </c>
      <c r="P10" s="545">
        <f>_xll.qlOvernightIndexedSwapFairRate(N10,Trigger)</f>
        <v>2.116780217105201E-4</v>
      </c>
      <c r="Q10" s="547">
        <f t="shared" si="2"/>
        <v>1.4935363238260885E-3</v>
      </c>
    </row>
    <row r="11" spans="3:17" ht="12" thickBot="1" x14ac:dyDescent="0.25">
      <c r="C11" t="str">
        <f>_xll.qlIMMNextCode($E10,TRUE)</f>
        <v>M6</v>
      </c>
      <c r="D11" s="548" t="str">
        <f t="shared" si="1"/>
        <v>EURFUT3MM6_Quote</v>
      </c>
      <c r="E11" s="549">
        <f>_xll.qlIMMdate(C11,$E$2,Trigger)</f>
        <v>42536</v>
      </c>
      <c r="F11" s="549">
        <f>_xll.qlCalendarAdvance(Calendar,E11,"3M","mf")</f>
        <v>42628</v>
      </c>
      <c r="G11" s="550">
        <f>1-_xll.qlQuoteValue(D11)/100</f>
        <v>2.6249999999998774E-3</v>
      </c>
      <c r="H11" s="551" t="str">
        <f>_xll.qlMakeDatedOIS(,E11,F11,"eonia")</f>
        <v>obj_00b3a#0002</v>
      </c>
      <c r="I11" s="550">
        <f>_xll.qlOvernightIndexedSwapFairRate(H11,Trigger)</f>
        <v>1.0981834179328758E-3</v>
      </c>
      <c r="J11" s="552">
        <f t="shared" si="0"/>
        <v>1.5268165820670017E-3</v>
      </c>
      <c r="L11" s="553">
        <f>_xll.qlCalendarAdvance(Calendar,L10,"1M","f",,Trigger)</f>
        <v>42144</v>
      </c>
      <c r="M11" s="544">
        <f>_xll.qlCalendarAdvance(Calendar,L11,"3M","mf",,Trigger)</f>
        <v>42236</v>
      </c>
      <c r="N11" s="546" t="str">
        <f>_xll.qlMakeDatedOIS(,L11,M11,"eonia",,,,,Trigger)</f>
        <v>obj_006b3#0002</v>
      </c>
      <c r="O11" s="545">
        <f>_xll.qlIndexFixing("euribor3m",_xll.qlInterestRateIndexFixingDate("Euribor3M",L11),TRUE)</f>
        <v>1.7091572074964692E-3</v>
      </c>
      <c r="P11" s="545">
        <f>_xll.qlOvernightIndexedSwapFairRate(N11,Trigger)</f>
        <v>2.0618739458148121E-4</v>
      </c>
      <c r="Q11" s="547">
        <f t="shared" si="2"/>
        <v>1.502969812914988E-3</v>
      </c>
    </row>
    <row r="12" spans="3:17" x14ac:dyDescent="0.2">
      <c r="E12" s="538"/>
      <c r="F12" s="538"/>
      <c r="G12" s="537"/>
      <c r="I12" s="537"/>
      <c r="J12" s="537"/>
      <c r="L12" s="553">
        <f>_xll.qlCalendarAdvance(Calendar,L11,"1M","f",,Trigger)</f>
        <v>42177</v>
      </c>
      <c r="M12" s="544">
        <f>_xll.qlCalendarAdvance(Calendar,L12,"3M","mf",,Trigger)</f>
        <v>42269</v>
      </c>
      <c r="N12" s="546" t="str">
        <f>_xll.qlMakeDatedOIS(,L12,M12,"eonia",,,,,Trigger)</f>
        <v>obj_006b5#0002</v>
      </c>
      <c r="O12" s="545">
        <f>_xll.qlIndexFixing("euribor3m",_xll.qlInterestRateIndexFixingDate("Euribor3M",L12),TRUE)</f>
        <v>1.7286265881293727E-3</v>
      </c>
      <c r="P12" s="545">
        <f>_xll.qlOvernightIndexedSwapFairRate(N12,Trigger)</f>
        <v>1.9320138834071258E-4</v>
      </c>
      <c r="Q12" s="547">
        <f t="shared" si="2"/>
        <v>1.5354251997886602E-3</v>
      </c>
    </row>
    <row r="13" spans="3:17" x14ac:dyDescent="0.2">
      <c r="E13" s="538"/>
      <c r="F13" s="538"/>
      <c r="G13" s="537"/>
      <c r="I13" s="537"/>
      <c r="J13" s="537"/>
      <c r="L13" s="553">
        <f>_xll.qlCalendarAdvance(Calendar,L12,"1M","f",,Trigger)</f>
        <v>42207</v>
      </c>
      <c r="M13" s="544">
        <f>_xll.qlCalendarAdvance(Calendar,L13,"3M","mf",,Trigger)</f>
        <v>42299</v>
      </c>
      <c r="N13" s="546" t="str">
        <f>_xll.qlMakeDatedOIS(,L13,M13,"eonia",,,,,Trigger)</f>
        <v>obj_006b7#0002</v>
      </c>
      <c r="O13" s="545">
        <f>_xll.qlIndexFixing("euribor3m",_xll.qlInterestRateIndexFixingDate("Euribor3M",L13),TRUE)</f>
        <v>1.7545907004512531E-3</v>
      </c>
      <c r="P13" s="545">
        <f>_xll.qlOvernightIndexedSwapFairRate(N13,Trigger)</f>
        <v>1.7223458510884842E-4</v>
      </c>
      <c r="Q13" s="547">
        <f t="shared" si="2"/>
        <v>1.5823561153424047E-3</v>
      </c>
    </row>
    <row r="14" spans="3:17" x14ac:dyDescent="0.2">
      <c r="E14" s="538"/>
      <c r="F14" s="538"/>
      <c r="G14" s="537"/>
      <c r="I14" s="537"/>
      <c r="J14" s="537"/>
      <c r="L14" s="553">
        <f>_xll.qlCalendarAdvance(Calendar,L13,"1M","f",,Trigger)</f>
        <v>42240</v>
      </c>
      <c r="M14" s="544">
        <f>_xll.qlCalendarAdvance(Calendar,L14,"3M","mf",,Trigger)</f>
        <v>42332</v>
      </c>
      <c r="N14" s="546" t="str">
        <f>_xll.qlMakeDatedOIS(,L14,M14,"eonia",,,,,Trigger)</f>
        <v>obj_006b9#0002</v>
      </c>
      <c r="O14" s="545">
        <f>_xll.qlIndexFixing("euribor3m",_xll.qlInterestRateIndexFixingDate("Euribor3M",L14),TRUE)</f>
        <v>1.7926180429731053E-3</v>
      </c>
      <c r="P14" s="545">
        <f>_xll.qlOvernightIndexedSwapFairRate(N14,Trigger)</f>
        <v>1.7587570496316925E-4</v>
      </c>
      <c r="Q14" s="547">
        <f t="shared" si="2"/>
        <v>1.616742338009936E-3</v>
      </c>
    </row>
    <row r="15" spans="3:17" x14ac:dyDescent="0.2">
      <c r="E15" s="538"/>
      <c r="F15" s="538"/>
      <c r="G15" s="537"/>
      <c r="I15" s="537"/>
      <c r="J15" s="537"/>
      <c r="L15" s="553">
        <f>_xll.qlCalendarAdvance(Calendar,L14,"1M","f",,Trigger)</f>
        <v>42271</v>
      </c>
      <c r="M15" s="544">
        <f>_xll.qlCalendarAdvance(Calendar,L15,"3M","mf",,Trigger)</f>
        <v>42362</v>
      </c>
      <c r="N15" s="546" t="str">
        <f>_xll.qlMakeDatedOIS(,L15,M15,"eonia",,,,,Trigger)</f>
        <v>obj_006bb#0002</v>
      </c>
      <c r="O15" s="545">
        <f>_xll.qlIndexFixing("euribor3m",_xll.qlInterestRateIndexFixingDate("Euribor3M",L15),TRUE)</f>
        <v>1.8379552777158716E-3</v>
      </c>
      <c r="P15" s="545">
        <f>_xll.qlOvernightIndexedSwapFairRate(N15,Trigger)</f>
        <v>2.4253682550587203E-4</v>
      </c>
      <c r="Q15" s="547">
        <f t="shared" si="2"/>
        <v>1.5954184522099996E-3</v>
      </c>
    </row>
    <row r="16" spans="3:17" x14ac:dyDescent="0.2">
      <c r="E16" s="538"/>
      <c r="F16" s="538"/>
      <c r="G16" s="537"/>
      <c r="I16" s="537"/>
      <c r="J16" s="537"/>
      <c r="L16" s="553">
        <f>_xll.qlCalendarAdvance(Calendar,L15,"1M","f",,Trigger)</f>
        <v>42303</v>
      </c>
      <c r="M16" s="544">
        <f>_xll.qlCalendarAdvance(Calendar,L16,"3M","mf",,Trigger)</f>
        <v>42395</v>
      </c>
      <c r="N16" s="546" t="str">
        <f>_xll.qlMakeDatedOIS(,L16,M16,"eonia",,,,,Trigger)</f>
        <v>obj_006bd#0002</v>
      </c>
      <c r="O16" s="545">
        <f>_xll.qlIndexFixing("euribor3m",_xll.qlInterestRateIndexFixingDate("Euribor3M",L16),TRUE)</f>
        <v>1.8991621415793789E-3</v>
      </c>
      <c r="P16" s="545">
        <f>_xll.qlOvernightIndexedSwapFairRate(N16,Trigger)</f>
        <v>3.1394368155743621E-4</v>
      </c>
      <c r="Q16" s="547">
        <f t="shared" si="2"/>
        <v>1.5852184600219426E-3</v>
      </c>
    </row>
    <row r="17" spans="5:17" x14ac:dyDescent="0.2">
      <c r="E17" s="538"/>
      <c r="F17" s="538"/>
      <c r="G17" s="537"/>
      <c r="I17" s="537"/>
      <c r="J17" s="537"/>
      <c r="L17" s="553">
        <f>_xll.qlCalendarAdvance(Calendar,L16,"1M","f",,Trigger)</f>
        <v>42334</v>
      </c>
      <c r="M17" s="544">
        <f>_xll.qlCalendarAdvance(Calendar,L17,"3M","mf",,Trigger)</f>
        <v>42426</v>
      </c>
      <c r="N17" s="546" t="str">
        <f>_xll.qlMakeDatedOIS(,L17,M17,"eonia",,,,,Trigger)</f>
        <v>obj_006bf#0002</v>
      </c>
      <c r="O17" s="545">
        <f>_xll.qlIndexFixing("euribor3m",_xll.qlInterestRateIndexFixingDate("Euribor3M",L17),TRUE)</f>
        <v>1.9716157532453323E-3</v>
      </c>
      <c r="P17" s="545">
        <f>_xll.qlOvernightIndexedSwapFairRate(N17,Trigger)</f>
        <v>3.8518928024417647E-4</v>
      </c>
      <c r="Q17" s="547">
        <f t="shared" si="2"/>
        <v>1.5864264730011558E-3</v>
      </c>
    </row>
    <row r="18" spans="5:17" x14ac:dyDescent="0.2">
      <c r="E18" s="538"/>
      <c r="F18" s="538"/>
      <c r="G18" s="537"/>
      <c r="I18" s="537"/>
      <c r="J18" s="537"/>
      <c r="L18" s="553">
        <f>_xll.qlCalendarAdvance(Calendar,L17,"1M","f",,Trigger)</f>
        <v>42366</v>
      </c>
      <c r="M18" s="544">
        <f>_xll.qlCalendarAdvance(Calendar,L18,"3M","mf",,Trigger)</f>
        <v>42458</v>
      </c>
      <c r="N18" s="546" t="str">
        <f>_xll.qlMakeDatedOIS(,L18,M18,"eonia",,,,,Trigger)</f>
        <v>obj_006c1#0002</v>
      </c>
      <c r="O18" s="545">
        <f>_xll.qlIndexFixing("euribor3m",_xll.qlInterestRateIndexFixingDate("Euribor3M",L18),TRUE)</f>
        <v>2.0628133517773964E-3</v>
      </c>
      <c r="P18" s="545">
        <f>_xll.qlOvernightIndexedSwapFairRate(N18,Trigger)</f>
        <v>4.5856288031384898E-4</v>
      </c>
      <c r="Q18" s="547">
        <f t="shared" si="2"/>
        <v>1.6042504714635474E-3</v>
      </c>
    </row>
    <row r="19" spans="5:17" x14ac:dyDescent="0.2">
      <c r="E19" s="538"/>
      <c r="F19" s="538"/>
      <c r="G19" s="537"/>
      <c r="I19" s="537"/>
      <c r="J19" s="537"/>
      <c r="L19" s="553">
        <f>_xll.qlCalendarAdvance(Calendar,L18,"1M","f",,Trigger)</f>
        <v>42397</v>
      </c>
      <c r="M19" s="544">
        <f>_xll.qlCalendarAdvance(Calendar,L19,"3M","mf",,Trigger)</f>
        <v>42488</v>
      </c>
      <c r="N19" s="546" t="str">
        <f>_xll.qlMakeDatedOIS(,L19,M19,"eonia",,,,,Trigger)</f>
        <v>obj_006c3#0002</v>
      </c>
      <c r="O19" s="545">
        <f>_xll.qlIndexFixing("euribor3m",_xll.qlInterestRateIndexFixingDate("Euribor3M",L19),TRUE)</f>
        <v>2.1623793727820629E-3</v>
      </c>
      <c r="P19" s="545">
        <f>_xll.qlOvernightIndexedSwapFairRate(N19,Trigger)</f>
        <v>5.2919092026229E-4</v>
      </c>
      <c r="Q19" s="547">
        <f t="shared" si="2"/>
        <v>1.6331884525197728E-3</v>
      </c>
    </row>
    <row r="20" spans="5:17" x14ac:dyDescent="0.2">
      <c r="E20" s="538"/>
      <c r="F20" s="538"/>
      <c r="G20" s="537"/>
      <c r="I20" s="537"/>
      <c r="J20" s="537"/>
      <c r="L20" s="553">
        <f>_xll.qlCalendarAdvance(Calendar,L19,"1M","f",,Trigger)</f>
        <v>42429</v>
      </c>
      <c r="M20" s="544">
        <f>_xll.qlCalendarAdvance(Calendar,L20,"3M","mf",,Trigger)</f>
        <v>42520</v>
      </c>
      <c r="N20" s="546" t="str">
        <f>_xll.qlMakeDatedOIS(,L20,M20,"eonia",,,,,Trigger)</f>
        <v>obj_006c5#0002</v>
      </c>
      <c r="O20" s="545">
        <f>_xll.qlIndexFixing("euribor3m",_xll.qlInterestRateIndexFixingDate("Euribor3M",L20),TRUE)</f>
        <v>2.2725030887115341E-3</v>
      </c>
      <c r="P20" s="545">
        <f>_xll.qlOvernightIndexedSwapFairRate(N20,Trigger)</f>
        <v>6.0485480678820541E-4</v>
      </c>
      <c r="Q20" s="547">
        <f t="shared" si="2"/>
        <v>1.6676482819233287E-3</v>
      </c>
    </row>
    <row r="21" spans="5:17" x14ac:dyDescent="0.2">
      <c r="E21" s="538"/>
      <c r="F21" s="538"/>
      <c r="G21" s="537"/>
      <c r="I21" s="537"/>
      <c r="J21" s="537"/>
      <c r="L21" s="553">
        <f>_xll.qlCalendarAdvance(Calendar,L20,"1M","f",,Trigger)</f>
        <v>42458</v>
      </c>
      <c r="M21" s="544">
        <f>_xll.qlCalendarAdvance(Calendar,L21,"3M","mf",,Trigger)</f>
        <v>42550</v>
      </c>
      <c r="N21" s="546" t="str">
        <f>_xll.qlMakeDatedOIS(,L21,M21,"eonia",,,,,Trigger)</f>
        <v>obj_006c7#0002</v>
      </c>
      <c r="O21" s="545">
        <f>_xll.qlIndexFixing("euribor3m",_xll.qlInterestRateIndexFixingDate("Euribor3M",L21),TRUE)</f>
        <v>2.3658936360748191E-3</v>
      </c>
      <c r="P21" s="545">
        <f>_xll.qlOvernightIndexedSwapFairRate(N21,Trigger)</f>
        <v>6.7641791002121215E-4</v>
      </c>
      <c r="Q21" s="547">
        <f t="shared" si="2"/>
        <v>1.689475726053607E-3</v>
      </c>
    </row>
    <row r="22" spans="5:17" x14ac:dyDescent="0.2">
      <c r="E22" s="538"/>
      <c r="F22" s="538"/>
      <c r="G22" s="537"/>
      <c r="I22" s="537"/>
      <c r="J22" s="537"/>
      <c r="L22" s="553">
        <f>_xll.qlCalendarAdvance(Calendar,L21,"1M","f",,Trigger)</f>
        <v>42489</v>
      </c>
      <c r="M22" s="544">
        <f>_xll.qlCalendarAdvance(Calendar,L22,"3M","mf",,Trigger)</f>
        <v>42580</v>
      </c>
      <c r="N22" s="546" t="str">
        <f>_xll.qlMakeDatedOIS(,L22,M22,"eonia",,,,,Trigger)</f>
        <v>obj_006c9#0002</v>
      </c>
      <c r="O22" s="545">
        <f>_xll.qlIndexFixing("euribor3m",_xll.qlInterestRateIndexFixingDate("Euribor3M",L22),TRUE)</f>
        <v>2.4598072352125244E-3</v>
      </c>
      <c r="P22" s="545">
        <f>_xll.qlOvernightIndexedSwapFairRate(N22,Trigger)</f>
        <v>7.5029976640452844E-4</v>
      </c>
      <c r="Q22" s="547">
        <f t="shared" si="2"/>
        <v>1.709507468807996E-3</v>
      </c>
    </row>
    <row r="23" spans="5:17" x14ac:dyDescent="0.2">
      <c r="E23" s="538"/>
      <c r="F23" s="538"/>
      <c r="G23" s="537"/>
      <c r="I23" s="537"/>
      <c r="J23" s="537"/>
      <c r="L23" s="553">
        <f>_xll.qlCalendarAdvance(Calendar,L22,"1M","f",,Trigger)</f>
        <v>42520</v>
      </c>
      <c r="M23" s="544">
        <f>_xll.qlCalendarAdvance(Calendar,L23,"3M","mf",,Trigger)</f>
        <v>42612</v>
      </c>
      <c r="N23" s="546" t="str">
        <f>_xll.qlMakeDatedOIS(,L23,M23,"eonia",,,,,Trigger)</f>
        <v>obj_006cb#0002</v>
      </c>
      <c r="O23" s="545">
        <f>_xll.qlIndexFixing("euribor3m",_xll.qlInterestRateIndexFixingDate("Euribor3M",L23),TRUE)</f>
        <v>2.5645745243397656E-3</v>
      </c>
      <c r="P23" s="545">
        <f>_xll.qlOvernightIndexedSwapFairRate(N23,Trigger)</f>
        <v>9.3989788626243646E-4</v>
      </c>
      <c r="Q23" s="547">
        <f t="shared" si="2"/>
        <v>1.6246766380773291E-3</v>
      </c>
    </row>
    <row r="24" spans="5:17" x14ac:dyDescent="0.2">
      <c r="E24" s="538"/>
      <c r="F24" s="538"/>
      <c r="G24" s="537"/>
      <c r="I24" s="537"/>
      <c r="J24" s="537"/>
      <c r="L24" s="553">
        <f>_xll.qlCalendarAdvance(Calendar,L23,"1M","f",,Trigger)</f>
        <v>42551</v>
      </c>
      <c r="M24" s="544">
        <f>_xll.qlCalendarAdvance(Calendar,L24,"3M","mf",,Trigger)</f>
        <v>42643</v>
      </c>
      <c r="N24" s="546" t="str">
        <f>_xll.qlMakeDatedOIS(,L24,M24,"eonia",,,,,Trigger)</f>
        <v>obj_006cd#0002</v>
      </c>
      <c r="O24" s="545">
        <f>_xll.qlIndexFixing("euribor3m",_xll.qlInterestRateIndexFixingDate("Euribor3M",L24),TRUE)</f>
        <v>2.6878114420669304E-3</v>
      </c>
      <c r="P24" s="545">
        <f>_xll.qlOvernightIndexedSwapFairRate(N24,Trigger)</f>
        <v>1.2465819174868188E-3</v>
      </c>
      <c r="Q24" s="547">
        <f t="shared" si="2"/>
        <v>1.4412295245801116E-3</v>
      </c>
    </row>
    <row r="25" spans="5:17" x14ac:dyDescent="0.2">
      <c r="E25" s="538"/>
      <c r="F25" s="538"/>
      <c r="G25" s="537"/>
      <c r="I25" s="537"/>
      <c r="J25" s="537"/>
      <c r="L25" s="553">
        <f>_xll.qlCalendarAdvance(Calendar,L24,"1M","f",,Trigger)</f>
        <v>42583</v>
      </c>
      <c r="M25" s="544">
        <f>_xll.qlCalendarAdvance(Calendar,L25,"3M","mf",,Trigger)</f>
        <v>42675</v>
      </c>
      <c r="N25" s="546" t="str">
        <f>_xll.qlMakeDatedOIS(,L25,M25,"eonia",,,,,Trigger)</f>
        <v>obj_006cf#0002</v>
      </c>
      <c r="O25" s="545">
        <f>_xll.qlIndexFixing("euribor3m",_xll.qlInterestRateIndexFixingDate("Euribor3M",L25),TRUE)</f>
        <v>2.8388386727701519E-3</v>
      </c>
      <c r="P25" s="545">
        <f>_xll.qlOvernightIndexedSwapFairRate(N25,Trigger)</f>
        <v>1.5631841877968796E-3</v>
      </c>
      <c r="Q25" s="547">
        <f t="shared" si="2"/>
        <v>1.2756544849732722E-3</v>
      </c>
    </row>
    <row r="26" spans="5:17" x14ac:dyDescent="0.2">
      <c r="E26" s="538"/>
      <c r="F26" s="538"/>
      <c r="G26" s="537"/>
      <c r="I26" s="537"/>
      <c r="J26" s="537"/>
      <c r="L26" s="553">
        <f>_xll.qlCalendarAdvance(Calendar,L25,"1M","f",,Trigger)</f>
        <v>42614</v>
      </c>
      <c r="M26" s="544">
        <f>_xll.qlCalendarAdvance(Calendar,L26,"3M","mf",,Trigger)</f>
        <v>42705</v>
      </c>
      <c r="N26" s="546" t="str">
        <f>_xll.qlMakeDatedOIS(,L26,M26,"eonia",,,,,Trigger)</f>
        <v>obj_006d1#0002</v>
      </c>
      <c r="O26" s="545">
        <f>_xll.qlIndexFixing("euribor3m",_xll.qlInterestRateIndexFixingDate("Euribor3M",L26),TRUE)</f>
        <v>2.9971977970357144E-3</v>
      </c>
      <c r="P26" s="545">
        <f>_xll.qlOvernightIndexedSwapFairRate(N26,Trigger)</f>
        <v>1.7017017120812949E-3</v>
      </c>
      <c r="Q26" s="547">
        <f t="shared" si="2"/>
        <v>1.2954960849544195E-3</v>
      </c>
    </row>
    <row r="27" spans="5:17" x14ac:dyDescent="0.2">
      <c r="E27" s="538"/>
      <c r="F27" s="538"/>
      <c r="G27" s="537"/>
      <c r="I27" s="537"/>
      <c r="J27" s="537"/>
      <c r="L27" s="553">
        <f>_xll.qlCalendarAdvance(Calendar,L26,"1M","f",,Trigger)</f>
        <v>42646</v>
      </c>
      <c r="M27" s="544">
        <f>_xll.qlCalendarAdvance(Calendar,L27,"3M","mf",,Trigger)</f>
        <v>42738</v>
      </c>
      <c r="N27" s="546" t="str">
        <f>_xll.qlMakeDatedOIS(,L27,M27,"eonia",,,,,Trigger)</f>
        <v>obj_006d3#0002</v>
      </c>
      <c r="O27" s="545">
        <f>_xll.qlIndexFixing("euribor3m",_xll.qlInterestRateIndexFixingDate("Euribor3M",L27),TRUE)</f>
        <v>3.1724382561137969E-3</v>
      </c>
      <c r="P27" s="545">
        <f>_xll.qlOvernightIndexedSwapFairRate(N27,Trigger)</f>
        <v>1.7017057334404221E-3</v>
      </c>
      <c r="Q27" s="547">
        <f t="shared" si="2"/>
        <v>1.4707325226733748E-3</v>
      </c>
    </row>
    <row r="28" spans="5:17" x14ac:dyDescent="0.2">
      <c r="E28" s="538"/>
      <c r="F28" s="538"/>
      <c r="G28" s="537"/>
      <c r="I28" s="537"/>
      <c r="J28" s="537"/>
      <c r="L28" s="553">
        <f>_xll.qlCalendarAdvance(Calendar,L27,"1M","f",,Trigger)</f>
        <v>42677</v>
      </c>
      <c r="M28" s="544">
        <f>_xll.qlCalendarAdvance(Calendar,L28,"3M","mf",,Trigger)</f>
        <v>42769</v>
      </c>
      <c r="N28" s="546" t="str">
        <f>_xll.qlMakeDatedOIS(,L28,M28,"eonia",,,,,Trigger)</f>
        <v>obj_006d5#0002</v>
      </c>
      <c r="O28" s="545">
        <f>_xll.qlIndexFixing("euribor3m",_xll.qlInterestRateIndexFixingDate("Euribor3M",L28),TRUE)</f>
        <v>3.3416423317723029E-3</v>
      </c>
      <c r="P28" s="545">
        <f>_xll.qlOvernightIndexedSwapFairRate(N28,Trigger)</f>
        <v>1.7017057334395534E-3</v>
      </c>
      <c r="Q28" s="547">
        <f t="shared" si="2"/>
        <v>1.6399365983327495E-3</v>
      </c>
    </row>
    <row r="29" spans="5:17" x14ac:dyDescent="0.2">
      <c r="E29" s="538"/>
      <c r="F29" s="538"/>
      <c r="G29" s="537"/>
      <c r="I29" s="537"/>
      <c r="J29" s="537"/>
      <c r="L29" s="553">
        <f>_xll.qlCalendarAdvance(Calendar,L28,"1M","f",,Trigger)</f>
        <v>42709</v>
      </c>
      <c r="M29" s="544">
        <f>_xll.qlCalendarAdvance(Calendar,L29,"3M","mf",,Trigger)</f>
        <v>42800</v>
      </c>
      <c r="N29" s="546" t="str">
        <f>_xll.qlMakeDatedOIS(,L29,M29,"eonia",,,,,Trigger)</f>
        <v>obj_006d7#0002</v>
      </c>
      <c r="O29" s="545">
        <f>_xll.qlIndexFixing("euribor3m",_xll.qlInterestRateIndexFixingDate("Euribor3M",L29),TRUE)</f>
        <v>3.5154939060628525E-3</v>
      </c>
      <c r="P29" s="545">
        <f>_xll.qlOvernightIndexedSwapFairRate(N29,Trigger)</f>
        <v>1.7017017120821733E-3</v>
      </c>
      <c r="Q29" s="547">
        <f t="shared" si="2"/>
        <v>1.8137921939806792E-3</v>
      </c>
    </row>
    <row r="30" spans="5:17" x14ac:dyDescent="0.2">
      <c r="E30" s="538"/>
      <c r="F30" s="538"/>
      <c r="G30" s="537"/>
      <c r="I30" s="537"/>
      <c r="J30" s="537"/>
      <c r="L30" s="553">
        <f>_xll.qlCalendarAdvance(Calendar,L29,"1M","f",,Trigger)</f>
        <v>42740</v>
      </c>
      <c r="M30" s="544">
        <f>_xll.qlCalendarAdvance(Calendar,L30,"3M","mf",,Trigger)</f>
        <v>42830</v>
      </c>
      <c r="N30" s="546" t="str">
        <f>_xll.qlMakeDatedOIS(,L30,M30,"eonia",,,,,Trigger)</f>
        <v>obj_006d9#0002</v>
      </c>
      <c r="O30" s="545">
        <f>_xll.qlIndexFixing("euribor3m",_xll.qlInterestRateIndexFixingDate("Euribor3M",L30),TRUE)</f>
        <v>3.6856959432709502E-3</v>
      </c>
      <c r="P30" s="545">
        <f>_xll.qlOvernightIndexedSwapFairRate(N30,Trigger)</f>
        <v>1.7016976907360259E-3</v>
      </c>
      <c r="Q30" s="547">
        <f t="shared" si="2"/>
        <v>1.9839982525349242E-3</v>
      </c>
    </row>
    <row r="31" spans="5:17" x14ac:dyDescent="0.2">
      <c r="E31" s="538"/>
      <c r="F31" s="538"/>
      <c r="G31" s="537"/>
      <c r="I31" s="537"/>
      <c r="J31" s="537"/>
      <c r="L31" s="553">
        <f>_xll.qlCalendarAdvance(Calendar,L30,"1M","f",,Trigger)</f>
        <v>42772</v>
      </c>
      <c r="M31" s="544">
        <f>_xll.qlCalendarAdvance(Calendar,L31,"3M","mf",,Trigger)</f>
        <v>42863</v>
      </c>
      <c r="N31" s="546" t="str">
        <f>_xll.qlMakeDatedOIS(,L31,M31,"eonia",,,,,Trigger)</f>
        <v>obj_006db#0002</v>
      </c>
      <c r="O31" s="545">
        <f>_xll.qlIndexFixing("euribor3m",_xll.qlInterestRateIndexFixingDate("Euribor3M",L31),TRUE)</f>
        <v>3.8691575446143829E-3</v>
      </c>
      <c r="P31" s="545">
        <f>_xll.qlOvernightIndexedSwapFairRate(N31,Trigger)</f>
        <v>1.7017017120821733E-3</v>
      </c>
      <c r="Q31" s="547">
        <f t="shared" si="2"/>
        <v>2.1674558325322094E-3</v>
      </c>
    </row>
    <row r="32" spans="5:17" x14ac:dyDescent="0.2">
      <c r="E32" s="538"/>
      <c r="F32" s="538"/>
      <c r="G32" s="537"/>
      <c r="I32" s="537"/>
      <c r="J32" s="537"/>
      <c r="L32" s="553">
        <f>_xll.qlCalendarAdvance(Calendar,L31,"1M","f",,Trigger)</f>
        <v>42800</v>
      </c>
      <c r="M32" s="544">
        <f>_xll.qlCalendarAdvance(Calendar,L32,"3M","mf",,Trigger)</f>
        <v>42892</v>
      </c>
      <c r="N32" s="546" t="str">
        <f>_xll.qlMakeDatedOIS(,L32,M32,"eonia",,,,,Trigger)</f>
        <v>obj_006dd#0002</v>
      </c>
      <c r="O32" s="545">
        <f>_xll.qlIndexFixing("euribor3m",_xll.qlInterestRateIndexFixingDate("Euribor3M",L32),TRUE)</f>
        <v>4.0317703537123108E-3</v>
      </c>
      <c r="P32" s="545">
        <f>_xll.qlOvernightIndexedSwapFairRate(N32,Trigger)</f>
        <v>1.7017057334404223E-3</v>
      </c>
      <c r="Q32" s="547">
        <f t="shared" si="2"/>
        <v>2.3300646202718883E-3</v>
      </c>
    </row>
    <row r="33" spans="5:17" x14ac:dyDescent="0.2">
      <c r="E33" s="538"/>
      <c r="F33" s="538"/>
      <c r="G33" s="537"/>
      <c r="I33" s="537"/>
      <c r="J33" s="537"/>
      <c r="L33" s="553">
        <f>_xll.qlCalendarAdvance(Calendar,L32,"1M","f",,Trigger)</f>
        <v>42831</v>
      </c>
      <c r="M33" s="544">
        <f>_xll.qlCalendarAdvance(Calendar,L33,"3M","mf",,Trigger)</f>
        <v>42922</v>
      </c>
      <c r="N33" s="546" t="str">
        <f>_xll.qlMakeDatedOIS(,L33,M33,"eonia",,,,,Trigger)</f>
        <v>obj_006df#0002</v>
      </c>
      <c r="O33" s="545">
        <f>_xll.qlIndexFixing("euribor3m",_xll.qlInterestRateIndexFixingDate("Euribor3M",L33),TRUE)</f>
        <v>4.2075004669115791E-3</v>
      </c>
      <c r="P33" s="545">
        <f>_xll.qlOvernightIndexedSwapFairRate(N33,Trigger)</f>
        <v>1.7017017120812951E-3</v>
      </c>
      <c r="Q33" s="547">
        <f t="shared" si="2"/>
        <v>2.5057987548302843E-3</v>
      </c>
    </row>
    <row r="34" spans="5:17" x14ac:dyDescent="0.2">
      <c r="E34" s="538"/>
      <c r="F34" s="538"/>
      <c r="G34" s="537"/>
      <c r="I34" s="537"/>
      <c r="J34" s="537"/>
      <c r="L34" s="553">
        <f>_xll.qlCalendarAdvance(Calendar,L33,"1M","f",,Trigger)</f>
        <v>42863</v>
      </c>
      <c r="M34" s="544">
        <f>_xll.qlCalendarAdvance(Calendar,L34,"3M","mf",,Trigger)</f>
        <v>42955</v>
      </c>
      <c r="N34" s="546" t="str">
        <f>_xll.qlMakeDatedOIS(,L34,M34,"eonia",,,,,Trigger)</f>
        <v>obj_006e1#0002</v>
      </c>
      <c r="O34" s="545">
        <f>_xll.qlIndexFixing("euribor3m",_xll.qlInterestRateIndexFixingDate("Euribor3M",L34),TRUE)</f>
        <v>4.3968657145776469E-3</v>
      </c>
      <c r="P34" s="545">
        <f>_xll.qlOvernightIndexedSwapFairRate(N34,Trigger)</f>
        <v>1.7017057334404223E-3</v>
      </c>
      <c r="Q34" s="547">
        <f t="shared" si="2"/>
        <v>2.6951599811372243E-3</v>
      </c>
    </row>
    <row r="35" spans="5:17" x14ac:dyDescent="0.2">
      <c r="E35" s="538"/>
      <c r="F35" s="538"/>
      <c r="G35" s="537"/>
      <c r="I35" s="537"/>
      <c r="J35" s="537"/>
      <c r="L35" s="553">
        <f>_xll.qlCalendarAdvance(Calendar,L34,"1M","f",,Trigger)</f>
        <v>42894</v>
      </c>
      <c r="M35" s="544">
        <f>_xll.qlCalendarAdvance(Calendar,L35,"3M","mf",,Trigger)</f>
        <v>42986</v>
      </c>
      <c r="N35" s="546" t="str">
        <f>_xll.qlMakeDatedOIS(,L35,M35,"eonia",,,,,Trigger)</f>
        <v>obj_006e3#0002</v>
      </c>
      <c r="O35" s="545">
        <f>_xll.qlIndexFixing("euribor3m",_xll.qlInterestRateIndexFixingDate("Euribor3M",L35),TRUE)</f>
        <v>4.5795081921317727E-3</v>
      </c>
      <c r="P35" s="545">
        <f>_xll.qlOvernightIndexedSwapFairRate(N35,Trigger)</f>
        <v>2.2458157296280433E-3</v>
      </c>
      <c r="Q35" s="547">
        <f t="shared" si="2"/>
        <v>2.3336924625037294E-3</v>
      </c>
    </row>
    <row r="36" spans="5:17" x14ac:dyDescent="0.2">
      <c r="E36" s="538"/>
      <c r="F36" s="538"/>
      <c r="G36" s="537"/>
      <c r="I36" s="537"/>
      <c r="J36" s="537"/>
      <c r="L36" s="553">
        <f>_xll.qlCalendarAdvance(Calendar,L35,"1M","f",,Trigger)</f>
        <v>42926</v>
      </c>
      <c r="M36" s="544">
        <f>_xll.qlCalendarAdvance(Calendar,L36,"3M","mf",,Trigger)</f>
        <v>43018</v>
      </c>
      <c r="N36" s="546" t="str">
        <f>_xll.qlMakeDatedOIS(,L36,M36,"eonia",,,,,Trigger)</f>
        <v>obj_006e5#0002</v>
      </c>
      <c r="O36" s="545">
        <f>_xll.qlIndexFixing("euribor3m",_xll.qlInterestRateIndexFixingDate("Euribor3M",L36),TRUE)</f>
        <v>4.7711412994239817E-3</v>
      </c>
      <c r="P36" s="545">
        <f>_xll.qlOvernightIndexedSwapFairRate(N36,Trigger)</f>
        <v>2.9714133664767188E-3</v>
      </c>
      <c r="Q36" s="547">
        <f t="shared" si="2"/>
        <v>1.7997279329472629E-3</v>
      </c>
    </row>
    <row r="37" spans="5:17" x14ac:dyDescent="0.2">
      <c r="E37" s="538"/>
      <c r="F37" s="538"/>
      <c r="G37" s="537"/>
      <c r="I37" s="537"/>
      <c r="J37" s="537"/>
      <c r="L37" s="553">
        <f>_xll.qlCalendarAdvance(Calendar,L36,"1M","f",,Trigger)</f>
        <v>42957</v>
      </c>
      <c r="M37" s="544">
        <f>_xll.qlCalendarAdvance(Calendar,L37,"3M","mf",,Trigger)</f>
        <v>43049</v>
      </c>
      <c r="N37" s="546" t="str">
        <f>_xll.qlMakeDatedOIS(,L37,M37,"eonia",,,,,Trigger)</f>
        <v>obj_006e7#0002</v>
      </c>
      <c r="O37" s="545">
        <f>_xll.qlIndexFixing("euribor3m",_xll.qlInterestRateIndexFixingDate("Euribor3M",L37),TRUE)</f>
        <v>4.9611543024541405E-3</v>
      </c>
      <c r="P37" s="545">
        <f>_xll.qlOvernightIndexedSwapFairRate(N37,Trigger)</f>
        <v>3.6744643100295395E-3</v>
      </c>
      <c r="Q37" s="547">
        <f t="shared" si="2"/>
        <v>1.286689992424601E-3</v>
      </c>
    </row>
    <row r="38" spans="5:17" x14ac:dyDescent="0.2">
      <c r="E38" s="538"/>
      <c r="F38" s="538"/>
      <c r="G38" s="537"/>
      <c r="I38" s="537"/>
      <c r="J38" s="537"/>
      <c r="L38" s="553">
        <f>_xll.qlCalendarAdvance(Calendar,L37,"1M","f",,Trigger)</f>
        <v>42989</v>
      </c>
      <c r="M38" s="544">
        <f>_xll.qlCalendarAdvance(Calendar,L38,"3M","mf",,Trigger)</f>
        <v>43080</v>
      </c>
      <c r="N38" s="546" t="str">
        <f>_xll.qlMakeDatedOIS(,L38,M38,"eonia",,,,,Trigger)</f>
        <v>obj_006e9#0002</v>
      </c>
      <c r="O38" s="545">
        <f>_xll.qlIndexFixing("euribor3m",_xll.qlInterestRateIndexFixingDate("Euribor3M",L38),TRUE)</f>
        <v>5.159801123758005E-3</v>
      </c>
      <c r="P38" s="545">
        <f>_xll.qlOvernightIndexedSwapFairRate(N38,Trigger)</f>
        <v>3.787851522514775E-3</v>
      </c>
      <c r="Q38" s="547">
        <f t="shared" si="2"/>
        <v>1.37194960124323E-3</v>
      </c>
    </row>
    <row r="39" spans="5:17" x14ac:dyDescent="0.2">
      <c r="E39" s="538"/>
      <c r="F39" s="538"/>
      <c r="G39" s="537"/>
      <c r="I39" s="537"/>
      <c r="J39" s="537"/>
      <c r="L39" s="553">
        <f>_xll.qlCalendarAdvance(Calendar,L38,"1M","f",,Trigger)</f>
        <v>43019</v>
      </c>
      <c r="M39" s="544">
        <f>_xll.qlCalendarAdvance(Calendar,L39,"3M","mf",,Trigger)</f>
        <v>43111</v>
      </c>
      <c r="N39" s="546" t="str">
        <f>_xll.qlMakeDatedOIS(,L39,M39,"eonia",,,,,Trigger)</f>
        <v>obj_006eb#0002</v>
      </c>
      <c r="O39" s="545">
        <f>_xll.qlIndexFixing("euribor3m",_xll.qlInterestRateIndexFixingDate("Euribor3M",L39),TRUE)</f>
        <v>5.3580726768950758E-3</v>
      </c>
      <c r="P39" s="545">
        <f>_xll.qlOvernightIndexedSwapFairRate(N39,Trigger)</f>
        <v>3.7878714437542828E-3</v>
      </c>
      <c r="Q39" s="547">
        <f t="shared" si="2"/>
        <v>1.5702012331407929E-3</v>
      </c>
    </row>
    <row r="40" spans="5:17" x14ac:dyDescent="0.2">
      <c r="E40" s="538"/>
      <c r="F40" s="538"/>
      <c r="G40" s="537"/>
      <c r="I40" s="537"/>
      <c r="J40" s="537"/>
      <c r="L40" s="553">
        <f>_xll.qlCalendarAdvance(Calendar,L39,"1M","f",,Trigger)</f>
        <v>43052</v>
      </c>
      <c r="M40" s="544">
        <f>_xll.qlCalendarAdvance(Calendar,L40,"3M","mf",,Trigger)</f>
        <v>43144</v>
      </c>
      <c r="N40" s="546" t="str">
        <f>_xll.qlMakeDatedOIS(,L40,M40,"eonia",,,,,Trigger)</f>
        <v>obj_006ed#0002</v>
      </c>
      <c r="O40" s="545">
        <f>_xll.qlIndexFixing("euribor3m",_xll.qlInterestRateIndexFixingDate("Euribor3M",L40),TRUE)</f>
        <v>5.5788982558716126E-3</v>
      </c>
      <c r="P40" s="545">
        <f>_xll.qlOvernightIndexedSwapFairRate(N40,Trigger)</f>
        <v>3.7878714437534142E-3</v>
      </c>
      <c r="Q40" s="547">
        <f t="shared" si="2"/>
        <v>1.7910268121181985E-3</v>
      </c>
    </row>
    <row r="41" spans="5:17" x14ac:dyDescent="0.2">
      <c r="E41" s="538"/>
      <c r="F41" s="538"/>
      <c r="G41" s="537"/>
      <c r="I41" s="537"/>
      <c r="J41" s="537"/>
      <c r="L41" s="553">
        <f>_xll.qlCalendarAdvance(Calendar,L40,"1M","f",,Trigger)</f>
        <v>43082</v>
      </c>
      <c r="M41" s="544">
        <f>_xll.qlCalendarAdvance(Calendar,L41,"3M","mf",,Trigger)</f>
        <v>43172</v>
      </c>
      <c r="N41" s="546" t="str">
        <f>_xll.qlMakeDatedOIS(,L41,M41,"eonia",,,,,Trigger)</f>
        <v>obj_006ef#0002</v>
      </c>
      <c r="O41" s="545">
        <f>_xll.qlIndexFixing("euribor3m",_xll.qlInterestRateIndexFixingDate("Euribor3M",L41),TRUE)</f>
        <v>5.7782578288172459E-3</v>
      </c>
      <c r="P41" s="545">
        <f>_xll.qlOvernightIndexedSwapFairRate(N41,Trigger)</f>
        <v>3.7878316014143816E-3</v>
      </c>
      <c r="Q41" s="547">
        <f t="shared" si="2"/>
        <v>1.9904262274028643E-3</v>
      </c>
    </row>
    <row r="42" spans="5:17" x14ac:dyDescent="0.2">
      <c r="E42" s="538"/>
      <c r="F42" s="538"/>
      <c r="G42" s="537"/>
      <c r="I42" s="537"/>
      <c r="J42" s="537"/>
      <c r="L42" s="553">
        <f>_xll.qlCalendarAdvance(Calendar,L41,"1M","f",,Trigger)</f>
        <v>43115</v>
      </c>
      <c r="M42" s="544">
        <f>_xll.qlCalendarAdvance(Calendar,L42,"3M","mf",,Trigger)</f>
        <v>43206</v>
      </c>
      <c r="N42" s="546" t="str">
        <f>_xll.qlMakeDatedOIS(,L42,M42,"eonia",,,,,Trigger)</f>
        <v>obj_006f1#0002</v>
      </c>
      <c r="O42" s="545">
        <f>_xll.qlIndexFixing("euribor3m",_xll.qlInterestRateIndexFixingDate("Euribor3M",L42),TRUE)</f>
        <v>6.0152439367509173E-3</v>
      </c>
      <c r="P42" s="545">
        <f>_xll.qlOvernightIndexedSwapFairRate(N42,Trigger)</f>
        <v>3.7878515225138972E-3</v>
      </c>
      <c r="Q42" s="547">
        <f t="shared" si="2"/>
        <v>2.22739241423702E-3</v>
      </c>
    </row>
    <row r="43" spans="5:17" x14ac:dyDescent="0.2">
      <c r="E43" s="538"/>
      <c r="F43" s="538"/>
      <c r="G43" s="537"/>
      <c r="I43" s="537"/>
      <c r="J43" s="537"/>
      <c r="L43" s="553">
        <f>_xll.qlCalendarAdvance(Calendar,L42,"1M","f",,Trigger)</f>
        <v>43146</v>
      </c>
      <c r="M43" s="544">
        <f>_xll.qlCalendarAdvance(Calendar,L43,"3M","mf",,Trigger)</f>
        <v>43235</v>
      </c>
      <c r="N43" s="546" t="str">
        <f>_xll.qlMakeDatedOIS(,L43,M43,"eonia",,,,,Trigger)</f>
        <v>obj_006f3#0002</v>
      </c>
      <c r="O43" s="545">
        <f>_xll.qlIndexFixing("euribor3m",_xll.qlInterestRateIndexFixingDate("Euribor3M",L43),TRUE)</f>
        <v>6.2330024085086814E-3</v>
      </c>
      <c r="P43" s="545">
        <f>_xll.qlOvernightIndexedSwapFairRate(N43,Trigger)</f>
        <v>3.7878116804541998E-3</v>
      </c>
      <c r="Q43" s="547">
        <f t="shared" si="2"/>
        <v>2.4451907280544816E-3</v>
      </c>
    </row>
    <row r="44" spans="5:17" x14ac:dyDescent="0.2">
      <c r="E44" s="538"/>
      <c r="F44" s="538"/>
      <c r="G44" s="537"/>
      <c r="I44" s="537"/>
      <c r="J44" s="537"/>
      <c r="L44" s="553">
        <f>_xll.qlCalendarAdvance(Calendar,L43,"1M","f",,Trigger)</f>
        <v>43174</v>
      </c>
      <c r="M44" s="544">
        <f>_xll.qlCalendarAdvance(Calendar,L44,"3M","mf",,Trigger)</f>
        <v>43266</v>
      </c>
      <c r="N44" s="546" t="str">
        <f>_xll.qlMakeDatedOIS(,L44,M44,"eonia",,,,,Trigger)</f>
        <v>obj_006f5#0002</v>
      </c>
      <c r="O44" s="545">
        <f>_xll.qlIndexFixing("euribor3m",_xll.qlInterestRateIndexFixingDate("Euribor3M",L44),TRUE)</f>
        <v>6.4529888313612175E-3</v>
      </c>
      <c r="P44" s="545">
        <f>_xll.qlOvernightIndexedSwapFairRate(N44,Trigger)</f>
        <v>3.7878714437534142E-3</v>
      </c>
      <c r="Q44" s="547">
        <f t="shared" si="2"/>
        <v>2.6651173876078033E-3</v>
      </c>
    </row>
    <row r="45" spans="5:17" x14ac:dyDescent="0.2">
      <c r="E45" s="538"/>
      <c r="F45" s="538"/>
      <c r="G45" s="537"/>
      <c r="I45" s="537"/>
      <c r="J45" s="537"/>
      <c r="L45" s="553">
        <f>_xll.qlCalendarAdvance(Calendar,L44,"1M","f",,Trigger)</f>
        <v>43206</v>
      </c>
      <c r="M45" s="544">
        <f>_xll.qlCalendarAdvance(Calendar,L45,"3M","mf",,Trigger)</f>
        <v>43297</v>
      </c>
      <c r="N45" s="546" t="str">
        <f>_xll.qlMakeDatedOIS(,L45,M45,"eonia",,,,,Trigger)</f>
        <v>obj_006f7#0002</v>
      </c>
      <c r="O45" s="545">
        <f>_xll.qlIndexFixing("euribor3m",_xll.qlInterestRateIndexFixingDate("Euribor3M",L45),TRUE)</f>
        <v>6.6933276156665705E-3</v>
      </c>
      <c r="P45" s="545">
        <f>_xll.qlOvernightIndexedSwapFairRate(N45,Trigger)</f>
        <v>3.7878515225138968E-3</v>
      </c>
      <c r="Q45" s="547">
        <f t="shared" si="2"/>
        <v>2.9054760931526737E-3</v>
      </c>
    </row>
    <row r="46" spans="5:17" x14ac:dyDescent="0.2">
      <c r="E46" s="538"/>
      <c r="F46" s="538"/>
      <c r="G46" s="537"/>
      <c r="I46" s="537"/>
      <c r="J46" s="537"/>
      <c r="L46" s="553">
        <f>_xll.qlCalendarAdvance(Calendar,L45,"1M","f",,Trigger)</f>
        <v>43236</v>
      </c>
      <c r="M46" s="544">
        <f>_xll.qlCalendarAdvance(Calendar,L46,"3M","mf",,Trigger)</f>
        <v>43328</v>
      </c>
      <c r="N46" s="546" t="str">
        <f>_xll.qlMakeDatedOIS(,L46,M46,"eonia",,,,,Trigger)</f>
        <v>obj_006f9#0002</v>
      </c>
      <c r="O46" s="545">
        <f>_xll.qlIndexFixing("euribor3m",_xll.qlInterestRateIndexFixingDate("Euribor3M",L46),TRUE)</f>
        <v>6.9320249331975134E-3</v>
      </c>
      <c r="P46" s="545">
        <f>_xll.qlOvernightIndexedSwapFairRate(N46,Trigger)</f>
        <v>3.8191772231717684E-3</v>
      </c>
      <c r="Q46" s="547">
        <f t="shared" si="2"/>
        <v>3.112847710025745E-3</v>
      </c>
    </row>
    <row r="47" spans="5:17" x14ac:dyDescent="0.2">
      <c r="E47" s="538"/>
      <c r="F47" s="538"/>
      <c r="G47" s="537"/>
      <c r="I47" s="537"/>
      <c r="J47" s="537"/>
      <c r="L47" s="553">
        <f>_xll.qlCalendarAdvance(Calendar,L46,"1M","f",,Trigger)</f>
        <v>43269</v>
      </c>
      <c r="M47" s="544">
        <f>_xll.qlCalendarAdvance(Calendar,L47,"3M","mf",,Trigger)</f>
        <v>43361</v>
      </c>
      <c r="N47" s="546" t="str">
        <f>_xll.qlMakeDatedOIS(,L47,M47,"eonia",,,,,Trigger)</f>
        <v>obj_006fb#0002</v>
      </c>
      <c r="O47" s="545">
        <f>_xll.qlIndexFixing("euribor3m",_xll.qlInterestRateIndexFixingDate("Euribor3M",L47),TRUE)</f>
        <v>7.1966019561000771E-3</v>
      </c>
      <c r="P47" s="545">
        <f>_xll.qlOvernightIndexedSwapFairRate(N47,Trigger)</f>
        <v>4.8524083268219409E-3</v>
      </c>
      <c r="Q47" s="547">
        <f t="shared" si="2"/>
        <v>2.3441936292781362E-3</v>
      </c>
    </row>
    <row r="48" spans="5:17" x14ac:dyDescent="0.2">
      <c r="E48" s="538"/>
      <c r="F48" s="538"/>
      <c r="G48" s="537"/>
      <c r="I48" s="537"/>
      <c r="J48" s="537"/>
      <c r="L48" s="553">
        <f>_xll.qlCalendarAdvance(Calendar,L47,"1M","f",,Trigger)</f>
        <v>43299</v>
      </c>
      <c r="M48" s="544">
        <f>_xll.qlCalendarAdvance(Calendar,L48,"3M","mf",,Trigger)</f>
        <v>43391</v>
      </c>
      <c r="N48" s="546" t="str">
        <f>_xll.qlMakeDatedOIS(,L48,M48,"eonia",,,,,Trigger)</f>
        <v>obj_006fd#0002</v>
      </c>
      <c r="O48" s="545">
        <f>_xll.qlIndexFixing("euribor3m",_xll.qlInterestRateIndexFixingDate("Euribor3M",L48),TRUE)</f>
        <v>7.4430511287208925E-3</v>
      </c>
      <c r="P48" s="545">
        <f>_xll.qlOvernightIndexedSwapFairRate(N48,Trigger)</f>
        <v>5.7919458442513422E-3</v>
      </c>
      <c r="Q48" s="547">
        <f t="shared" si="2"/>
        <v>1.6511052844695503E-3</v>
      </c>
    </row>
    <row r="49" spans="5:17" x14ac:dyDescent="0.2">
      <c r="E49" s="538"/>
      <c r="F49" s="538"/>
      <c r="G49" s="537"/>
      <c r="I49" s="537"/>
      <c r="J49" s="537"/>
      <c r="L49" s="553">
        <f>_xll.qlCalendarAdvance(Calendar,L48,"1M","f",,Trigger)</f>
        <v>43332</v>
      </c>
      <c r="M49" s="544">
        <f>_xll.qlCalendarAdvance(Calendar,L49,"3M","mf",,Trigger)</f>
        <v>43424</v>
      </c>
      <c r="N49" s="546" t="str">
        <f>_xll.qlMakeDatedOIS(,L49,M49,"eonia",,,,,Trigger)</f>
        <v>obj_006ff#0002</v>
      </c>
      <c r="O49" s="545">
        <f>_xll.qlIndexFixing("euribor3m",_xll.qlInterestRateIndexFixingDate("Euribor3M",L49),TRUE)</f>
        <v>7.720824528231438E-3</v>
      </c>
      <c r="P49" s="545">
        <f>_xll.qlOvernightIndexedSwapFairRate(N49,Trigger)</f>
        <v>6.6690508034010203E-3</v>
      </c>
      <c r="Q49" s="547">
        <f t="shared" si="2"/>
        <v>1.0517737248304177E-3</v>
      </c>
    </row>
    <row r="50" spans="5:17" x14ac:dyDescent="0.2">
      <c r="E50" s="538"/>
      <c r="F50" s="538"/>
      <c r="G50" s="537"/>
      <c r="I50" s="537"/>
      <c r="J50" s="537"/>
      <c r="L50" s="553">
        <f>_xll.qlCalendarAdvance(Calendar,L49,"1M","f",,Trigger)</f>
        <v>43363</v>
      </c>
      <c r="M50" s="544">
        <f>_xll.qlCalendarAdvance(Calendar,L50,"3M","mf",,Trigger)</f>
        <v>43454</v>
      </c>
      <c r="N50" s="546" t="str">
        <f>_xll.qlMakeDatedOIS(,L50,M50,"eonia",,,,,Trigger)</f>
        <v>obj_00701#0002</v>
      </c>
      <c r="O50" s="545">
        <f>_xll.qlIndexFixing("euribor3m",_xll.qlInterestRateIndexFixingDate("Euribor3M",L50),TRUE)</f>
        <v>7.9837500053311517E-3</v>
      </c>
      <c r="P50" s="545">
        <f>_xll.qlOvernightIndexedSwapFairRate(N50,Trigger)</f>
        <v>6.6689890662919981E-3</v>
      </c>
      <c r="Q50" s="547">
        <f t="shared" si="2"/>
        <v>1.3147609390391536E-3</v>
      </c>
    </row>
    <row r="51" spans="5:17" x14ac:dyDescent="0.2">
      <c r="E51" s="538"/>
      <c r="F51" s="538"/>
      <c r="G51" s="537"/>
      <c r="I51" s="537"/>
      <c r="J51" s="537"/>
      <c r="L51" s="553">
        <f>_xll.qlCalendarAdvance(Calendar,L50,"1M","f",,Trigger)</f>
        <v>43395</v>
      </c>
      <c r="M51" s="544">
        <f>_xll.qlCalendarAdvance(Calendar,L51,"3M","mf",,Trigger)</f>
        <v>43487</v>
      </c>
      <c r="N51" s="546" t="str">
        <f>_xll.qlMakeDatedOIS(,L51,M51,"eonia",,,,,Trigger)</f>
        <v>obj_00703#0002</v>
      </c>
      <c r="O51" s="545">
        <f>_xll.qlIndexFixing("euribor3m",_xll.qlInterestRateIndexFixingDate("Euribor3M",L51),TRUE)</f>
        <v>8.2709169964854893E-3</v>
      </c>
      <c r="P51" s="545">
        <f>_xll.qlOvernightIndexedSwapFairRate(N51,Trigger)</f>
        <v>6.6690508034018894E-3</v>
      </c>
      <c r="Q51" s="547">
        <f t="shared" si="2"/>
        <v>1.6018661930835999E-3</v>
      </c>
    </row>
    <row r="52" spans="5:17" x14ac:dyDescent="0.2">
      <c r="E52" s="538"/>
      <c r="F52" s="538"/>
      <c r="G52" s="537"/>
      <c r="I52" s="537"/>
      <c r="J52" s="537"/>
      <c r="L52" s="553">
        <f>_xll.qlCalendarAdvance(Calendar,L51,"1M","f",,Trigger)</f>
        <v>43426</v>
      </c>
      <c r="M52" s="544">
        <f>_xll.qlCalendarAdvance(Calendar,L52,"3M","mf",,Trigger)</f>
        <v>43518</v>
      </c>
      <c r="N52" s="546" t="str">
        <f>_xll.qlMakeDatedOIS(,L52,M52,"eonia",,,,,Trigger)</f>
        <v>obj_00705#0002</v>
      </c>
      <c r="O52" s="545">
        <f>_xll.qlIndexFixing("euribor3m",_xll.qlInterestRateIndexFixingDate("Euribor3M",L52),TRUE)</f>
        <v>8.5511552237336006E-3</v>
      </c>
      <c r="P52" s="545">
        <f>_xll.qlOvernightIndexedSwapFairRate(N52,Trigger)</f>
        <v>6.6690508034018886E-3</v>
      </c>
      <c r="Q52" s="547">
        <f t="shared" si="2"/>
        <v>1.882104420331712E-3</v>
      </c>
    </row>
    <row r="53" spans="5:17" x14ac:dyDescent="0.2">
      <c r="E53" s="538"/>
      <c r="F53" s="538"/>
      <c r="G53" s="537"/>
      <c r="I53" s="537"/>
      <c r="J53" s="537"/>
      <c r="L53" s="553">
        <f>_xll.qlCalendarAdvance(Calendar,L52,"1M","f",,Trigger)</f>
        <v>43458</v>
      </c>
      <c r="M53" s="544">
        <f>_xll.qlCalendarAdvance(Calendar,L53,"3M","mf",,Trigger)</f>
        <v>43549</v>
      </c>
      <c r="N53" s="546" t="str">
        <f>_xll.qlMakeDatedOIS(,L53,M53,"eonia",,,,,Trigger)</f>
        <v>obj_00707#0002</v>
      </c>
      <c r="O53" s="545">
        <f>_xll.qlIndexFixing("euribor3m",_xll.qlInterestRateIndexFixingDate("Euribor3M",L53),TRUE)</f>
        <v>8.8422143145948304E-3</v>
      </c>
      <c r="P53" s="545">
        <f>_xll.qlOvernightIndexedSwapFairRate(N53,Trigger)</f>
        <v>6.6689890662919972E-3</v>
      </c>
      <c r="Q53" s="547">
        <f t="shared" si="2"/>
        <v>2.1732252483028331E-3</v>
      </c>
    </row>
    <row r="54" spans="5:17" x14ac:dyDescent="0.2">
      <c r="E54" s="538"/>
      <c r="F54" s="538"/>
      <c r="G54" s="537"/>
      <c r="I54" s="537"/>
      <c r="J54" s="537"/>
      <c r="L54" s="553">
        <f>_xll.qlCalendarAdvance(Calendar,L53,"1M","f",,Trigger)</f>
        <v>43489</v>
      </c>
      <c r="M54" s="544">
        <f>_xll.qlCalendarAdvance(Calendar,L54,"3M","mf",,Trigger)</f>
        <v>43579</v>
      </c>
      <c r="N54" s="546" t="str">
        <f>_xll.qlMakeDatedOIS(,L54,M54,"eonia",,,,,Trigger)</f>
        <v>obj_00709#0002</v>
      </c>
      <c r="O54" s="545">
        <f>_xll.qlIndexFixing("euribor3m",_xll.qlInterestRateIndexFixingDate("Euribor3M",L54),TRUE)</f>
        <v>9.1302201221292734E-3</v>
      </c>
      <c r="P54" s="545">
        <f>_xll.qlOvernightIndexedSwapFairRate(N54,Trigger)</f>
        <v>6.6689273299447285E-3</v>
      </c>
      <c r="Q54" s="547">
        <f t="shared" si="2"/>
        <v>2.4612927921845449E-3</v>
      </c>
    </row>
    <row r="55" spans="5:17" x14ac:dyDescent="0.2">
      <c r="E55" s="538"/>
      <c r="F55" s="538"/>
      <c r="G55" s="537"/>
      <c r="I55" s="537"/>
      <c r="J55" s="537"/>
      <c r="L55" s="553">
        <f>_xll.qlCalendarAdvance(Calendar,L54,"1M","f",,Trigger)</f>
        <v>43521</v>
      </c>
      <c r="M55" s="544">
        <f>_xll.qlCalendarAdvance(Calendar,L55,"3M","mf",,Trigger)</f>
        <v>43612</v>
      </c>
      <c r="N55" s="546" t="str">
        <f>_xll.qlMakeDatedOIS(,L55,M55,"eonia",,,,,Trigger)</f>
        <v>obj_0070b#0002</v>
      </c>
      <c r="O55" s="545">
        <f>_xll.qlIndexFixing("euribor3m",_xll.qlInterestRateIndexFixingDate("Euribor3M",L55),TRUE)</f>
        <v>9.4441726410052929E-3</v>
      </c>
      <c r="P55" s="545">
        <f>_xll.qlOvernightIndexedSwapFairRate(N55,Trigger)</f>
        <v>6.6689890662919972E-3</v>
      </c>
      <c r="Q55" s="547">
        <f t="shared" si="2"/>
        <v>2.7751835747132957E-3</v>
      </c>
    </row>
    <row r="56" spans="5:17" x14ac:dyDescent="0.2">
      <c r="E56" s="538"/>
      <c r="F56" s="538"/>
      <c r="G56" s="537"/>
      <c r="I56" s="537"/>
      <c r="J56" s="537"/>
      <c r="L56" s="553">
        <f>_xll.qlCalendarAdvance(Calendar,L55,"1M","f",,Trigger)</f>
        <v>43549</v>
      </c>
      <c r="M56" s="544">
        <f>_xll.qlCalendarAdvance(Calendar,L56,"3M","mf",,Trigger)</f>
        <v>43641</v>
      </c>
      <c r="N56" s="546" t="str">
        <f>_xll.qlMakeDatedOIS(,L56,M56,"eonia",,,,,Trigger)</f>
        <v>obj_0070d#0002</v>
      </c>
      <c r="O56" s="545">
        <f>_xll.qlIndexFixing("euribor3m",_xll.qlInterestRateIndexFixingDate("Euribor3M",L56),TRUE)</f>
        <v>9.7252285689514405E-3</v>
      </c>
      <c r="P56" s="545">
        <f>_xll.qlOvernightIndexedSwapFairRate(N56,Trigger)</f>
        <v>6.6690508034010212E-3</v>
      </c>
      <c r="Q56" s="547">
        <f t="shared" si="2"/>
        <v>3.0561777655504193E-3</v>
      </c>
    </row>
    <row r="57" spans="5:17" x14ac:dyDescent="0.2">
      <c r="E57" s="538"/>
      <c r="F57" s="538"/>
      <c r="G57" s="537"/>
      <c r="I57" s="537"/>
      <c r="J57" s="537"/>
      <c r="L57" s="553">
        <f>_xll.qlCalendarAdvance(Calendar,L56,"1M","f",,Trigger)</f>
        <v>43580</v>
      </c>
      <c r="M57" s="544">
        <f>_xll.qlCalendarAdvance(Calendar,L57,"3M","mf",,Trigger)</f>
        <v>43671</v>
      </c>
      <c r="N57" s="546" t="str">
        <f>_xll.qlMakeDatedOIS(,L57,M57,"eonia",,,,,Trigger)</f>
        <v>obj_0070f#0002</v>
      </c>
      <c r="O57" s="545">
        <f>_xll.qlIndexFixing("euribor3m",_xll.qlInterestRateIndexFixingDate("Euribor3M",L57),TRUE)</f>
        <v>1.003154162861321E-2</v>
      </c>
      <c r="P57" s="545">
        <f>_xll.qlOvernightIndexedSwapFairRate(N57,Trigger)</f>
        <v>6.6689890662919972E-3</v>
      </c>
      <c r="Q57" s="547">
        <f t="shared" si="2"/>
        <v>3.3625525623212126E-3</v>
      </c>
    </row>
    <row r="58" spans="5:17" x14ac:dyDescent="0.2">
      <c r="E58" s="538"/>
      <c r="F58" s="538"/>
      <c r="G58" s="537"/>
      <c r="I58" s="537"/>
      <c r="J58" s="537"/>
      <c r="L58" s="553">
        <f>_xll.qlCalendarAdvance(Calendar,L57,"1M","f",,Trigger)</f>
        <v>43612</v>
      </c>
      <c r="M58" s="544">
        <f>_xll.qlCalendarAdvance(Calendar,L58,"3M","mf",,Trigger)</f>
        <v>43704</v>
      </c>
      <c r="N58" s="546" t="str">
        <f>_xll.qlMakeDatedOIS(,L58,M58,"eonia",,,,,Trigger)</f>
        <v>obj_00711#0002</v>
      </c>
      <c r="O58" s="545">
        <f>_xll.qlIndexFixing("euribor3m",_xll.qlInterestRateIndexFixingDate("Euribor3M",L58),TRUE)</f>
        <v>1.0365028716621648E-2</v>
      </c>
      <c r="P58" s="545">
        <f>_xll.qlOvernightIndexedSwapFairRate(N58,Trigger)</f>
        <v>7.1756325189664197E-3</v>
      </c>
      <c r="Q58" s="547">
        <f t="shared" si="2"/>
        <v>3.1893961976552278E-3</v>
      </c>
    </row>
    <row r="59" spans="5:17" x14ac:dyDescent="0.2">
      <c r="E59" s="538"/>
      <c r="F59" s="538"/>
      <c r="G59" s="537"/>
      <c r="I59" s="537"/>
      <c r="J59" s="537"/>
      <c r="L59" s="553">
        <f>_xll.qlCalendarAdvance(Calendar,L58,"1M","f",,Trigger)</f>
        <v>43643</v>
      </c>
      <c r="M59" s="544">
        <f>_xll.qlCalendarAdvance(Calendar,L59,"3M","mf",,Trigger)</f>
        <v>43735</v>
      </c>
      <c r="N59" s="546" t="str">
        <f>_xll.qlMakeDatedOIS(,L59,M59,"eonia",,,,,Trigger)</f>
        <v>obj_00713#0002</v>
      </c>
      <c r="O59" s="545">
        <f>_xll.qlIndexFixing("euribor3m",_xll.qlInterestRateIndexFixingDate("Euribor3M",L59),TRUE)</f>
        <v>1.0688139487081839E-2</v>
      </c>
      <c r="P59" s="545">
        <f>_xll.qlOvernightIndexedSwapFairRate(N59,Trigger)</f>
        <v>8.4846049993084326E-3</v>
      </c>
      <c r="Q59" s="547">
        <f t="shared" si="2"/>
        <v>2.2035344877734068E-3</v>
      </c>
    </row>
    <row r="60" spans="5:17" x14ac:dyDescent="0.2">
      <c r="E60" s="538"/>
      <c r="F60" s="538"/>
      <c r="G60" s="537"/>
      <c r="I60" s="537"/>
      <c r="J60" s="537"/>
      <c r="L60" s="553">
        <f>_xll.qlCalendarAdvance(Calendar,L59,"1M","f",,Trigger)</f>
        <v>43675</v>
      </c>
      <c r="M60" s="544">
        <f>_xll.qlCalendarAdvance(Calendar,L60,"3M","mf",,Trigger)</f>
        <v>43767</v>
      </c>
      <c r="N60" s="546" t="str">
        <f>_xll.qlMakeDatedOIS(,L60,M60,"eonia",,,,,Trigger)</f>
        <v>obj_00715#0002</v>
      </c>
      <c r="O60" s="545">
        <f>_xll.qlIndexFixing("euribor3m",_xll.qlInterestRateIndexFixingDate("Euribor3M",L60),TRUE)</f>
        <v>1.1023921662794931E-2</v>
      </c>
      <c r="P60" s="545">
        <f>_xll.qlOvernightIndexedSwapFairRate(N60,Trigger)</f>
        <v>9.8362608456442867E-3</v>
      </c>
      <c r="Q60" s="547">
        <f t="shared" si="2"/>
        <v>1.1876608171506441E-3</v>
      </c>
    </row>
    <row r="61" spans="5:17" x14ac:dyDescent="0.2">
      <c r="E61" s="538"/>
      <c r="F61" s="538"/>
      <c r="G61" s="537"/>
      <c r="I61" s="537"/>
      <c r="J61" s="537"/>
      <c r="L61" s="553">
        <f>_xll.qlCalendarAdvance(Calendar,L60,"1M","f",,Trigger)</f>
        <v>43706</v>
      </c>
      <c r="M61" s="544">
        <f>_xll.qlCalendarAdvance(Calendar,L61,"3M","mf",,Trigger)</f>
        <v>43798</v>
      </c>
      <c r="N61" s="546" t="str">
        <f>_xll.qlMakeDatedOIS(,L61,M61,"eonia",,,,,Trigger)</f>
        <v>obj_00717#0002</v>
      </c>
      <c r="O61" s="545">
        <f>_xll.qlIndexFixing("euribor3m",_xll.qlInterestRateIndexFixingDate("Euribor3M",L61),TRUE)</f>
        <v>1.1348369387776995E-2</v>
      </c>
      <c r="P61" s="545">
        <f>_xll.qlOvernightIndexedSwapFairRate(N61,Trigger)</f>
        <v>1.0554517496283614E-2</v>
      </c>
      <c r="Q61" s="547">
        <f t="shared" si="2"/>
        <v>7.9385189149338078E-4</v>
      </c>
    </row>
    <row r="62" spans="5:17" x14ac:dyDescent="0.2">
      <c r="E62" s="538"/>
      <c r="F62" s="538"/>
      <c r="G62" s="537"/>
      <c r="I62" s="537"/>
      <c r="J62" s="537"/>
      <c r="L62" s="553">
        <f>_xll.qlCalendarAdvance(Calendar,L61,"1M","f",,Trigger)</f>
        <v>43738</v>
      </c>
      <c r="M62" s="544">
        <f>_xll.qlCalendarAdvance(Calendar,L62,"3M","mf",,Trigger)</f>
        <v>43829</v>
      </c>
      <c r="N62" s="546" t="str">
        <f>_xll.qlMakeDatedOIS(,L62,M62,"eonia",,,,,Trigger)</f>
        <v>obj_00719#0002</v>
      </c>
      <c r="O62" s="545">
        <f>_xll.qlIndexFixing("euribor3m",_xll.qlInterestRateIndexFixingDate("Euribor3M",L62),TRUE)</f>
        <v>1.1680701089613032E-2</v>
      </c>
      <c r="P62" s="545">
        <f>_xll.qlOvernightIndexedSwapFairRate(N62,Trigger)</f>
        <v>1.0554362917490522E-2</v>
      </c>
      <c r="Q62" s="547">
        <f t="shared" si="2"/>
        <v>1.12633817212251E-3</v>
      </c>
    </row>
    <row r="63" spans="5:17" x14ac:dyDescent="0.2">
      <c r="E63" s="538"/>
      <c r="F63" s="538"/>
      <c r="G63" s="537"/>
      <c r="I63" s="537"/>
      <c r="J63" s="537"/>
      <c r="L63" s="553">
        <f>_xll.qlCalendarAdvance(Calendar,L62,"1M","f",,Trigger)</f>
        <v>43768</v>
      </c>
      <c r="M63" s="544">
        <f>_xll.qlCalendarAdvance(Calendar,L63,"3M","mf",,Trigger)</f>
        <v>43860</v>
      </c>
      <c r="N63" s="546" t="str">
        <f>_xll.qlMakeDatedOIS(,L63,M63,"eonia",,,,,Trigger)</f>
        <v>obj_0071b#0002</v>
      </c>
      <c r="O63" s="545">
        <f>_xll.qlIndexFixing("euribor3m",_xll.qlInterestRateIndexFixingDate("Euribor3M",L63),TRUE)</f>
        <v>1.1989801041113421E-2</v>
      </c>
      <c r="P63" s="545">
        <f>_xll.qlOvernightIndexedSwapFairRate(N63,Trigger)</f>
        <v>1.0554517496283614E-2</v>
      </c>
      <c r="Q63" s="547">
        <f t="shared" si="2"/>
        <v>1.435283544829807E-3</v>
      </c>
    </row>
    <row r="64" spans="5:17" x14ac:dyDescent="0.2">
      <c r="E64" s="538"/>
      <c r="F64" s="538"/>
      <c r="G64" s="537"/>
      <c r="I64" s="537"/>
      <c r="J64" s="537"/>
      <c r="L64" s="553">
        <f>_xll.qlCalendarAdvance(Calendar,L63,"1M","f",,Trigger)</f>
        <v>43801</v>
      </c>
      <c r="M64" s="544">
        <f>_xll.qlCalendarAdvance(Calendar,L64,"3M","mf",,Trigger)</f>
        <v>43892</v>
      </c>
      <c r="N64" s="546" t="str">
        <f>_xll.qlMakeDatedOIS(,L64,M64,"eonia",,,,,Trigger)</f>
        <v>obj_0071d#0002</v>
      </c>
      <c r="O64" s="545">
        <f>_xll.qlIndexFixing("euribor3m",_xll.qlInterestRateIndexFixingDate("Euribor3M",L64),TRUE)</f>
        <v>1.2321780781192908E-2</v>
      </c>
      <c r="P64" s="545">
        <f>_xll.qlOvernightIndexedSwapFairRate(N64,Trigger)</f>
        <v>1.0554362917490522E-2</v>
      </c>
      <c r="Q64" s="547">
        <f t="shared" si="2"/>
        <v>1.7674178637023859E-3</v>
      </c>
    </row>
    <row r="65" spans="5:17" x14ac:dyDescent="0.2">
      <c r="E65" s="538"/>
      <c r="F65" s="538"/>
      <c r="G65" s="537"/>
      <c r="I65" s="537"/>
      <c r="J65" s="537"/>
      <c r="L65" s="553">
        <f>_xll.qlCalendarAdvance(Calendar,L64,"1M","f",,Trigger)</f>
        <v>43832</v>
      </c>
      <c r="M65" s="544">
        <f>_xll.qlCalendarAdvance(Calendar,L65,"3M","mf",,Trigger)</f>
        <v>43923</v>
      </c>
      <c r="N65" s="546" t="str">
        <f>_xll.qlMakeDatedOIS(,L65,M65,"eonia",,,,,Trigger)</f>
        <v>obj_0071f#0002</v>
      </c>
      <c r="O65" s="545">
        <f>_xll.qlIndexFixing("euribor3m",_xll.qlInterestRateIndexFixingDate("Euribor3M",L65),TRUE)</f>
        <v>1.2636003121588173E-2</v>
      </c>
      <c r="P65" s="545">
        <f>_xll.qlOvernightIndexedSwapFairRate(N65,Trigger)</f>
        <v>1.0554362917489644E-2</v>
      </c>
      <c r="Q65" s="547">
        <f t="shared" si="2"/>
        <v>2.0816402040985289E-3</v>
      </c>
    </row>
    <row r="66" spans="5:17" x14ac:dyDescent="0.2">
      <c r="E66" s="538"/>
      <c r="F66" s="538"/>
      <c r="G66" s="537"/>
      <c r="I66" s="537"/>
      <c r="J66" s="537"/>
      <c r="L66" s="553">
        <f>_xll.qlCalendarAdvance(Calendar,L65,"1M","f",,Trigger)</f>
        <v>43864</v>
      </c>
      <c r="M66" s="544">
        <f>_xll.qlCalendarAdvance(Calendar,L66,"3M","mf",,Trigger)</f>
        <v>43955</v>
      </c>
      <c r="N66" s="546" t="str">
        <f>_xll.qlMakeDatedOIS(,L66,M66,"eonia",,,,,Trigger)</f>
        <v>obj_00721#0002</v>
      </c>
      <c r="O66" s="545">
        <f>_xll.qlIndexFixing("euribor3m",_xll.qlInterestRateIndexFixingDate("Euribor3M",L66),TRUE)</f>
        <v>1.2957692065838201E-2</v>
      </c>
      <c r="P66" s="545">
        <f>_xll.qlOvernightIndexedSwapFairRate(N66,Trigger)</f>
        <v>1.0554362917490522E-2</v>
      </c>
      <c r="Q66" s="547">
        <f t="shared" si="2"/>
        <v>2.4033291483476788E-3</v>
      </c>
    </row>
    <row r="67" spans="5:17" x14ac:dyDescent="0.2">
      <c r="E67" s="538"/>
      <c r="F67" s="538"/>
      <c r="G67" s="537"/>
      <c r="I67" s="537"/>
      <c r="J67" s="537"/>
      <c r="L67" s="553">
        <f>_xll.qlCalendarAdvance(Calendar,L66,"1M","f",,Trigger)</f>
        <v>43893</v>
      </c>
      <c r="M67" s="544">
        <f>_xll.qlCalendarAdvance(Calendar,L67,"3M","mf",,Trigger)</f>
        <v>43985</v>
      </c>
      <c r="N67" s="546" t="str">
        <f>_xll.qlMakeDatedOIS(,L67,M67,"eonia",,,,,Trigger)</f>
        <v>obj_00723#0002</v>
      </c>
      <c r="O67" s="545">
        <f>_xll.qlIndexFixing("euribor3m",_xll.qlInterestRateIndexFixingDate("Euribor3M",L67),TRUE)</f>
        <v>1.3252069294765021E-2</v>
      </c>
      <c r="P67" s="545">
        <f>_xll.qlOvernightIndexedSwapFairRate(N67,Trigger)</f>
        <v>1.0554517496284483E-2</v>
      </c>
      <c r="Q67" s="547">
        <f t="shared" ref="Q67:Q130" si="3">O67-P67</f>
        <v>2.6975517984805381E-3</v>
      </c>
    </row>
    <row r="68" spans="5:17" x14ac:dyDescent="0.2">
      <c r="E68" s="538"/>
      <c r="F68" s="538"/>
      <c r="G68" s="537"/>
      <c r="I68" s="537"/>
      <c r="J68" s="537"/>
      <c r="L68" s="553">
        <f>_xll.qlCalendarAdvance(Calendar,L67,"1M","f",,Trigger)</f>
        <v>43924</v>
      </c>
      <c r="M68" s="544">
        <f>_xll.qlCalendarAdvance(Calendar,L68,"3M","mf",,Trigger)</f>
        <v>44015</v>
      </c>
      <c r="N68" s="546" t="str">
        <f>_xll.qlMakeDatedOIS(,L68,M68,"eonia",,,,,Trigger)</f>
        <v>obj_00725#0002</v>
      </c>
      <c r="O68" s="545">
        <f>_xll.qlIndexFixing("euribor3m",_xll.qlInterestRateIndexFixingDate("Euribor3M",L68),TRUE)</f>
        <v>1.3553546927585756E-2</v>
      </c>
      <c r="P68" s="545">
        <f>_xll.qlOvernightIndexedSwapFairRate(N68,Trigger)</f>
        <v>1.0554362917490524E-2</v>
      </c>
      <c r="Q68" s="547">
        <f t="shared" si="3"/>
        <v>2.9991840100952322E-3</v>
      </c>
    </row>
    <row r="69" spans="5:17" x14ac:dyDescent="0.2">
      <c r="E69" s="538"/>
      <c r="F69" s="538"/>
      <c r="G69" s="537"/>
      <c r="I69" s="537"/>
      <c r="J69" s="537"/>
      <c r="L69" s="553">
        <f>_xll.qlCalendarAdvance(Calendar,L68,"1M","f",,Trigger)</f>
        <v>43955</v>
      </c>
      <c r="M69" s="544">
        <f>_xll.qlCalendarAdvance(Calendar,L69,"3M","mf",,Trigger)</f>
        <v>44047</v>
      </c>
      <c r="N69" s="546" t="str">
        <f>_xll.qlMakeDatedOIS(,L69,M69,"eonia",,,,,Trigger)</f>
        <v>obj_00727#0002</v>
      </c>
      <c r="O69" s="545">
        <f>_xll.qlIndexFixing("euribor3m",_xll.qlInterestRateIndexFixingDate("Euribor3M",L69),TRUE)</f>
        <v>1.3862797851886436E-2</v>
      </c>
      <c r="P69" s="545">
        <f>_xll.qlOvernightIndexedSwapFairRate(N69,Trigger)</f>
        <v>1.0554517496283614E-2</v>
      </c>
      <c r="Q69" s="547">
        <f t="shared" si="3"/>
        <v>3.3082803556028217E-3</v>
      </c>
    </row>
    <row r="70" spans="5:17" x14ac:dyDescent="0.2">
      <c r="E70" s="538"/>
      <c r="F70" s="538"/>
      <c r="G70" s="537"/>
      <c r="I70" s="537"/>
      <c r="J70" s="537"/>
      <c r="L70" s="553">
        <f>_xll.qlCalendarAdvance(Calendar,L69,"1M","f",,Trigger)</f>
        <v>43986</v>
      </c>
      <c r="M70" s="544">
        <f>_xll.qlCalendarAdvance(Calendar,L70,"3M","mf",,Trigger)</f>
        <v>44078</v>
      </c>
      <c r="N70" s="546" t="str">
        <f>_xll.qlMakeDatedOIS(,L70,M70,"eonia",,,,,Trigger)</f>
        <v>obj_00729#0002</v>
      </c>
      <c r="O70" s="545">
        <f>_xll.qlIndexFixing("euribor3m",_xll.qlInterestRateIndexFixingDate("Euribor3M",L70),TRUE)</f>
        <v>1.4164345650972954E-2</v>
      </c>
      <c r="P70" s="545">
        <f>_xll.qlOvernightIndexedSwapFairRate(N70,Trigger)</f>
        <v>1.1259500971200065E-2</v>
      </c>
      <c r="Q70" s="547">
        <f t="shared" si="3"/>
        <v>2.9048446797728892E-3</v>
      </c>
    </row>
    <row r="71" spans="5:17" x14ac:dyDescent="0.2">
      <c r="E71" s="538"/>
      <c r="F71" s="538"/>
      <c r="G71" s="537"/>
      <c r="I71" s="537"/>
      <c r="J71" s="537"/>
      <c r="L71" s="553">
        <f>_xll.qlCalendarAdvance(Calendar,L70,"1M","f",,Trigger)</f>
        <v>44018</v>
      </c>
      <c r="M71" s="544">
        <f>_xll.qlCalendarAdvance(Calendar,L71,"3M","mf",,Trigger)</f>
        <v>44110</v>
      </c>
      <c r="N71" s="546" t="str">
        <f>_xll.qlMakeDatedOIS(,L71,M71,"eonia",,,,,Trigger)</f>
        <v>obj_0072b#0002</v>
      </c>
      <c r="O71" s="545">
        <f>_xll.qlIndexFixing("euribor3m",_xll.qlInterestRateIndexFixingDate("Euribor3M",L71),TRUE)</f>
        <v>1.4473030324498726E-2</v>
      </c>
      <c r="P71" s="545">
        <f>_xll.qlOvernightIndexedSwapFairRate(N71,Trigger)</f>
        <v>1.2513117706319654E-2</v>
      </c>
      <c r="Q71" s="547">
        <f t="shared" si="3"/>
        <v>1.9599126181790716E-3</v>
      </c>
    </row>
    <row r="72" spans="5:17" x14ac:dyDescent="0.2">
      <c r="E72" s="538"/>
      <c r="F72" s="538"/>
      <c r="G72" s="537"/>
      <c r="I72" s="537"/>
      <c r="J72" s="537"/>
      <c r="L72" s="553">
        <f>_xll.qlCalendarAdvance(Calendar,L71,"1M","f",,Trigger)</f>
        <v>44049</v>
      </c>
      <c r="M72" s="544">
        <f>_xll.qlCalendarAdvance(Calendar,L72,"3M","mf",,Trigger)</f>
        <v>44141</v>
      </c>
      <c r="N72" s="546" t="str">
        <f>_xll.qlMakeDatedOIS(,L72,M72,"eonia",,,,,Trigger)</f>
        <v>obj_0072d#0002</v>
      </c>
      <c r="O72" s="545">
        <f>_xll.qlIndexFixing("euribor3m",_xll.qlInterestRateIndexFixingDate("Euribor3M",L72),TRUE)</f>
        <v>1.4769690076903914E-2</v>
      </c>
      <c r="P72" s="545">
        <f>_xll.qlOvernightIndexedSwapFairRate(N72,Trigger)</f>
        <v>1.3727940808108324E-2</v>
      </c>
      <c r="Q72" s="547">
        <f t="shared" si="3"/>
        <v>1.0417492687955898E-3</v>
      </c>
    </row>
    <row r="73" spans="5:17" x14ac:dyDescent="0.2">
      <c r="E73" s="538"/>
      <c r="F73" s="538"/>
      <c r="G73" s="537"/>
      <c r="I73" s="537"/>
      <c r="J73" s="537"/>
      <c r="L73" s="553">
        <f>_xll.qlCalendarAdvance(Calendar,L72,"1M","f",,Trigger)</f>
        <v>44081</v>
      </c>
      <c r="M73" s="544">
        <f>_xll.qlCalendarAdvance(Calendar,L73,"3M","mf",,Trigger)</f>
        <v>44172</v>
      </c>
      <c r="N73" s="546" t="str">
        <f>_xll.qlMakeDatedOIS(,L73,M73,"eonia",,,,,Trigger)</f>
        <v>obj_0072f#0002</v>
      </c>
      <c r="O73" s="545">
        <f>_xll.qlIndexFixing("euribor3m",_xll.qlInterestRateIndexFixingDate("Euribor3M",L73),TRUE)</f>
        <v>1.5068567504749969E-2</v>
      </c>
      <c r="P73" s="545">
        <f>_xll.qlOvernightIndexedSwapFairRate(N73,Trigger)</f>
        <v>1.415881932614084E-2</v>
      </c>
      <c r="Q73" s="547">
        <f t="shared" si="3"/>
        <v>9.0974817860912938E-4</v>
      </c>
    </row>
    <row r="74" spans="5:17" x14ac:dyDescent="0.2">
      <c r="E74" s="538"/>
      <c r="F74" s="538"/>
      <c r="G74" s="537"/>
      <c r="I74" s="537"/>
      <c r="J74" s="537"/>
      <c r="L74" s="553">
        <f>_xll.qlCalendarAdvance(Calendar,L73,"1M","f",,Trigger)</f>
        <v>44111</v>
      </c>
      <c r="M74" s="544">
        <f>_xll.qlCalendarAdvance(Calendar,L74,"3M","mf",,Trigger)</f>
        <v>44203</v>
      </c>
      <c r="N74" s="546" t="str">
        <f>_xll.qlMakeDatedOIS(,L74,M74,"eonia",,,,,Trigger)</f>
        <v>obj_00731#0002</v>
      </c>
      <c r="O74" s="545">
        <f>_xll.qlIndexFixing("euribor3m",_xll.qlInterestRateIndexFixingDate("Euribor3M",L74),TRUE)</f>
        <v>1.5356411801168039E-2</v>
      </c>
      <c r="P74" s="545">
        <f>_xll.qlOvernightIndexedSwapFairRate(N74,Trigger)</f>
        <v>1.415909743176243E-2</v>
      </c>
      <c r="Q74" s="547">
        <f t="shared" si="3"/>
        <v>1.1973143694056082E-3</v>
      </c>
    </row>
    <row r="75" spans="5:17" x14ac:dyDescent="0.2">
      <c r="E75" s="538"/>
      <c r="F75" s="538"/>
      <c r="G75" s="537"/>
      <c r="I75" s="537"/>
      <c r="J75" s="537"/>
      <c r="L75" s="553">
        <f>_xll.qlCalendarAdvance(Calendar,L74,"1M","f",,Trigger)</f>
        <v>44144</v>
      </c>
      <c r="M75" s="544">
        <f>_xll.qlCalendarAdvance(Calendar,L75,"3M","mf",,Trigger)</f>
        <v>44236</v>
      </c>
      <c r="N75" s="546" t="str">
        <f>_xll.qlMakeDatedOIS(,L75,M75,"eonia",,,,,Trigger)</f>
        <v>obj_00733#0002</v>
      </c>
      <c r="O75" s="545">
        <f>_xll.qlIndexFixing("euribor3m",_xll.qlInterestRateIndexFixingDate("Euribor3M",L75),TRUE)</f>
        <v>1.5665167197992332E-2</v>
      </c>
      <c r="P75" s="545">
        <f>_xll.qlOvernightIndexedSwapFairRate(N75,Trigger)</f>
        <v>1.415909743176243E-2</v>
      </c>
      <c r="Q75" s="547">
        <f t="shared" si="3"/>
        <v>1.5060697662299012E-3</v>
      </c>
    </row>
    <row r="76" spans="5:17" x14ac:dyDescent="0.2">
      <c r="E76" s="538"/>
      <c r="F76" s="538"/>
      <c r="G76" s="537"/>
      <c r="I76" s="537"/>
      <c r="J76" s="537"/>
      <c r="L76" s="553">
        <f>_xll.qlCalendarAdvance(Calendar,L75,"1M","f",,Trigger)</f>
        <v>44174</v>
      </c>
      <c r="M76" s="544">
        <f>_xll.qlCalendarAdvance(Calendar,L76,"3M","mf",,Trigger)</f>
        <v>44264</v>
      </c>
      <c r="N76" s="546" t="str">
        <f>_xll.qlMakeDatedOIS(,L76,M76,"eonia",,,,,Trigger)</f>
        <v>obj_00735#0002</v>
      </c>
      <c r="O76" s="545">
        <f>_xll.qlIndexFixing("euribor3m",_xll.qlInterestRateIndexFixingDate("Euribor3M",L76),TRUE)</f>
        <v>1.5933801908326828E-2</v>
      </c>
      <c r="P76" s="545">
        <f>_xll.qlOvernightIndexedSwapFairRate(N76,Trigger)</f>
        <v>1.415854122780047E-2</v>
      </c>
      <c r="Q76" s="547">
        <f t="shared" si="3"/>
        <v>1.7752606805263582E-3</v>
      </c>
    </row>
    <row r="77" spans="5:17" x14ac:dyDescent="0.2">
      <c r="E77" s="538"/>
      <c r="F77" s="538"/>
      <c r="G77" s="537"/>
      <c r="I77" s="537"/>
      <c r="J77" s="537"/>
      <c r="L77" s="553">
        <f>_xll.qlCalendarAdvance(Calendar,L76,"1M","f",,Trigger)</f>
        <v>44207</v>
      </c>
      <c r="M77" s="544">
        <f>_xll.qlCalendarAdvance(Calendar,L77,"3M","mf",,Trigger)</f>
        <v>44298</v>
      </c>
      <c r="N77" s="546" t="str">
        <f>_xll.qlMakeDatedOIS(,L77,M77,"eonia",,,,,Trigger)</f>
        <v>obj_00737#0002</v>
      </c>
      <c r="O77" s="545">
        <f>_xll.qlIndexFixing("euribor3m",_xll.qlInterestRateIndexFixingDate("Euribor3M",L77),TRUE)</f>
        <v>1.6242856516339086E-2</v>
      </c>
      <c r="P77" s="545">
        <f>_xll.qlOvernightIndexedSwapFairRate(N77,Trigger)</f>
        <v>1.4158819326141719E-2</v>
      </c>
      <c r="Q77" s="547">
        <f t="shared" si="3"/>
        <v>2.0840371901973669E-3</v>
      </c>
    </row>
    <row r="78" spans="5:17" x14ac:dyDescent="0.2">
      <c r="E78" s="538"/>
      <c r="F78" s="538"/>
      <c r="G78" s="537"/>
      <c r="I78" s="537"/>
      <c r="J78" s="537"/>
      <c r="L78" s="553">
        <f>_xll.qlCalendarAdvance(Calendar,L77,"1M","f",,Trigger)</f>
        <v>44238</v>
      </c>
      <c r="M78" s="544">
        <f>_xll.qlCalendarAdvance(Calendar,L78,"3M","mf",,Trigger)</f>
        <v>44327</v>
      </c>
      <c r="N78" s="546" t="str">
        <f>_xll.qlMakeDatedOIS(,L78,M78,"eonia",,,,,Trigger)</f>
        <v>obj_00739#0002</v>
      </c>
      <c r="O78" s="545">
        <f>_xll.qlIndexFixing("euribor3m",_xll.qlInterestRateIndexFixingDate("Euribor3M",L78),TRUE)</f>
        <v>1.651645159956117E-2</v>
      </c>
      <c r="P78" s="545">
        <f>_xll.qlOvernightIndexedSwapFairRate(N78,Trigger)</f>
        <v>1.4158263136741555E-2</v>
      </c>
      <c r="Q78" s="547">
        <f t="shared" si="3"/>
        <v>2.3581884628196149E-3</v>
      </c>
    </row>
    <row r="79" spans="5:17" x14ac:dyDescent="0.2">
      <c r="E79" s="538"/>
      <c r="F79" s="538"/>
      <c r="G79" s="537"/>
      <c r="I79" s="537"/>
      <c r="J79" s="537"/>
      <c r="L79" s="553">
        <f>_xll.qlCalendarAdvance(Calendar,L78,"1M","f",,Trigger)</f>
        <v>44266</v>
      </c>
      <c r="M79" s="544">
        <f>_xll.qlCalendarAdvance(Calendar,L79,"3M","mf",,Trigger)</f>
        <v>44358</v>
      </c>
      <c r="N79" s="546" t="str">
        <f>_xll.qlMakeDatedOIS(,L79,M79,"eonia",,,,,Trigger)</f>
        <v>obj_0073b#0002</v>
      </c>
      <c r="O79" s="545">
        <f>_xll.qlIndexFixing("euribor3m",_xll.qlInterestRateIndexFixingDate("Euribor3M",L79),TRUE)</f>
        <v>1.678531410225834E-2</v>
      </c>
      <c r="P79" s="545">
        <f>_xll.qlOvernightIndexedSwapFairRate(N79,Trigger)</f>
        <v>1.415909743176243E-2</v>
      </c>
      <c r="Q79" s="547">
        <f t="shared" si="3"/>
        <v>2.6262166704959095E-3</v>
      </c>
    </row>
    <row r="80" spans="5:17" x14ac:dyDescent="0.2">
      <c r="E80" s="538"/>
      <c r="F80" s="538"/>
      <c r="G80" s="537"/>
      <c r="I80" s="537"/>
      <c r="J80" s="537"/>
      <c r="L80" s="553">
        <f>_xll.qlCalendarAdvance(Calendar,L79,"1M","f",,Trigger)</f>
        <v>44298</v>
      </c>
      <c r="M80" s="544">
        <f>_xll.qlCalendarAdvance(Calendar,L80,"3M","mf",,Trigger)</f>
        <v>44389</v>
      </c>
      <c r="N80" s="546" t="str">
        <f>_xll.qlMakeDatedOIS(,L80,M80,"eonia",,,,,Trigger)</f>
        <v>obj_0073d#0002</v>
      </c>
      <c r="O80" s="545">
        <f>_xll.qlIndexFixing("euribor3m",_xll.qlInterestRateIndexFixingDate("Euribor3M",L80),TRUE)</f>
        <v>1.7068693713613914E-2</v>
      </c>
      <c r="P80" s="545">
        <f>_xll.qlOvernightIndexedSwapFairRate(N80,Trigger)</f>
        <v>1.415881932614084E-2</v>
      </c>
      <c r="Q80" s="547">
        <f t="shared" si="3"/>
        <v>2.9098743874730743E-3</v>
      </c>
    </row>
    <row r="81" spans="5:17" x14ac:dyDescent="0.2">
      <c r="E81" s="538"/>
      <c r="F81" s="538"/>
      <c r="G81" s="537"/>
      <c r="I81" s="537"/>
      <c r="J81" s="537"/>
      <c r="L81" s="553">
        <f>_xll.qlCalendarAdvance(Calendar,L80,"1M","f",,Trigger)</f>
        <v>44328</v>
      </c>
      <c r="M81" s="544">
        <f>_xll.qlCalendarAdvance(Calendar,L81,"3M","mf",,Trigger)</f>
        <v>44420</v>
      </c>
      <c r="N81" s="546" t="str">
        <f>_xll.qlMakeDatedOIS(,L81,M81,"eonia",,,,,Trigger)</f>
        <v>obj_0073f#0002</v>
      </c>
      <c r="O81" s="545">
        <f>_xll.qlIndexFixing("euribor3m",_xll.qlInterestRateIndexFixingDate("Euribor3M",L81),TRUE)</f>
        <v>1.7341705193897859E-2</v>
      </c>
      <c r="P81" s="545">
        <f>_xll.qlOvernightIndexedSwapFairRate(N81,Trigger)</f>
        <v>1.4159097431762432E-2</v>
      </c>
      <c r="Q81" s="547">
        <f t="shared" si="3"/>
        <v>3.1826077621354264E-3</v>
      </c>
    </row>
    <row r="82" spans="5:17" x14ac:dyDescent="0.2">
      <c r="E82" s="538"/>
      <c r="F82" s="538"/>
      <c r="G82" s="537"/>
      <c r="I82" s="537"/>
      <c r="J82" s="537"/>
      <c r="L82" s="553">
        <f>_xll.qlCalendarAdvance(Calendar,L81,"1M","f",,Trigger)</f>
        <v>44361</v>
      </c>
      <c r="M82" s="544">
        <f>_xll.qlCalendarAdvance(Calendar,L82,"3M","mf",,Trigger)</f>
        <v>44453</v>
      </c>
      <c r="N82" s="546" t="str">
        <f>_xll.qlMakeDatedOIS(,L82,M82,"eonia",,,,,Trigger)</f>
        <v>obj_00741#0002</v>
      </c>
      <c r="O82" s="545">
        <f>_xll.qlIndexFixing("euribor3m",_xll.qlInterestRateIndexFixingDate("Euribor3M",L82),TRUE)</f>
        <v>1.7634123478221943E-2</v>
      </c>
      <c r="P82" s="545">
        <f>_xll.qlOvernightIndexedSwapFairRate(N82,Trigger)</f>
        <v>1.5184548801882171E-2</v>
      </c>
      <c r="Q82" s="547">
        <f t="shared" si="3"/>
        <v>2.4495746763397719E-3</v>
      </c>
    </row>
    <row r="83" spans="5:17" x14ac:dyDescent="0.2">
      <c r="E83" s="538"/>
      <c r="F83" s="538"/>
      <c r="G83" s="537"/>
      <c r="I83" s="537"/>
      <c r="J83" s="537"/>
      <c r="L83" s="553">
        <f>_xll.qlCalendarAdvance(Calendar,L82,"1M","f",,Trigger)</f>
        <v>44391</v>
      </c>
      <c r="M83" s="544">
        <f>_xll.qlCalendarAdvance(Calendar,L83,"3M","mf",,Trigger)</f>
        <v>44483</v>
      </c>
      <c r="N83" s="546" t="str">
        <f>_xll.qlMakeDatedOIS(,L83,M83,"eonia",,,,,Trigger)</f>
        <v>obj_00743#0002</v>
      </c>
      <c r="O83" s="545">
        <f>_xll.qlIndexFixing("euribor3m",_xll.qlInterestRateIndexFixingDate("Euribor3M",L83),TRUE)</f>
        <v>1.7896597816966415E-2</v>
      </c>
      <c r="P83" s="545">
        <f>_xll.qlOvernightIndexedSwapFairRate(N83,Trigger)</f>
        <v>1.6245642334504182E-2</v>
      </c>
      <c r="Q83" s="547">
        <f t="shared" si="3"/>
        <v>1.6509554824622324E-3</v>
      </c>
    </row>
    <row r="84" spans="5:17" x14ac:dyDescent="0.2">
      <c r="E84" s="538"/>
      <c r="F84" s="538"/>
      <c r="G84" s="537"/>
      <c r="I84" s="537"/>
      <c r="J84" s="537"/>
      <c r="L84" s="553">
        <f>_xll.qlCalendarAdvance(Calendar,L83,"1M","f",,Trigger)</f>
        <v>44424</v>
      </c>
      <c r="M84" s="544">
        <f>_xll.qlCalendarAdvance(Calendar,L84,"3M","mf",,Trigger)</f>
        <v>44516</v>
      </c>
      <c r="N84" s="546" t="str">
        <f>_xll.qlMakeDatedOIS(,L84,M84,"eonia",,,,,Trigger)</f>
        <v>obj_00745#0002</v>
      </c>
      <c r="O84" s="545">
        <f>_xll.qlIndexFixing("euribor3m",_xll.qlInterestRateIndexFixingDate("Euribor3M",L84),TRUE)</f>
        <v>1.8180080010741229E-2</v>
      </c>
      <c r="P84" s="545">
        <f>_xll.qlOvernightIndexedSwapFairRate(N84,Trigger)</f>
        <v>1.7413176272634882E-2</v>
      </c>
      <c r="Q84" s="547">
        <f t="shared" si="3"/>
        <v>7.6690373810634621E-4</v>
      </c>
    </row>
    <row r="85" spans="5:17" x14ac:dyDescent="0.2">
      <c r="E85" s="538"/>
      <c r="F85" s="538"/>
      <c r="G85" s="537"/>
      <c r="I85" s="537"/>
      <c r="J85" s="537"/>
      <c r="L85" s="553">
        <f>_xll.qlCalendarAdvance(Calendar,L84,"1M","f",,Trigger)</f>
        <v>44455</v>
      </c>
      <c r="M85" s="544">
        <f>_xll.qlCalendarAdvance(Calendar,L85,"3M","mf",,Trigger)</f>
        <v>44546</v>
      </c>
      <c r="N85" s="546" t="str">
        <f>_xll.qlMakeDatedOIS(,L85,M85,"eonia",,,,,Trigger)</f>
        <v>obj_00747#0002</v>
      </c>
      <c r="O85" s="545">
        <f>_xll.qlIndexFixing("euribor3m",_xll.qlInterestRateIndexFixingDate("Euribor3M",L85),TRUE)</f>
        <v>1.8435602247621412E-2</v>
      </c>
      <c r="P85" s="545">
        <f>_xll.qlOvernightIndexedSwapFairRate(N85,Trigger)</f>
        <v>1.7412755765612797E-2</v>
      </c>
      <c r="Q85" s="547">
        <f t="shared" si="3"/>
        <v>1.0228464820086144E-3</v>
      </c>
    </row>
    <row r="86" spans="5:17" x14ac:dyDescent="0.2">
      <c r="E86" s="538"/>
      <c r="F86" s="538"/>
      <c r="G86" s="537"/>
      <c r="I86" s="537"/>
      <c r="J86" s="537"/>
      <c r="L86" s="553">
        <f>_xll.qlCalendarAdvance(Calendar,L85,"1M","f",,Trigger)</f>
        <v>44487</v>
      </c>
      <c r="M86" s="544">
        <f>_xll.qlCalendarAdvance(Calendar,L86,"3M","mf",,Trigger)</f>
        <v>44579</v>
      </c>
      <c r="N86" s="546" t="str">
        <f>_xll.qlMakeDatedOIS(,L86,M86,"eonia",,,,,Trigger)</f>
        <v>obj_00749#0002</v>
      </c>
      <c r="O86" s="545">
        <f>_xll.qlIndexFixing("euribor3m",_xll.qlInterestRateIndexFixingDate("Euribor3M",L86),TRUE)</f>
        <v>1.8702068435970328E-2</v>
      </c>
      <c r="P86" s="545">
        <f>_xll.qlOvernightIndexedSwapFairRate(N86,Trigger)</f>
        <v>1.7413176272634882E-2</v>
      </c>
      <c r="Q86" s="547">
        <f t="shared" si="3"/>
        <v>1.2888921633354457E-3</v>
      </c>
    </row>
    <row r="87" spans="5:17" x14ac:dyDescent="0.2">
      <c r="E87" s="538"/>
      <c r="F87" s="538"/>
      <c r="G87" s="537"/>
      <c r="I87" s="537"/>
      <c r="J87" s="537"/>
      <c r="L87" s="553">
        <f>_xll.qlCalendarAdvance(Calendar,L86,"1M","f",,Trigger)</f>
        <v>44518</v>
      </c>
      <c r="M87" s="544">
        <f>_xll.qlCalendarAdvance(Calendar,L87,"3M","mf",,Trigger)</f>
        <v>44610</v>
      </c>
      <c r="N87" s="546" t="str">
        <f>_xll.qlMakeDatedOIS(,L87,M87,"eonia",,,,,Trigger)</f>
        <v>obj_0074b#0002</v>
      </c>
      <c r="O87" s="545">
        <f>_xll.qlIndexFixing("euribor3m",_xll.qlInterestRateIndexFixingDate("Euribor3M",L87),TRUE)</f>
        <v>1.8949408700714709E-2</v>
      </c>
      <c r="P87" s="545">
        <f>_xll.qlOvernightIndexedSwapFairRate(N87,Trigger)</f>
        <v>1.7413176272634882E-2</v>
      </c>
      <c r="Q87" s="547">
        <f t="shared" si="3"/>
        <v>1.536232428079827E-3</v>
      </c>
    </row>
    <row r="88" spans="5:17" x14ac:dyDescent="0.2">
      <c r="E88" s="538"/>
      <c r="F88" s="538"/>
      <c r="G88" s="537"/>
      <c r="I88" s="537"/>
      <c r="J88" s="537"/>
      <c r="L88" s="553">
        <f>_xll.qlCalendarAdvance(Calendar,L87,"1M","f",,Trigger)</f>
        <v>44550</v>
      </c>
      <c r="M88" s="544">
        <f>_xll.qlCalendarAdvance(Calendar,L88,"3M","mf",,Trigger)</f>
        <v>44641</v>
      </c>
      <c r="N88" s="546" t="str">
        <f>_xll.qlMakeDatedOIS(,L88,M88,"eonia",,,,,Trigger)</f>
        <v>obj_0074d#0002</v>
      </c>
      <c r="O88" s="545">
        <f>_xll.qlIndexFixing("euribor3m",_xll.qlInterestRateIndexFixingDate("Euribor3M",L88),TRUE)</f>
        <v>1.9193849807189758E-2</v>
      </c>
      <c r="P88" s="545">
        <f>_xll.qlOvernightIndexedSwapFairRate(N88,Trigger)</f>
        <v>1.7412755765613675E-2</v>
      </c>
      <c r="Q88" s="547">
        <f t="shared" si="3"/>
        <v>1.7810940415760833E-3</v>
      </c>
    </row>
    <row r="89" spans="5:17" x14ac:dyDescent="0.2">
      <c r="E89" s="538"/>
      <c r="F89" s="538"/>
      <c r="G89" s="537"/>
      <c r="I89" s="537"/>
      <c r="J89" s="537"/>
      <c r="L89" s="553">
        <f>_xll.qlCalendarAdvance(Calendar,L88,"1M","f",,Trigger)</f>
        <v>44581</v>
      </c>
      <c r="M89" s="544">
        <f>_xll.qlCalendarAdvance(Calendar,L89,"3M","mf",,Trigger)</f>
        <v>44671</v>
      </c>
      <c r="N89" s="546" t="str">
        <f>_xll.qlMakeDatedOIS(,L89,M89,"eonia",,,,,Trigger)</f>
        <v>obj_0074f#0002</v>
      </c>
      <c r="O89" s="545">
        <f>_xll.qlIndexFixing("euribor3m",_xll.qlInterestRateIndexFixingDate("Euribor3M",L89),TRUE)</f>
        <v>1.9424316132451658E-2</v>
      </c>
      <c r="P89" s="545">
        <f>_xll.qlOvernightIndexedSwapFairRate(N89,Trigger)</f>
        <v>1.7412335272126711E-2</v>
      </c>
      <c r="Q89" s="547">
        <f t="shared" si="3"/>
        <v>2.0119808603249467E-3</v>
      </c>
    </row>
    <row r="90" spans="5:17" x14ac:dyDescent="0.2">
      <c r="E90" s="538"/>
      <c r="F90" s="538"/>
      <c r="G90" s="537"/>
      <c r="I90" s="537"/>
      <c r="J90" s="537"/>
      <c r="L90" s="553">
        <f>_xll.qlCalendarAdvance(Calendar,L89,"1M","f",,Trigger)</f>
        <v>44613</v>
      </c>
      <c r="M90" s="544">
        <f>_xll.qlCalendarAdvance(Calendar,L90,"3M","mf",,Trigger)</f>
        <v>44704</v>
      </c>
      <c r="N90" s="546" t="str">
        <f>_xll.qlMakeDatedOIS(,L90,M90,"eonia",,,,,Trigger)</f>
        <v>obj_00751#0002</v>
      </c>
      <c r="O90" s="545">
        <f>_xll.qlIndexFixing("euribor3m",_xll.qlInterestRateIndexFixingDate("Euribor3M",L90),TRUE)</f>
        <v>1.9664186811060243E-2</v>
      </c>
      <c r="P90" s="545">
        <f>_xll.qlOvernightIndexedSwapFairRate(N90,Trigger)</f>
        <v>1.7412755765613679E-2</v>
      </c>
      <c r="Q90" s="547">
        <f t="shared" si="3"/>
        <v>2.2514310454465648E-3</v>
      </c>
    </row>
    <row r="91" spans="5:17" x14ac:dyDescent="0.2">
      <c r="E91" s="538"/>
      <c r="F91" s="538"/>
      <c r="G91" s="537"/>
      <c r="I91" s="537"/>
      <c r="J91" s="537"/>
      <c r="L91" s="553">
        <f>_xll.qlCalendarAdvance(Calendar,L90,"1M","f",,Trigger)</f>
        <v>44641</v>
      </c>
      <c r="M91" s="544">
        <f>_xll.qlCalendarAdvance(Calendar,L91,"3M","mf",,Trigger)</f>
        <v>44733</v>
      </c>
      <c r="N91" s="546" t="str">
        <f>_xll.qlMakeDatedOIS(,L91,M91,"eonia",,,,,Trigger)</f>
        <v>obj_00753#0002</v>
      </c>
      <c r="O91" s="545">
        <f>_xll.qlIndexFixing("euribor3m",_xll.qlInterestRateIndexFixingDate("Euribor3M",L91),TRUE)</f>
        <v>1.9868938150828123E-2</v>
      </c>
      <c r="P91" s="545">
        <f>_xll.qlOvernightIndexedSwapFairRate(N91,Trigger)</f>
        <v>1.7413176272634886E-2</v>
      </c>
      <c r="Q91" s="547">
        <f t="shared" si="3"/>
        <v>2.4557618781932376E-3</v>
      </c>
    </row>
    <row r="92" spans="5:17" x14ac:dyDescent="0.2">
      <c r="E92" s="538"/>
      <c r="F92" s="538"/>
      <c r="G92" s="537"/>
      <c r="I92" s="537"/>
      <c r="J92" s="537"/>
      <c r="L92" s="553">
        <f>_xll.qlCalendarAdvance(Calendar,L91,"1M","f",,Trigger)</f>
        <v>44672</v>
      </c>
      <c r="M92" s="544">
        <f>_xll.qlCalendarAdvance(Calendar,L92,"3M","mf",,Trigger)</f>
        <v>44763</v>
      </c>
      <c r="N92" s="546" t="str">
        <f>_xll.qlMakeDatedOIS(,L92,M92,"eonia",,,,,Trigger)</f>
        <v>obj_00755#0002</v>
      </c>
      <c r="O92" s="545">
        <f>_xll.qlIndexFixing("euribor3m",_xll.qlInterestRateIndexFixingDate("Euribor3M",L92),TRUE)</f>
        <v>2.0081149256088587E-2</v>
      </c>
      <c r="P92" s="545">
        <f>_xll.qlOvernightIndexedSwapFairRate(N92,Trigger)</f>
        <v>1.7412755765613675E-2</v>
      </c>
      <c r="Q92" s="547">
        <f t="shared" si="3"/>
        <v>2.6683934904749122E-3</v>
      </c>
    </row>
    <row r="93" spans="5:17" x14ac:dyDescent="0.2">
      <c r="E93" s="538"/>
      <c r="F93" s="538"/>
      <c r="G93" s="537"/>
      <c r="I93" s="537"/>
      <c r="J93" s="537"/>
      <c r="L93" s="553">
        <f>_xll.qlCalendarAdvance(Calendar,L92,"1M","f",,Trigger)</f>
        <v>44704</v>
      </c>
      <c r="M93" s="544">
        <f>_xll.qlCalendarAdvance(Calendar,L93,"3M","mf",,Trigger)</f>
        <v>44796</v>
      </c>
      <c r="N93" s="546" t="str">
        <f>_xll.qlMakeDatedOIS(,L93,M93,"eonia",,,,,Trigger)</f>
        <v>obj_00757#0002</v>
      </c>
      <c r="O93" s="545">
        <f>_xll.qlIndexFixing("euribor3m",_xll.qlInterestRateIndexFixingDate("Euribor3M",L93),TRUE)</f>
        <v>2.0301636716743059E-2</v>
      </c>
      <c r="P93" s="545">
        <f>_xll.qlOvernightIndexedSwapFairRate(N93,Trigger)</f>
        <v>1.7608316586555688E-2</v>
      </c>
      <c r="Q93" s="547">
        <f t="shared" si="3"/>
        <v>2.6933201301873703E-3</v>
      </c>
    </row>
    <row r="94" spans="5:17" x14ac:dyDescent="0.2">
      <c r="E94" s="538"/>
      <c r="F94" s="538"/>
      <c r="G94" s="537"/>
      <c r="I94" s="537"/>
      <c r="J94" s="537"/>
      <c r="L94" s="553">
        <f>_xll.qlCalendarAdvance(Calendar,L93,"1M","f",,Trigger)</f>
        <v>44735</v>
      </c>
      <c r="M94" s="544">
        <f>_xll.qlCalendarAdvance(Calendar,L94,"3M","mf",,Trigger)</f>
        <v>44827</v>
      </c>
      <c r="N94" s="546" t="str">
        <f>_xll.qlMakeDatedOIS(,L94,M94,"eonia",,,,,Trigger)</f>
        <v>obj_00759#0002</v>
      </c>
      <c r="O94" s="545">
        <f>_xll.qlIndexFixing("euribor3m",_xll.qlInterestRateIndexFixingDate("Euribor3M",L94),TRUE)</f>
        <v>2.050497509120559E-2</v>
      </c>
      <c r="P94" s="545">
        <f>_xll.qlOvernightIndexedSwapFairRate(N94,Trigger)</f>
        <v>1.8364576817089348E-2</v>
      </c>
      <c r="Q94" s="547">
        <f t="shared" si="3"/>
        <v>2.1403982741162418E-3</v>
      </c>
    </row>
    <row r="95" spans="5:17" x14ac:dyDescent="0.2">
      <c r="E95" s="538"/>
      <c r="F95" s="538"/>
      <c r="G95" s="537"/>
      <c r="I95" s="537"/>
      <c r="J95" s="537"/>
      <c r="L95" s="553">
        <f>_xll.qlCalendarAdvance(Calendar,L94,"1M","f",,Trigger)</f>
        <v>44767</v>
      </c>
      <c r="M95" s="544">
        <f>_xll.qlCalendarAdvance(Calendar,L95,"3M","mf",,Trigger)</f>
        <v>44859</v>
      </c>
      <c r="N95" s="546" t="str">
        <f>_xll.qlMakeDatedOIS(,L95,M95,"eonia",,,,,Trigger)</f>
        <v>obj_0075b#0002</v>
      </c>
      <c r="O95" s="545">
        <f>_xll.qlIndexFixing("euribor3m",_xll.qlInterestRateIndexFixingDate("Euribor3M",L95),TRUE)</f>
        <v>2.0708064231759821E-2</v>
      </c>
      <c r="P95" s="545">
        <f>_xll.qlOvernightIndexedSwapFairRate(N95,Trigger)</f>
        <v>1.914538516052804E-2</v>
      </c>
      <c r="Q95" s="547">
        <f t="shared" si="3"/>
        <v>1.5626790712317817E-3</v>
      </c>
    </row>
    <row r="96" spans="5:17" x14ac:dyDescent="0.2">
      <c r="E96" s="538"/>
      <c r="F96" s="538"/>
      <c r="G96" s="537"/>
      <c r="I96" s="537"/>
      <c r="J96" s="537"/>
      <c r="L96" s="553">
        <f>_xll.qlCalendarAdvance(Calendar,L95,"1M","f",,Trigger)</f>
        <v>44798</v>
      </c>
      <c r="M96" s="544">
        <f>_xll.qlCalendarAdvance(Calendar,L96,"3M","mf",,Trigger)</f>
        <v>44890</v>
      </c>
      <c r="N96" s="546" t="str">
        <f>_xll.qlMakeDatedOIS(,L96,M96,"eonia",,,,,Trigger)</f>
        <v>obj_0075d#0002</v>
      </c>
      <c r="O96" s="545">
        <f>_xll.qlIndexFixing("euribor3m",_xll.qlInterestRateIndexFixingDate("Euribor3M",L96),TRUE)</f>
        <v>2.0898042075437162E-2</v>
      </c>
      <c r="P96" s="545">
        <f>_xll.qlOvernightIndexedSwapFairRate(N96,Trigger)</f>
        <v>1.9657874910393485E-2</v>
      </c>
      <c r="Q96" s="547">
        <f t="shared" si="3"/>
        <v>1.240167165043677E-3</v>
      </c>
    </row>
    <row r="97" spans="5:17" x14ac:dyDescent="0.2">
      <c r="E97" s="538"/>
      <c r="F97" s="538"/>
      <c r="G97" s="537"/>
      <c r="I97" s="537"/>
      <c r="J97" s="537"/>
      <c r="L97" s="553">
        <f>_xll.qlCalendarAdvance(Calendar,L96,"1M","f",,Trigger)</f>
        <v>44830</v>
      </c>
      <c r="M97" s="544">
        <f>_xll.qlCalendarAdvance(Calendar,L97,"3M","mf",,Trigger)</f>
        <v>44922</v>
      </c>
      <c r="N97" s="546" t="str">
        <f>_xll.qlMakeDatedOIS(,L97,M97,"eonia",,,,,Trigger)</f>
        <v>obj_0075f#0002</v>
      </c>
      <c r="O97" s="545">
        <f>_xll.qlIndexFixing("euribor3m",_xll.qlInterestRateIndexFixingDate("Euribor3M",L97),TRUE)</f>
        <v>2.1087053350918584E-2</v>
      </c>
      <c r="P97" s="545">
        <f>_xll.qlOvernightIndexedSwapFairRate(N97,Trigger)</f>
        <v>1.9657874910393485E-2</v>
      </c>
      <c r="Q97" s="547">
        <f t="shared" si="3"/>
        <v>1.4291784405250987E-3</v>
      </c>
    </row>
    <row r="98" spans="5:17" x14ac:dyDescent="0.2">
      <c r="E98" s="538"/>
      <c r="F98" s="538"/>
      <c r="G98" s="537"/>
      <c r="I98" s="537"/>
      <c r="J98" s="537"/>
      <c r="L98" s="553">
        <f>_xll.qlCalendarAdvance(Calendar,L97,"1M","f",,Trigger)</f>
        <v>44860</v>
      </c>
      <c r="M98" s="544">
        <f>_xll.qlCalendarAdvance(Calendar,L98,"3M","mf",,Trigger)</f>
        <v>44952</v>
      </c>
      <c r="N98" s="546" t="str">
        <f>_xll.qlMakeDatedOIS(,L98,M98,"eonia",,,,,Trigger)</f>
        <v>obj_00761#0002</v>
      </c>
      <c r="O98" s="545">
        <f>_xll.qlIndexFixing("euribor3m",_xll.qlInterestRateIndexFixingDate("Euribor3M",L98),TRUE)</f>
        <v>2.1257696513994149E-2</v>
      </c>
      <c r="P98" s="545">
        <f>_xll.qlOvernightIndexedSwapFairRate(N98,Trigger)</f>
        <v>1.9657874910393485E-2</v>
      </c>
      <c r="Q98" s="547">
        <f t="shared" si="3"/>
        <v>1.5998216036006638E-3</v>
      </c>
    </row>
    <row r="99" spans="5:17" x14ac:dyDescent="0.2">
      <c r="E99" s="538"/>
      <c r="F99" s="538"/>
      <c r="G99" s="537"/>
      <c r="I99" s="537"/>
      <c r="J99" s="537"/>
      <c r="L99" s="553">
        <f>_xll.qlCalendarAdvance(Calendar,L98,"1M","f",,Trigger)</f>
        <v>44893</v>
      </c>
      <c r="M99" s="544">
        <f>_xll.qlCalendarAdvance(Calendar,L99,"3M","mf",,Trigger)</f>
        <v>44985</v>
      </c>
      <c r="N99" s="546" t="str">
        <f>_xll.qlMakeDatedOIS(,L99,M99,"eonia",,,,,Trigger)</f>
        <v>obj_00763#0002</v>
      </c>
      <c r="O99" s="545">
        <f>_xll.qlIndexFixing("euribor3m",_xll.qlInterestRateIndexFixingDate("Euribor3M",L99),TRUE)</f>
        <v>2.1438076291296761E-2</v>
      </c>
      <c r="P99" s="545">
        <f>_xll.qlOvernightIndexedSwapFairRate(N99,Trigger)</f>
        <v>1.9657874910393485E-2</v>
      </c>
      <c r="Q99" s="547">
        <f t="shared" si="3"/>
        <v>1.7802013809032763E-3</v>
      </c>
    </row>
    <row r="100" spans="5:17" x14ac:dyDescent="0.2">
      <c r="E100" s="538"/>
      <c r="F100" s="538"/>
      <c r="G100" s="537"/>
      <c r="I100" s="537"/>
      <c r="J100" s="537"/>
      <c r="L100" s="553">
        <f>_xll.qlCalendarAdvance(Calendar,L99,"1M","f",,Trigger)</f>
        <v>44923</v>
      </c>
      <c r="M100" s="544">
        <f>_xll.qlCalendarAdvance(Calendar,L100,"3M","mf",,Trigger)</f>
        <v>45013</v>
      </c>
      <c r="N100" s="546" t="str">
        <f>_xll.qlMakeDatedOIS(,L100,M100,"eonia",,,,,Trigger)</f>
        <v>obj_00765#0002</v>
      </c>
      <c r="O100" s="545">
        <f>_xll.qlIndexFixing("euribor3m",_xll.qlInterestRateIndexFixingDate("Euribor3M",L100),TRUE)</f>
        <v>2.1589068386120402E-2</v>
      </c>
      <c r="P100" s="545">
        <f>_xll.qlOvernightIndexedSwapFairRate(N100,Trigger)</f>
        <v>1.9656803319980654E-2</v>
      </c>
      <c r="Q100" s="547">
        <f t="shared" si="3"/>
        <v>1.9322650661397489E-3</v>
      </c>
    </row>
    <row r="101" spans="5:17" x14ac:dyDescent="0.2">
      <c r="E101" s="538"/>
      <c r="F101" s="538"/>
      <c r="G101" s="537"/>
      <c r="I101" s="537"/>
      <c r="J101" s="537"/>
      <c r="L101" s="553">
        <f>_xll.qlCalendarAdvance(Calendar,L100,"1M","f",,Trigger)</f>
        <v>44956</v>
      </c>
      <c r="M101" s="544">
        <f>_xll.qlCalendarAdvance(Calendar,L101,"3M","mf",,Trigger)</f>
        <v>45044</v>
      </c>
      <c r="N101" s="546" t="str">
        <f>_xll.qlMakeDatedOIS(,L101,M101,"eonia",,,,,Trigger)</f>
        <v>obj_00767#0002</v>
      </c>
      <c r="O101" s="545">
        <f>_xll.qlIndexFixing("euribor3m",_xll.qlInterestRateIndexFixingDate("Euribor3M",L101),TRUE)</f>
        <v>2.1748880229169272E-2</v>
      </c>
      <c r="P101" s="545">
        <f>_xll.qlOvernightIndexedSwapFairRate(N101,Trigger)</f>
        <v>1.9655731807420258E-2</v>
      </c>
      <c r="Q101" s="547">
        <f t="shared" si="3"/>
        <v>2.0931484217490137E-3</v>
      </c>
    </row>
    <row r="102" spans="5:17" x14ac:dyDescent="0.2">
      <c r="E102" s="538"/>
      <c r="F102" s="538"/>
      <c r="G102" s="537"/>
      <c r="I102" s="537"/>
      <c r="J102" s="537"/>
      <c r="L102" s="553">
        <f>_xll.qlCalendarAdvance(Calendar,L101,"1M","f",,Trigger)</f>
        <v>44985</v>
      </c>
      <c r="M102" s="544">
        <f>_xll.qlCalendarAdvance(Calendar,L102,"3M","mf",,Trigger)</f>
        <v>45075</v>
      </c>
      <c r="N102" s="546" t="str">
        <f>_xll.qlMakeDatedOIS(,L102,M102,"eonia",,,,,Trigger)</f>
        <v>obj_00769#0002</v>
      </c>
      <c r="O102" s="545">
        <f>_xll.qlIndexFixing("euribor3m",_xll.qlInterestRateIndexFixingDate("Euribor3M",L102),TRUE)</f>
        <v>2.1900411460817702E-2</v>
      </c>
      <c r="P102" s="545">
        <f>_xll.qlOvernightIndexedSwapFairRate(N102,Trigger)</f>
        <v>1.9656803319980654E-2</v>
      </c>
      <c r="Q102" s="547">
        <f t="shared" si="3"/>
        <v>2.243608140837048E-3</v>
      </c>
    </row>
    <row r="103" spans="5:17" x14ac:dyDescent="0.2">
      <c r="E103" s="538"/>
      <c r="F103" s="538"/>
      <c r="G103" s="537"/>
      <c r="I103" s="537"/>
      <c r="J103" s="537"/>
      <c r="L103" s="553">
        <f>_xll.qlCalendarAdvance(Calendar,L102,"1M","f",,Trigger)</f>
        <v>45013</v>
      </c>
      <c r="M103" s="544">
        <f>_xll.qlCalendarAdvance(Calendar,L103,"3M","mf",,Trigger)</f>
        <v>45105</v>
      </c>
      <c r="N103" s="546" t="str">
        <f>_xll.qlMakeDatedOIS(,L103,M103,"eonia",,,,,Trigger)</f>
        <v>obj_0076b#0002</v>
      </c>
      <c r="O103" s="545">
        <f>_xll.qlIndexFixing("euribor3m",_xll.qlInterestRateIndexFixingDate("Euribor3M",L103),TRUE)</f>
        <v>2.2029274592124237E-2</v>
      </c>
      <c r="P103" s="545">
        <f>_xll.qlOvernightIndexedSwapFairRate(N103,Trigger)</f>
        <v>1.9657874910393489E-2</v>
      </c>
      <c r="Q103" s="547">
        <f t="shared" si="3"/>
        <v>2.371399681730748E-3</v>
      </c>
    </row>
    <row r="104" spans="5:17" x14ac:dyDescent="0.2">
      <c r="E104" s="538"/>
      <c r="F104" s="538"/>
      <c r="G104" s="537"/>
      <c r="I104" s="537"/>
      <c r="J104" s="537"/>
      <c r="L104" s="553">
        <f>_xll.qlCalendarAdvance(Calendar,L103,"1M","f",,Trigger)</f>
        <v>45044</v>
      </c>
      <c r="M104" s="544">
        <f>_xll.qlCalendarAdvance(Calendar,L104,"3M","mf",,Trigger)</f>
        <v>45135</v>
      </c>
      <c r="N104" s="546" t="str">
        <f>_xll.qlMakeDatedOIS(,L104,M104,"eonia",,,,,Trigger)</f>
        <v>obj_0076d#0002</v>
      </c>
      <c r="O104" s="545">
        <f>_xll.qlIndexFixing("euribor3m",_xll.qlInterestRateIndexFixingDate("Euribor3M",L104),TRUE)</f>
        <v>2.2171028803753757E-2</v>
      </c>
      <c r="P104" s="545">
        <f>_xll.qlOvernightIndexedSwapFairRate(N104,Trigger)</f>
        <v>1.9657339105455054E-2</v>
      </c>
      <c r="Q104" s="547">
        <f t="shared" si="3"/>
        <v>2.5136896982987031E-3</v>
      </c>
    </row>
    <row r="105" spans="5:17" x14ac:dyDescent="0.2">
      <c r="E105" s="538"/>
      <c r="F105" s="538"/>
      <c r="G105" s="537"/>
      <c r="I105" s="537"/>
      <c r="J105" s="537"/>
      <c r="L105" s="553">
        <f>_xll.qlCalendarAdvance(Calendar,L104,"1M","f",,Trigger)</f>
        <v>45075</v>
      </c>
      <c r="M105" s="544">
        <f>_xll.qlCalendarAdvance(Calendar,L105,"3M","mf",,Trigger)</f>
        <v>45167</v>
      </c>
      <c r="N105" s="546" t="str">
        <f>_xll.qlMakeDatedOIS(,L105,M105,"eonia",,,,,Trigger)</f>
        <v>obj_0076f#0002</v>
      </c>
      <c r="O105" s="545">
        <f>_xll.qlIndexFixing("euribor3m",_xll.qlInterestRateIndexFixingDate("Euribor3M",L105),TRUE)</f>
        <v>2.2294970748146022E-2</v>
      </c>
      <c r="P105" s="545">
        <f>_xll.qlOvernightIndexedSwapFairRate(N105,Trigger)</f>
        <v>1.9929804097025175E-2</v>
      </c>
      <c r="Q105" s="547">
        <f t="shared" si="3"/>
        <v>2.3651666511208466E-3</v>
      </c>
    </row>
    <row r="106" spans="5:17" x14ac:dyDescent="0.2">
      <c r="E106" s="538"/>
      <c r="F106" s="538"/>
      <c r="G106" s="537"/>
      <c r="I106" s="537"/>
      <c r="J106" s="537"/>
      <c r="L106" s="553">
        <f>_xll.qlCalendarAdvance(Calendar,L105,"1M","f",,Trigger)</f>
        <v>45106</v>
      </c>
      <c r="M106" s="544">
        <f>_xll.qlCalendarAdvance(Calendar,L106,"3M","mf",,Trigger)</f>
        <v>45198</v>
      </c>
      <c r="N106" s="546" t="str">
        <f>_xll.qlMakeDatedOIS(,L106,M106,"eonia",,,,,Trigger)</f>
        <v>obj_00771#0002</v>
      </c>
      <c r="O106" s="545">
        <f>_xll.qlIndexFixing("euribor3m",_xll.qlInterestRateIndexFixingDate("Euribor3M",L106),TRUE)</f>
        <v>2.2418792386667576E-2</v>
      </c>
      <c r="P106" s="545">
        <f>_xll.qlOvernightIndexedSwapFairRate(N106,Trigger)</f>
        <v>2.0531999924895596E-2</v>
      </c>
      <c r="Q106" s="547">
        <f t="shared" si="3"/>
        <v>1.88679246177198E-3</v>
      </c>
    </row>
    <row r="107" spans="5:17" x14ac:dyDescent="0.2">
      <c r="E107" s="538"/>
      <c r="F107" s="538"/>
      <c r="G107" s="537"/>
      <c r="I107" s="537"/>
      <c r="J107" s="537"/>
      <c r="L107" s="553">
        <f>_xll.qlCalendarAdvance(Calendar,L106,"1M","f",,Trigger)</f>
        <v>45138</v>
      </c>
      <c r="M107" s="544">
        <f>_xll.qlCalendarAdvance(Calendar,L107,"3M","mf",,Trigger)</f>
        <v>45230</v>
      </c>
      <c r="N107" s="546" t="str">
        <f>_xll.qlMakeDatedOIS(,L107,M107,"eonia",,,,,Trigger)</f>
        <v>obj_00773#0002</v>
      </c>
      <c r="O107" s="545">
        <f>_xll.qlIndexFixing("euribor3m",_xll.qlInterestRateIndexFixingDate("Euribor3M",L107),TRUE)</f>
        <v>2.2543097414331761E-2</v>
      </c>
      <c r="P107" s="545">
        <f>_xll.qlOvernightIndexedSwapFairRate(N107,Trigger)</f>
        <v>2.1153718139300334E-2</v>
      </c>
      <c r="Q107" s="547">
        <f t="shared" si="3"/>
        <v>1.3893792750314278E-3</v>
      </c>
    </row>
    <row r="108" spans="5:17" x14ac:dyDescent="0.2">
      <c r="E108" s="538"/>
      <c r="F108" s="538"/>
      <c r="G108" s="537"/>
      <c r="I108" s="537"/>
      <c r="J108" s="537"/>
      <c r="L108" s="553">
        <f>_xll.qlCalendarAdvance(Calendar,L107,"1M","f",,Trigger)</f>
        <v>45169</v>
      </c>
      <c r="M108" s="544">
        <f>_xll.qlCalendarAdvance(Calendar,L108,"3M","mf",,Trigger)</f>
        <v>45260</v>
      </c>
      <c r="N108" s="546" t="str">
        <f>_xll.qlMakeDatedOIS(,L108,M108,"eonia",,,,,Trigger)</f>
        <v>obj_00775#0002</v>
      </c>
      <c r="O108" s="545">
        <f>_xll.qlIndexFixing("euribor3m",_xll.qlInterestRateIndexFixingDate("Euribor3M",L108),TRUE)</f>
        <v>2.2659834414202704E-2</v>
      </c>
      <c r="P108" s="545">
        <f>_xll.qlOvernightIndexedSwapFairRate(N108,Trigger)</f>
        <v>2.1444544810073164E-2</v>
      </c>
      <c r="Q108" s="547">
        <f t="shared" si="3"/>
        <v>1.2152896041295394E-3</v>
      </c>
    </row>
    <row r="109" spans="5:17" x14ac:dyDescent="0.2">
      <c r="E109" s="538"/>
      <c r="F109" s="538"/>
      <c r="G109" s="537"/>
      <c r="I109" s="537"/>
      <c r="J109" s="537"/>
      <c r="L109" s="553">
        <f>_xll.qlCalendarAdvance(Calendar,L108,"1M","f",,Trigger)</f>
        <v>45201</v>
      </c>
      <c r="M109" s="544">
        <f>_xll.qlCalendarAdvance(Calendar,L109,"3M","mf",,Trigger)</f>
        <v>45293</v>
      </c>
      <c r="N109" s="546" t="str">
        <f>_xll.qlMakeDatedOIS(,L109,M109,"eonia",,,,,Trigger)</f>
        <v>obj_00777#0002</v>
      </c>
      <c r="O109" s="545">
        <f>_xll.qlIndexFixing("euribor3m",_xll.qlInterestRateIndexFixingDate("Euribor3M",L109),TRUE)</f>
        <v>2.2785851180503906E-2</v>
      </c>
      <c r="P109" s="545">
        <f>_xll.qlOvernightIndexedSwapFairRate(N109,Trigger)</f>
        <v>2.1445182377995833E-2</v>
      </c>
      <c r="Q109" s="547">
        <f t="shared" si="3"/>
        <v>1.3406688025080736E-3</v>
      </c>
    </row>
    <row r="110" spans="5:17" x14ac:dyDescent="0.2">
      <c r="E110" s="538"/>
      <c r="F110" s="538"/>
      <c r="G110" s="537"/>
      <c r="I110" s="537"/>
      <c r="J110" s="537"/>
      <c r="L110" s="553">
        <f>_xll.qlCalendarAdvance(Calendar,L109,"1M","f",,Trigger)</f>
        <v>45232</v>
      </c>
      <c r="M110" s="544">
        <f>_xll.qlCalendarAdvance(Calendar,L110,"3M","mf",,Trigger)</f>
        <v>45324</v>
      </c>
      <c r="N110" s="546" t="str">
        <f>_xll.qlMakeDatedOIS(,L110,M110,"eonia",,,,,Trigger)</f>
        <v>obj_00779#0002</v>
      </c>
      <c r="O110" s="545">
        <f>_xll.qlIndexFixing("euribor3m",_xll.qlInterestRateIndexFixingDate("Euribor3M",L110),TRUE)</f>
        <v>2.2905562619318788E-2</v>
      </c>
      <c r="P110" s="545">
        <f>_xll.qlOvernightIndexedSwapFairRate(N110,Trigger)</f>
        <v>2.1445182377995833E-2</v>
      </c>
      <c r="Q110" s="547">
        <f t="shared" si="3"/>
        <v>1.4603802413229554E-3</v>
      </c>
    </row>
    <row r="111" spans="5:17" x14ac:dyDescent="0.2">
      <c r="E111" s="538"/>
      <c r="F111" s="538"/>
      <c r="G111" s="537"/>
      <c r="I111" s="537"/>
      <c r="J111" s="537"/>
      <c r="L111" s="553">
        <f>_xll.qlCalendarAdvance(Calendar,L110,"1M","f",,Trigger)</f>
        <v>45264</v>
      </c>
      <c r="M111" s="544">
        <f>_xll.qlCalendarAdvance(Calendar,L111,"3M","mf",,Trigger)</f>
        <v>45355</v>
      </c>
      <c r="N111" s="546" t="str">
        <f>_xll.qlMakeDatedOIS(,L111,M111,"eonia",,,,,Trigger)</f>
        <v>obj_0077b#0002</v>
      </c>
      <c r="O111" s="545">
        <f>_xll.qlIndexFixing("euribor3m",_xll.qlInterestRateIndexFixingDate("Euribor3M",L111),TRUE)</f>
        <v>2.3026659630699546E-2</v>
      </c>
      <c r="P111" s="545">
        <f>_xll.qlOvernightIndexedSwapFairRate(N111,Trigger)</f>
        <v>2.1444544810073157E-2</v>
      </c>
      <c r="Q111" s="547">
        <f t="shared" si="3"/>
        <v>1.5821148206263888E-3</v>
      </c>
    </row>
    <row r="112" spans="5:17" x14ac:dyDescent="0.2">
      <c r="E112" s="538"/>
      <c r="F112" s="538"/>
      <c r="G112" s="537"/>
      <c r="I112" s="537"/>
      <c r="J112" s="537"/>
      <c r="L112" s="553">
        <f>_xll.qlCalendarAdvance(Calendar,L111,"1M","f",,Trigger)</f>
        <v>45295</v>
      </c>
      <c r="M112" s="544">
        <f>_xll.qlCalendarAdvance(Calendar,L112,"3M","mf",,Trigger)</f>
        <v>45386</v>
      </c>
      <c r="N112" s="546" t="str">
        <f>_xll.qlMakeDatedOIS(,L112,M112,"eonia",,,,,Trigger)</f>
        <v>obj_0077d#0002</v>
      </c>
      <c r="O112" s="545">
        <f>_xll.qlIndexFixing("euribor3m",_xll.qlInterestRateIndexFixingDate("Euribor3M",L112),TRUE)</f>
        <v>2.3146739762876567E-2</v>
      </c>
      <c r="P112" s="545">
        <f>_xll.qlOvernightIndexedSwapFairRate(N112,Trigger)</f>
        <v>2.1444544810073161E-2</v>
      </c>
      <c r="Q112" s="547">
        <f t="shared" si="3"/>
        <v>1.7021949528034062E-3</v>
      </c>
    </row>
    <row r="113" spans="5:17" x14ac:dyDescent="0.2">
      <c r="E113" s="538"/>
      <c r="F113" s="538"/>
      <c r="G113" s="537"/>
      <c r="I113" s="537"/>
      <c r="J113" s="537"/>
      <c r="L113" s="553">
        <f>_xll.qlCalendarAdvance(Calendar,L112,"1M","f",,Trigger)</f>
        <v>45327</v>
      </c>
      <c r="M113" s="544">
        <f>_xll.qlCalendarAdvance(Calendar,L113,"3M","mf",,Trigger)</f>
        <v>45418</v>
      </c>
      <c r="N113" s="546" t="str">
        <f>_xll.qlMakeDatedOIS(,L113,M113,"eonia",,,,,Trigger)</f>
        <v>obj_0077f#0002</v>
      </c>
      <c r="O113" s="545">
        <f>_xll.qlIndexFixing("euribor3m",_xll.qlInterestRateIndexFixingDate("Euribor3M",L113),TRUE)</f>
        <v>2.3270889230722899E-2</v>
      </c>
      <c r="P113" s="545">
        <f>_xll.qlOvernightIndexedSwapFairRate(N113,Trigger)</f>
        <v>2.1444544810073161E-2</v>
      </c>
      <c r="Q113" s="547">
        <f t="shared" si="3"/>
        <v>1.8263444206497378E-3</v>
      </c>
    </row>
    <row r="114" spans="5:17" x14ac:dyDescent="0.2">
      <c r="E114" s="538"/>
      <c r="F114" s="538"/>
      <c r="G114" s="537"/>
      <c r="I114" s="537"/>
      <c r="J114" s="537"/>
      <c r="L114" s="553">
        <f>_xll.qlCalendarAdvance(Calendar,L113,"1M","f",,Trigger)</f>
        <v>45356</v>
      </c>
      <c r="M114" s="544">
        <f>_xll.qlCalendarAdvance(Calendar,L114,"3M","mf",,Trigger)</f>
        <v>45448</v>
      </c>
      <c r="N114" s="546" t="str">
        <f>_xll.qlMakeDatedOIS(,L114,M114,"eonia",,,,,Trigger)</f>
        <v>obj_00781#0002</v>
      </c>
      <c r="O114" s="545">
        <f>_xll.qlIndexFixing("euribor3m",_xll.qlInterestRateIndexFixingDate("Euribor3M",L114),TRUE)</f>
        <v>2.3386275262533854E-2</v>
      </c>
      <c r="P114" s="545">
        <f>_xll.qlOvernightIndexedSwapFairRate(N114,Trigger)</f>
        <v>2.1445182377995829E-2</v>
      </c>
      <c r="Q114" s="547">
        <f t="shared" si="3"/>
        <v>1.9410928845380246E-3</v>
      </c>
    </row>
    <row r="115" spans="5:17" x14ac:dyDescent="0.2">
      <c r="E115" s="538"/>
      <c r="F115" s="538"/>
      <c r="G115" s="537"/>
      <c r="I115" s="537"/>
      <c r="J115" s="537"/>
      <c r="L115" s="553">
        <f>_xll.qlCalendarAdvance(Calendar,L114,"1M","f",,Trigger)</f>
        <v>45387</v>
      </c>
      <c r="M115" s="544">
        <f>_xll.qlCalendarAdvance(Calendar,L115,"3M","mf",,Trigger)</f>
        <v>45478</v>
      </c>
      <c r="N115" s="546" t="str">
        <f>_xll.qlMakeDatedOIS(,L115,M115,"eonia",,,,,Trigger)</f>
        <v>obj_00783#0002</v>
      </c>
      <c r="O115" s="545">
        <f>_xll.qlIndexFixing("euribor3m",_xll.qlInterestRateIndexFixingDate("Euribor3M",L115),TRUE)</f>
        <v>2.3504205618963204E-2</v>
      </c>
      <c r="P115" s="545">
        <f>_xll.qlOvernightIndexedSwapFairRate(N115,Trigger)</f>
        <v>2.1444544810073161E-2</v>
      </c>
      <c r="Q115" s="547">
        <f t="shared" si="3"/>
        <v>2.0596608088900431E-3</v>
      </c>
    </row>
    <row r="116" spans="5:17" x14ac:dyDescent="0.2">
      <c r="E116" s="538"/>
      <c r="F116" s="538"/>
      <c r="G116" s="537"/>
      <c r="I116" s="537"/>
      <c r="J116" s="537"/>
      <c r="L116" s="553">
        <f>_xll.qlCalendarAdvance(Calendar,L115,"1M","f",,Trigger)</f>
        <v>45418</v>
      </c>
      <c r="M116" s="544">
        <f>_xll.qlCalendarAdvance(Calendar,L116,"3M","mf",,Trigger)</f>
        <v>45510</v>
      </c>
      <c r="N116" s="546" t="str">
        <f>_xll.qlMakeDatedOIS(,L116,M116,"eonia",,,,,Trigger)</f>
        <v>obj_00785#0002</v>
      </c>
      <c r="O116" s="545">
        <f>_xll.qlIndexFixing("euribor3m",_xll.qlInterestRateIndexFixingDate("Euribor3M",L116),TRUE)</f>
        <v>2.3627751953289276E-2</v>
      </c>
      <c r="P116" s="545">
        <f>_xll.qlOvernightIndexedSwapFairRate(N116,Trigger)</f>
        <v>2.1445182377995829E-2</v>
      </c>
      <c r="Q116" s="547">
        <f t="shared" si="3"/>
        <v>2.1825695752934471E-3</v>
      </c>
    </row>
    <row r="117" spans="5:17" x14ac:dyDescent="0.2">
      <c r="E117" s="538"/>
      <c r="F117" s="538"/>
      <c r="G117" s="537"/>
      <c r="I117" s="537"/>
      <c r="J117" s="537"/>
      <c r="L117" s="553">
        <f>_xll.qlCalendarAdvance(Calendar,L116,"1M","f",,Trigger)</f>
        <v>45449</v>
      </c>
      <c r="M117" s="544">
        <f>_xll.qlCalendarAdvance(Calendar,L117,"3M","mf",,Trigger)</f>
        <v>45541</v>
      </c>
      <c r="N117" s="546" t="str">
        <f>_xll.qlMakeDatedOIS(,L117,M117,"eonia",,,,,Trigger)</f>
        <v>obj_00787#0002</v>
      </c>
      <c r="O117" s="545">
        <f>_xll.qlIndexFixing("euribor3m",_xll.qlInterestRateIndexFixingDate("Euribor3M",L117),TRUE)</f>
        <v>2.3748697662693372E-2</v>
      </c>
      <c r="P117" s="545">
        <f>_xll.qlOvernightIndexedSwapFairRate(N117,Trigger)</f>
        <v>2.1783521961816817E-2</v>
      </c>
      <c r="Q117" s="547">
        <f t="shared" si="3"/>
        <v>1.9651757008765543E-3</v>
      </c>
    </row>
    <row r="118" spans="5:17" x14ac:dyDescent="0.2">
      <c r="E118" s="538"/>
      <c r="F118" s="538"/>
      <c r="G118" s="537"/>
      <c r="I118" s="537"/>
      <c r="J118" s="537"/>
      <c r="L118" s="553">
        <f>_xll.qlCalendarAdvance(Calendar,L117,"1M","f",,Trigger)</f>
        <v>45481</v>
      </c>
      <c r="M118" s="544">
        <f>_xll.qlCalendarAdvance(Calendar,L118,"3M","mf",,Trigger)</f>
        <v>45573</v>
      </c>
      <c r="N118" s="546" t="str">
        <f>_xll.qlMakeDatedOIS(,L118,M118,"eonia",,,,,Trigger)</f>
        <v>obj_00789#0002</v>
      </c>
      <c r="O118" s="545">
        <f>_xll.qlIndexFixing("euribor3m",_xll.qlInterestRateIndexFixingDate("Euribor3M",L118),TRUE)</f>
        <v>2.3872812270019798E-2</v>
      </c>
      <c r="P118" s="545">
        <f>_xll.qlOvernightIndexedSwapFairRate(N118,Trigger)</f>
        <v>2.2275704204290057E-2</v>
      </c>
      <c r="Q118" s="547">
        <f t="shared" si="3"/>
        <v>1.597108065729741E-3</v>
      </c>
    </row>
    <row r="119" spans="5:17" x14ac:dyDescent="0.2">
      <c r="E119" s="538"/>
      <c r="F119" s="538"/>
      <c r="G119" s="537"/>
      <c r="I119" s="537"/>
      <c r="J119" s="537"/>
      <c r="L119" s="553">
        <f>_xll.qlCalendarAdvance(Calendar,L118,"1M","f",,Trigger)</f>
        <v>45512</v>
      </c>
      <c r="M119" s="544">
        <f>_xll.qlCalendarAdvance(Calendar,L119,"3M","mf",,Trigger)</f>
        <v>45604</v>
      </c>
      <c r="N119" s="546" t="str">
        <f>_xll.qlMakeDatedOIS(,L119,M119,"eonia",,,,,Trigger)</f>
        <v>obj_0078b#0002</v>
      </c>
      <c r="O119" s="545">
        <f>_xll.qlIndexFixing("euribor3m",_xll.qlInterestRateIndexFixingDate("Euribor3M",L119),TRUE)</f>
        <v>2.3991088523664845E-2</v>
      </c>
      <c r="P119" s="545">
        <f>_xll.qlOvernightIndexedSwapFairRate(N119,Trigger)</f>
        <v>2.2752564459778912E-2</v>
      </c>
      <c r="Q119" s="547">
        <f t="shared" si="3"/>
        <v>1.2385240638859325E-3</v>
      </c>
    </row>
    <row r="120" spans="5:17" x14ac:dyDescent="0.2">
      <c r="E120" s="538"/>
      <c r="F120" s="538"/>
      <c r="G120" s="537"/>
      <c r="I120" s="537"/>
      <c r="J120" s="537"/>
      <c r="L120" s="553">
        <f>_xll.qlCalendarAdvance(Calendar,L119,"1M","f",,Trigger)</f>
        <v>45544</v>
      </c>
      <c r="M120" s="544">
        <f>_xll.qlCalendarAdvance(Calendar,L120,"3M","mf",,Trigger)</f>
        <v>45635</v>
      </c>
      <c r="N120" s="546" t="str">
        <f>_xll.qlMakeDatedOIS(,L120,M120,"eonia",,,,,Trigger)</f>
        <v>obj_0078d#0002</v>
      </c>
      <c r="O120" s="545">
        <f>_xll.qlIndexFixing("euribor3m",_xll.qlInterestRateIndexFixingDate("Euribor3M",L120),TRUE)</f>
        <v>2.4107347109602235E-2</v>
      </c>
      <c r="P120" s="545">
        <f>_xll.qlOvernightIndexedSwapFairRate(N120,Trigger)</f>
        <v>2.2859526182500117E-2</v>
      </c>
      <c r="Q120" s="547">
        <f t="shared" si="3"/>
        <v>1.2478209271021175E-3</v>
      </c>
    </row>
    <row r="121" spans="5:17" x14ac:dyDescent="0.2">
      <c r="E121" s="538"/>
      <c r="F121" s="538"/>
      <c r="G121" s="537"/>
      <c r="I121" s="537"/>
      <c r="J121" s="537"/>
      <c r="L121" s="553">
        <f>_xll.qlCalendarAdvance(Calendar,L120,"1M","f",,Trigger)</f>
        <v>45574</v>
      </c>
      <c r="M121" s="544">
        <f>_xll.qlCalendarAdvance(Calendar,L121,"3M","mf",,Trigger)</f>
        <v>45666</v>
      </c>
      <c r="N121" s="546" t="str">
        <f>_xll.qlMakeDatedOIS(,L121,M121,"eonia",,,,,Trigger)</f>
        <v>obj_0078f#0002</v>
      </c>
      <c r="O121" s="545">
        <f>_xll.qlIndexFixing("euribor3m",_xll.qlInterestRateIndexFixingDate("Euribor3M",L121),TRUE)</f>
        <v>2.4218064290587257E-2</v>
      </c>
      <c r="P121" s="545">
        <f>_xll.qlOvernightIndexedSwapFairRate(N121,Trigger)</f>
        <v>2.2860250578798199E-2</v>
      </c>
      <c r="Q121" s="547">
        <f t="shared" si="3"/>
        <v>1.3578137117890576E-3</v>
      </c>
    </row>
    <row r="122" spans="5:17" x14ac:dyDescent="0.2">
      <c r="E122" s="538"/>
      <c r="F122" s="538"/>
      <c r="G122" s="537"/>
      <c r="I122" s="537"/>
      <c r="J122" s="537"/>
      <c r="L122" s="553">
        <f>_xll.qlCalendarAdvance(Calendar,L121,"1M","f",,Trigger)</f>
        <v>45607</v>
      </c>
      <c r="M122" s="544">
        <f>_xll.qlCalendarAdvance(Calendar,L122,"3M","mf",,Trigger)</f>
        <v>45699</v>
      </c>
      <c r="N122" s="546" t="str">
        <f>_xll.qlMakeDatedOIS(,L122,M122,"eonia",,,,,Trigger)</f>
        <v>obj_00791#0002</v>
      </c>
      <c r="O122" s="545">
        <f>_xll.qlIndexFixing("euribor3m",_xll.qlInterestRateIndexFixingDate("Euribor3M",L122),TRUE)</f>
        <v>2.4333263578492709E-2</v>
      </c>
      <c r="P122" s="545">
        <f>_xll.qlOvernightIndexedSwapFairRate(N122,Trigger)</f>
        <v>2.2860250578799073E-2</v>
      </c>
      <c r="Q122" s="547">
        <f t="shared" si="3"/>
        <v>1.4730129996936361E-3</v>
      </c>
    </row>
    <row r="123" spans="5:17" x14ac:dyDescent="0.2">
      <c r="E123" s="538"/>
      <c r="F123" s="538"/>
      <c r="G123" s="537"/>
      <c r="I123" s="537"/>
      <c r="J123" s="537"/>
      <c r="L123" s="553">
        <f>_xll.qlCalendarAdvance(Calendar,L122,"1M","f",,Trigger)</f>
        <v>45637</v>
      </c>
      <c r="M123" s="544">
        <f>_xll.qlCalendarAdvance(Calendar,L123,"3M","mf",,Trigger)</f>
        <v>45727</v>
      </c>
      <c r="N123" s="546" t="str">
        <f>_xll.qlMakeDatedOIS(,L123,M123,"eonia",,,,,Trigger)</f>
        <v>obj_00793#0002</v>
      </c>
      <c r="O123" s="545">
        <f>_xll.qlIndexFixing("euribor3m",_xll.qlInterestRateIndexFixingDate("Euribor3M",L123),TRUE)</f>
        <v>2.4429680379583374E-2</v>
      </c>
      <c r="P123" s="545">
        <f>_xll.qlOvernightIndexedSwapFairRate(N123,Trigger)</f>
        <v>2.2858801816791896E-2</v>
      </c>
      <c r="Q123" s="547">
        <f t="shared" si="3"/>
        <v>1.5708785627914779E-3</v>
      </c>
    </row>
    <row r="124" spans="5:17" x14ac:dyDescent="0.2">
      <c r="E124" s="538"/>
      <c r="F124" s="538"/>
      <c r="G124" s="537"/>
      <c r="I124" s="537"/>
      <c r="J124" s="537"/>
      <c r="L124" s="553">
        <f>_xll.qlCalendarAdvance(Calendar,L123,"1M","f",,Trigger)</f>
        <v>45670</v>
      </c>
      <c r="M124" s="544">
        <f>_xll.qlCalendarAdvance(Calendar,L124,"3M","mf",,Trigger)</f>
        <v>45761</v>
      </c>
      <c r="N124" s="546" t="str">
        <f>_xll.qlMakeDatedOIS(,L124,M124,"eonia",,,,,Trigger)</f>
        <v>obj_00795#0002</v>
      </c>
      <c r="O124" s="545">
        <f>_xll.qlIndexFixing("euribor3m",_xll.qlInterestRateIndexFixingDate("Euribor3M",L124),TRUE)</f>
        <v>2.4539951135353094E-2</v>
      </c>
      <c r="P124" s="545">
        <f>_xll.qlOvernightIndexedSwapFairRate(N124,Trigger)</f>
        <v>2.2859526182500121E-2</v>
      </c>
      <c r="Q124" s="547">
        <f t="shared" si="3"/>
        <v>1.6804249528529734E-3</v>
      </c>
    </row>
    <row r="125" spans="5:17" x14ac:dyDescent="0.2">
      <c r="E125" s="538"/>
      <c r="F125" s="538"/>
      <c r="G125" s="537"/>
      <c r="I125" s="537"/>
      <c r="J125" s="537"/>
      <c r="L125" s="553">
        <f>_xll.qlCalendarAdvance(Calendar,L124,"1M","f",,Trigger)</f>
        <v>45701</v>
      </c>
      <c r="M125" s="544">
        <f>_xll.qlCalendarAdvance(Calendar,L125,"3M","mf",,Trigger)</f>
        <v>45790</v>
      </c>
      <c r="N125" s="546" t="str">
        <f>_xll.qlMakeDatedOIS(,L125,M125,"eonia",,,,,Trigger)</f>
        <v>obj_00797#0002</v>
      </c>
      <c r="O125" s="545">
        <f>_xll.qlIndexFixing("euribor3m",_xll.qlInterestRateIndexFixingDate("Euribor3M",L125),TRUE)</f>
        <v>2.4632945375543551E-2</v>
      </c>
      <c r="P125" s="545">
        <f>_xll.qlOvernightIndexedSwapFairRate(N125,Trigger)</f>
        <v>2.285807748167357E-2</v>
      </c>
      <c r="Q125" s="547">
        <f t="shared" si="3"/>
        <v>1.7748678938699809E-3</v>
      </c>
    </row>
    <row r="126" spans="5:17" x14ac:dyDescent="0.2">
      <c r="E126" s="538"/>
      <c r="F126" s="538"/>
      <c r="G126" s="537"/>
      <c r="I126" s="537"/>
      <c r="J126" s="537"/>
      <c r="L126" s="553">
        <f>_xll.qlCalendarAdvance(Calendar,L125,"1M","f",,Trigger)</f>
        <v>45729</v>
      </c>
      <c r="M126" s="544">
        <f>_xll.qlCalendarAdvance(Calendar,L126,"3M","mf",,Trigger)</f>
        <v>45821</v>
      </c>
      <c r="N126" s="546" t="str">
        <f>_xll.qlMakeDatedOIS(,L126,M126,"eonia",,,,,Trigger)</f>
        <v>obj_00799#0002</v>
      </c>
      <c r="O126" s="545">
        <f>_xll.qlIndexFixing("euribor3m",_xll.qlInterestRateIndexFixingDate("Euribor3M",L126),TRUE)</f>
        <v>2.472529658361847E-2</v>
      </c>
      <c r="P126" s="545">
        <f>_xll.qlOvernightIndexedSwapFairRate(N126,Trigger)</f>
        <v>2.2860250578799066E-2</v>
      </c>
      <c r="Q126" s="547">
        <f t="shared" si="3"/>
        <v>1.865046004819404E-3</v>
      </c>
    </row>
    <row r="127" spans="5:17" x14ac:dyDescent="0.2">
      <c r="E127" s="538"/>
      <c r="F127" s="538"/>
      <c r="G127" s="537"/>
      <c r="I127" s="537"/>
      <c r="J127" s="537"/>
      <c r="L127" s="553">
        <f>_xll.qlCalendarAdvance(Calendar,L126,"1M","f",,Trigger)</f>
        <v>45761</v>
      </c>
      <c r="M127" s="544">
        <f>_xll.qlCalendarAdvance(Calendar,L127,"3M","mf",,Trigger)</f>
        <v>45852</v>
      </c>
      <c r="N127" s="546" t="str">
        <f>_xll.qlMakeDatedOIS(,L127,M127,"eonia",,,,,Trigger)</f>
        <v>obj_0079b#0002</v>
      </c>
      <c r="O127" s="545">
        <f>_xll.qlIndexFixing("euribor3m",_xll.qlInterestRateIndexFixingDate("Euribor3M",L127),TRUE)</f>
        <v>2.4817033868925448E-2</v>
      </c>
      <c r="P127" s="545">
        <f>_xll.qlOvernightIndexedSwapFairRate(N127,Trigger)</f>
        <v>2.2859526182500121E-2</v>
      </c>
      <c r="Q127" s="547">
        <f t="shared" si="3"/>
        <v>1.957507686425327E-3</v>
      </c>
    </row>
    <row r="128" spans="5:17" x14ac:dyDescent="0.2">
      <c r="E128" s="538"/>
      <c r="F128" s="538"/>
      <c r="G128" s="537"/>
      <c r="I128" s="537"/>
      <c r="J128" s="537"/>
      <c r="L128" s="553">
        <f>_xll.qlCalendarAdvance(Calendar,L127,"1M","f",,Trigger)</f>
        <v>45791</v>
      </c>
      <c r="M128" s="544">
        <f>_xll.qlCalendarAdvance(Calendar,L128,"3M","mf",,Trigger)</f>
        <v>45883</v>
      </c>
      <c r="N128" s="546" t="str">
        <f>_xll.qlMakeDatedOIS(,L128,M128,"eonia",,,,,Trigger)</f>
        <v>obj_0079d#0002</v>
      </c>
      <c r="O128" s="545">
        <f>_xll.qlIndexFixing("euribor3m",_xll.qlInterestRateIndexFixingDate("Euribor3M",L128),TRUE)</f>
        <v>2.4904098718025628E-2</v>
      </c>
      <c r="P128" s="545">
        <f>_xll.qlOvernightIndexedSwapFairRate(N128,Trigger)</f>
        <v>2.2860250578799073E-2</v>
      </c>
      <c r="Q128" s="547">
        <f t="shared" si="3"/>
        <v>2.0438481392265548E-3</v>
      </c>
    </row>
    <row r="129" spans="5:17" x14ac:dyDescent="0.2">
      <c r="E129" s="538"/>
      <c r="F129" s="538"/>
      <c r="G129" s="537"/>
      <c r="I129" s="537"/>
      <c r="J129" s="537"/>
      <c r="L129" s="553">
        <f>_xll.qlCalendarAdvance(Calendar,L128,"1M","f",,Trigger)</f>
        <v>45824</v>
      </c>
      <c r="M129" s="544">
        <f>_xll.qlCalendarAdvance(Calendar,L129,"3M","mf",,Trigger)</f>
        <v>45916</v>
      </c>
      <c r="N129" s="546" t="str">
        <f>_xll.qlMakeDatedOIS(,L129,M129,"eonia",,,,,Trigger)</f>
        <v>obj_0079f#0002</v>
      </c>
      <c r="O129" s="545">
        <f>_xll.qlIndexFixing("euribor3m",_xll.qlInterestRateIndexFixingDate("Euribor3M",L129),TRUE)</f>
        <v>2.4993652986013876E-2</v>
      </c>
      <c r="P129" s="545">
        <f>_xll.qlOvernightIndexedSwapFairRate(N129,Trigger)</f>
        <v>2.3232185133807599E-2</v>
      </c>
      <c r="Q129" s="547">
        <f t="shared" si="3"/>
        <v>1.761467852206277E-3</v>
      </c>
    </row>
    <row r="130" spans="5:17" x14ac:dyDescent="0.2">
      <c r="E130" s="538"/>
      <c r="F130" s="538"/>
      <c r="G130" s="537"/>
      <c r="I130" s="537"/>
      <c r="J130" s="537"/>
      <c r="L130" s="553">
        <f>_xll.qlCalendarAdvance(Calendar,L129,"1M","f",,Trigger)</f>
        <v>45854</v>
      </c>
      <c r="M130" s="544">
        <f>_xll.qlCalendarAdvance(Calendar,L130,"3M","mf",,Trigger)</f>
        <v>45946</v>
      </c>
      <c r="N130" s="546" t="str">
        <f>_xll.qlMakeDatedOIS(,L130,M130,"eonia",,,,,Trigger)</f>
        <v>obj_007a1#0002</v>
      </c>
      <c r="O130" s="545">
        <f>_xll.qlIndexFixing("euribor3m",_xll.qlInterestRateIndexFixingDate("Euribor3M",L130),TRUE)</f>
        <v>2.5071680777640916E-2</v>
      </c>
      <c r="P130" s="545">
        <f>_xll.qlOvernightIndexedSwapFairRate(N130,Trigger)</f>
        <v>2.358090569970514E-2</v>
      </c>
      <c r="Q130" s="547">
        <f t="shared" si="3"/>
        <v>1.4907750779357756E-3</v>
      </c>
    </row>
    <row r="131" spans="5:17" x14ac:dyDescent="0.2">
      <c r="E131" s="538"/>
      <c r="F131" s="538"/>
      <c r="G131" s="537"/>
      <c r="I131" s="537"/>
      <c r="J131" s="537"/>
      <c r="L131" s="553">
        <f>_xll.qlCalendarAdvance(Calendar,L130,"1M","f",,Trigger)</f>
        <v>45887</v>
      </c>
      <c r="M131" s="544">
        <f>_xll.qlCalendarAdvance(Calendar,L131,"3M","mf",,Trigger)</f>
        <v>45979</v>
      </c>
      <c r="N131" s="546" t="str">
        <f>_xll.qlMakeDatedOIS(,L131,M131,"eonia",,,,,Trigger)</f>
        <v>obj_007a3#0002</v>
      </c>
      <c r="O131" s="545">
        <f>_xll.qlIndexFixing("euribor3m",_xll.qlInterestRateIndexFixingDate("Euribor3M",L131),TRUE)</f>
        <v>2.5153787415049957E-2</v>
      </c>
      <c r="P131" s="545">
        <f>_xll.qlOvernightIndexedSwapFairRate(N131,Trigger)</f>
        <v>2.3929657159279864E-2</v>
      </c>
      <c r="Q131" s="547">
        <f t="shared" ref="Q131:Q194" si="4">O131-P131</f>
        <v>1.224130255770093E-3</v>
      </c>
    </row>
    <row r="132" spans="5:17" x14ac:dyDescent="0.2">
      <c r="E132" s="538"/>
      <c r="F132" s="538"/>
      <c r="G132" s="537"/>
      <c r="I132" s="537"/>
      <c r="J132" s="537"/>
      <c r="L132" s="553">
        <f>_xll.qlCalendarAdvance(Calendar,L131,"1M","f",,Trigger)</f>
        <v>45918</v>
      </c>
      <c r="M132" s="544">
        <f>_xll.qlCalendarAdvance(Calendar,L132,"3M","mf",,Trigger)</f>
        <v>46009</v>
      </c>
      <c r="N132" s="546" t="str">
        <f>_xll.qlMakeDatedOIS(,L132,M132,"eonia",,,,,Trigger)</f>
        <v>obj_007a5#0002</v>
      </c>
      <c r="O132" s="545">
        <f>_xll.qlIndexFixing("euribor3m",_xll.qlInterestRateIndexFixingDate("Euribor3M",L132),TRUE)</f>
        <v>2.5225349920613586E-2</v>
      </c>
      <c r="P132" s="545">
        <f>_xll.qlOvernightIndexedSwapFairRate(N132,Trigger)</f>
        <v>2.3928863475749042E-2</v>
      </c>
      <c r="Q132" s="547">
        <f t="shared" si="4"/>
        <v>1.296486444864544E-3</v>
      </c>
    </row>
    <row r="133" spans="5:17" x14ac:dyDescent="0.2">
      <c r="E133" s="538"/>
      <c r="F133" s="538"/>
      <c r="G133" s="537"/>
      <c r="I133" s="537"/>
      <c r="J133" s="537"/>
      <c r="L133" s="553">
        <f>_xll.qlCalendarAdvance(Calendar,L132,"1M","f",,Trigger)</f>
        <v>45950</v>
      </c>
      <c r="M133" s="544">
        <f>_xll.qlCalendarAdvance(Calendar,L133,"3M","mf",,Trigger)</f>
        <v>46042</v>
      </c>
      <c r="N133" s="546" t="str">
        <f>_xll.qlMakeDatedOIS(,L133,M133,"eonia",,,,,Trigger)</f>
        <v>obj_007a7#0002</v>
      </c>
      <c r="O133" s="545">
        <f>_xll.qlIndexFixing("euribor3m",_xll.qlInterestRateIndexFixingDate("Euribor3M",L133),TRUE)</f>
        <v>2.5299702336951672E-2</v>
      </c>
      <c r="P133" s="545">
        <f>_xll.qlOvernightIndexedSwapFairRate(N133,Trigger)</f>
        <v>2.3929657159279864E-2</v>
      </c>
      <c r="Q133" s="547">
        <f t="shared" si="4"/>
        <v>1.3700451776718081E-3</v>
      </c>
    </row>
    <row r="134" spans="5:17" x14ac:dyDescent="0.2">
      <c r="E134" s="538"/>
      <c r="F134" s="538"/>
      <c r="G134" s="537"/>
      <c r="I134" s="537"/>
      <c r="J134" s="537"/>
      <c r="L134" s="553">
        <f>_xll.qlCalendarAdvance(Calendar,L133,"1M","f",,Trigger)</f>
        <v>45981</v>
      </c>
      <c r="M134" s="544">
        <f>_xll.qlCalendarAdvance(Calendar,L134,"3M","mf",,Trigger)</f>
        <v>46073</v>
      </c>
      <c r="N134" s="546" t="str">
        <f>_xll.qlMakeDatedOIS(,L134,M134,"eonia",,,,,Trigger)</f>
        <v>obj_007a9#0002</v>
      </c>
      <c r="O134" s="545">
        <f>_xll.qlIndexFixing("euribor3m",_xll.qlInterestRateIndexFixingDate("Euribor3M",L134),TRUE)</f>
        <v>2.5366281345111364E-2</v>
      </c>
      <c r="P134" s="545">
        <f>_xll.qlOvernightIndexedSwapFairRate(N134,Trigger)</f>
        <v>2.3929657159279867E-2</v>
      </c>
      <c r="Q134" s="547">
        <f t="shared" si="4"/>
        <v>1.436624185831497E-3</v>
      </c>
    </row>
    <row r="135" spans="5:17" x14ac:dyDescent="0.2">
      <c r="E135" s="538"/>
      <c r="F135" s="538"/>
      <c r="G135" s="537"/>
      <c r="I135" s="537"/>
      <c r="J135" s="537"/>
      <c r="L135" s="553">
        <f>_xll.qlCalendarAdvance(Calendar,L134,"1M","f",,Trigger)</f>
        <v>46013</v>
      </c>
      <c r="M135" s="544">
        <f>_xll.qlCalendarAdvance(Calendar,L135,"3M","mf",,Trigger)</f>
        <v>46104</v>
      </c>
      <c r="N135" s="546" t="str">
        <f>_xll.qlMakeDatedOIS(,L135,M135,"eonia",,,,,Trigger)</f>
        <v>obj_007ab#0002</v>
      </c>
      <c r="O135" s="545">
        <f>_xll.qlIndexFixing("euribor3m",_xll.qlInterestRateIndexFixingDate("Euribor3M",L135),TRUE)</f>
        <v>2.542953805778032E-2</v>
      </c>
      <c r="P135" s="545">
        <f>_xll.qlOvernightIndexedSwapFairRate(N135,Trigger)</f>
        <v>2.3928863475749046E-2</v>
      </c>
      <c r="Q135" s="547">
        <f t="shared" si="4"/>
        <v>1.5006745820312743E-3</v>
      </c>
    </row>
    <row r="136" spans="5:17" x14ac:dyDescent="0.2">
      <c r="E136" s="538"/>
      <c r="F136" s="538"/>
      <c r="G136" s="537"/>
      <c r="I136" s="537"/>
      <c r="J136" s="537"/>
      <c r="L136" s="553">
        <f>_xll.qlCalendarAdvance(Calendar,L135,"1M","f",,Trigger)</f>
        <v>46044</v>
      </c>
      <c r="M136" s="544">
        <f>_xll.qlCalendarAdvance(Calendar,L136,"3M","mf",,Trigger)</f>
        <v>46134</v>
      </c>
      <c r="N136" s="546" t="str">
        <f>_xll.qlMakeDatedOIS(,L136,M136,"eonia",,,,,Trigger)</f>
        <v>obj_007ad#0002</v>
      </c>
      <c r="O136" s="545">
        <f>_xll.qlIndexFixing("euribor3m",_xll.qlInterestRateIndexFixingDate("Euribor3M",L136),TRUE)</f>
        <v>2.5487362398328273E-2</v>
      </c>
      <c r="P136" s="545">
        <f>_xll.qlOvernightIndexedSwapFairRate(N136,Trigger)</f>
        <v>2.3928069827299225E-2</v>
      </c>
      <c r="Q136" s="547">
        <f t="shared" si="4"/>
        <v>1.5592925710290473E-3</v>
      </c>
    </row>
    <row r="137" spans="5:17" x14ac:dyDescent="0.2">
      <c r="E137" s="538"/>
      <c r="F137" s="538"/>
      <c r="G137" s="537"/>
      <c r="I137" s="537"/>
      <c r="J137" s="537"/>
      <c r="L137" s="553">
        <f>_xll.qlCalendarAdvance(Calendar,L136,"1M","f",,Trigger)</f>
        <v>46076</v>
      </c>
      <c r="M137" s="544">
        <f>_xll.qlCalendarAdvance(Calendar,L137,"3M","mf",,Trigger)</f>
        <v>46167</v>
      </c>
      <c r="N137" s="546" t="str">
        <f>_xll.qlMakeDatedOIS(,L137,M137,"eonia",,,,,Trigger)</f>
        <v>obj_007af#0002</v>
      </c>
      <c r="O137" s="545">
        <f>_xll.qlIndexFixing("euribor3m",_xll.qlInterestRateIndexFixingDate("Euribor3M",L137),TRUE)</f>
        <v>2.5547113961502849E-2</v>
      </c>
      <c r="P137" s="545">
        <f>_xll.qlOvernightIndexedSwapFairRate(N137,Trigger)</f>
        <v>2.3928863475749042E-2</v>
      </c>
      <c r="Q137" s="547">
        <f t="shared" si="4"/>
        <v>1.6182504857538069E-3</v>
      </c>
    </row>
    <row r="138" spans="5:17" x14ac:dyDescent="0.2">
      <c r="E138" s="538"/>
      <c r="F138" s="538"/>
      <c r="G138" s="537"/>
      <c r="I138" s="537"/>
      <c r="J138" s="537"/>
      <c r="L138" s="553">
        <f>_xll.qlCalendarAdvance(Calendar,L137,"1M","f",,Trigger)</f>
        <v>46104</v>
      </c>
      <c r="M138" s="544">
        <f>_xll.qlCalendarAdvance(Calendar,L138,"3M","mf",,Trigger)</f>
        <v>46196</v>
      </c>
      <c r="N138" s="546" t="str">
        <f>_xll.qlMakeDatedOIS(,L138,M138,"eonia",,,,,Trigger)</f>
        <v>obj_007b1#0002</v>
      </c>
      <c r="O138" s="545">
        <f>_xll.qlIndexFixing("euribor3m",_xll.qlInterestRateIndexFixingDate("Euribor3M",L138),TRUE)</f>
        <v>2.5596511374053638E-2</v>
      </c>
      <c r="P138" s="545">
        <f>_xll.qlOvernightIndexedSwapFairRate(N138,Trigger)</f>
        <v>2.3929657159279867E-2</v>
      </c>
      <c r="Q138" s="547">
        <f t="shared" si="4"/>
        <v>1.6668542147737705E-3</v>
      </c>
    </row>
    <row r="139" spans="5:17" x14ac:dyDescent="0.2">
      <c r="E139" s="538"/>
      <c r="F139" s="538"/>
      <c r="G139" s="537"/>
      <c r="I139" s="537"/>
      <c r="J139" s="537"/>
      <c r="L139" s="553">
        <f>_xll.qlCalendarAdvance(Calendar,L138,"1M","f",,Trigger)</f>
        <v>46135</v>
      </c>
      <c r="M139" s="544">
        <f>_xll.qlCalendarAdvance(Calendar,L139,"3M","mf",,Trigger)</f>
        <v>46226</v>
      </c>
      <c r="N139" s="546" t="str">
        <f>_xll.qlMakeDatedOIS(,L139,M139,"eonia",,,,,Trigger)</f>
        <v>obj_007b3#0002</v>
      </c>
      <c r="O139" s="545">
        <f>_xll.qlIndexFixing("euribor3m",_xll.qlInterestRateIndexFixingDate("Euribor3M",L139),TRUE)</f>
        <v>2.564432782941407E-2</v>
      </c>
      <c r="P139" s="545">
        <f>_xll.qlOvernightIndexedSwapFairRate(N139,Trigger)</f>
        <v>2.3928863475749042E-2</v>
      </c>
      <c r="Q139" s="547">
        <f t="shared" si="4"/>
        <v>1.7154643536650277E-3</v>
      </c>
    </row>
    <row r="140" spans="5:17" x14ac:dyDescent="0.2">
      <c r="E140" s="538"/>
      <c r="F140" s="538"/>
      <c r="G140" s="537"/>
      <c r="I140" s="537"/>
      <c r="J140" s="537"/>
      <c r="L140" s="553">
        <f>_xll.qlCalendarAdvance(Calendar,L139,"1M","f",,Trigger)</f>
        <v>46167</v>
      </c>
      <c r="M140" s="544">
        <f>_xll.qlCalendarAdvance(Calendar,L140,"3M","mf",,Trigger)</f>
        <v>46259</v>
      </c>
      <c r="N140" s="546" t="str">
        <f>_xll.qlMakeDatedOIS(,L140,M140,"eonia",,,,,Trigger)</f>
        <v>obj_007b5#0002</v>
      </c>
      <c r="O140" s="545">
        <f>_xll.qlIndexFixing("euribor3m",_xll.qlInterestRateIndexFixingDate("Euribor3M",L140),TRUE)</f>
        <v>2.5693438095185508E-2</v>
      </c>
      <c r="P140" s="545">
        <f>_xll.qlOvernightIndexedSwapFairRate(N140,Trigger)</f>
        <v>2.4011328316282391E-2</v>
      </c>
      <c r="Q140" s="547">
        <f t="shared" si="4"/>
        <v>1.6821097789031167E-3</v>
      </c>
    </row>
    <row r="141" spans="5:17" x14ac:dyDescent="0.2">
      <c r="E141" s="538"/>
      <c r="F141" s="538"/>
      <c r="G141" s="537"/>
      <c r="I141" s="537"/>
      <c r="J141" s="537"/>
      <c r="L141" s="553">
        <f>_xll.qlCalendarAdvance(Calendar,L140,"1M","f",,Trigger)</f>
        <v>46198</v>
      </c>
      <c r="M141" s="544">
        <f>_xll.qlCalendarAdvance(Calendar,L141,"3M","mf",,Trigger)</f>
        <v>46290</v>
      </c>
      <c r="N141" s="546" t="str">
        <f>_xll.qlMakeDatedOIS(,L141,M141,"eonia",,,,,Trigger)</f>
        <v>obj_007b7#0002</v>
      </c>
      <c r="O141" s="545">
        <f>_xll.qlIndexFixing("euribor3m",_xll.qlInterestRateIndexFixingDate("Euribor3M",L141),TRUE)</f>
        <v>2.5736052272620987E-2</v>
      </c>
      <c r="P141" s="545">
        <f>_xll.qlOvernightIndexedSwapFairRate(N141,Trigger)</f>
        <v>2.4327820052610485E-2</v>
      </c>
      <c r="Q141" s="547">
        <f t="shared" si="4"/>
        <v>1.4082322200105017E-3</v>
      </c>
    </row>
    <row r="142" spans="5:17" x14ac:dyDescent="0.2">
      <c r="E142" s="538"/>
      <c r="F142" s="538"/>
      <c r="G142" s="537"/>
      <c r="I142" s="537"/>
      <c r="J142" s="537"/>
      <c r="L142" s="553">
        <f>_xll.qlCalendarAdvance(Calendar,L141,"1M","f",,Trigger)</f>
        <v>46230</v>
      </c>
      <c r="M142" s="544">
        <f>_xll.qlCalendarAdvance(Calendar,L142,"3M","mf",,Trigger)</f>
        <v>46322</v>
      </c>
      <c r="N142" s="546" t="str">
        <f>_xll.qlMakeDatedOIS(,L142,M142,"eonia",,,,,Trigger)</f>
        <v>obj_007b9#0002</v>
      </c>
      <c r="O142" s="545">
        <f>_xll.qlIndexFixing("euribor3m",_xll.qlInterestRateIndexFixingDate("Euribor3M",L142),TRUE)</f>
        <v>2.5777005394220114E-2</v>
      </c>
      <c r="P142" s="545">
        <f>_xll.qlOvernightIndexedSwapFairRate(N142,Trigger)</f>
        <v>2.4654547886239657E-2</v>
      </c>
      <c r="Q142" s="547">
        <f t="shared" si="4"/>
        <v>1.1224575079804566E-3</v>
      </c>
    </row>
    <row r="143" spans="5:17" x14ac:dyDescent="0.2">
      <c r="E143" s="538"/>
      <c r="F143" s="538"/>
      <c r="G143" s="537"/>
      <c r="I143" s="537"/>
      <c r="J143" s="537"/>
      <c r="L143" s="553">
        <f>_xll.qlCalendarAdvance(Calendar,L142,"1M","f",,Trigger)</f>
        <v>46261</v>
      </c>
      <c r="M143" s="544">
        <f>_xll.qlCalendarAdvance(Calendar,L143,"3M","mf",,Trigger)</f>
        <v>46353</v>
      </c>
      <c r="N143" s="546" t="str">
        <f>_xll.qlMakeDatedOIS(,L143,M143,"eonia",,,,,Trigger)</f>
        <v>obj_007bb#0002</v>
      </c>
      <c r="O143" s="545">
        <f>_xll.qlIndexFixing("euribor3m",_xll.qlInterestRateIndexFixingDate("Euribor3M",L143),TRUE)</f>
        <v>2.5814180811882612E-2</v>
      </c>
      <c r="P143" s="545">
        <f>_xll.qlOvernightIndexedSwapFairRate(N143,Trigger)</f>
        <v>2.4868977761272355E-2</v>
      </c>
      <c r="Q143" s="547">
        <f t="shared" si="4"/>
        <v>9.4520305061025767E-4</v>
      </c>
    </row>
    <row r="144" spans="5:17" x14ac:dyDescent="0.2">
      <c r="E144" s="538"/>
      <c r="F144" s="538"/>
      <c r="G144" s="537"/>
      <c r="I144" s="537"/>
      <c r="J144" s="537"/>
      <c r="L144" s="553">
        <f>_xll.qlCalendarAdvance(Calendar,L143,"1M","f",,Trigger)</f>
        <v>46293</v>
      </c>
      <c r="M144" s="544">
        <f>_xll.qlCalendarAdvance(Calendar,L144,"3M","mf",,Trigger)</f>
        <v>46384</v>
      </c>
      <c r="N144" s="546" t="str">
        <f>_xll.qlMakeDatedOIS(,L144,M144,"eonia",,,,,Trigger)</f>
        <v>obj_007bd#0002</v>
      </c>
      <c r="O144" s="545">
        <f>_xll.qlIndexFixing("euribor3m",_xll.qlInterestRateIndexFixingDate("Euribor3M",L144),TRUE)</f>
        <v>2.5848814147585965E-2</v>
      </c>
      <c r="P144" s="545">
        <f>_xll.qlOvernightIndexedSwapFairRate(N144,Trigger)</f>
        <v>2.4868120614288707E-2</v>
      </c>
      <c r="Q144" s="547">
        <f t="shared" si="4"/>
        <v>9.8069353329725828E-4</v>
      </c>
    </row>
    <row r="145" spans="5:17" x14ac:dyDescent="0.2">
      <c r="E145" s="538"/>
      <c r="F145" s="538"/>
      <c r="G145" s="537"/>
      <c r="I145" s="537"/>
      <c r="J145" s="537"/>
      <c r="L145" s="553">
        <f>_xll.qlCalendarAdvance(Calendar,L144,"1M","f",,Trigger)</f>
        <v>46323</v>
      </c>
      <c r="M145" s="544">
        <f>_xll.qlCalendarAdvance(Calendar,L145,"3M","mf",,Trigger)</f>
        <v>46415</v>
      </c>
      <c r="N145" s="546" t="str">
        <f>_xll.qlMakeDatedOIS(,L145,M145,"eonia",,,,,Trigger)</f>
        <v>obj_007bf#0002</v>
      </c>
      <c r="O145" s="545">
        <f>_xll.qlIndexFixing("euribor3m",_xll.qlInterestRateIndexFixingDate("Euribor3M",L145),TRUE)</f>
        <v>2.5882014189349861E-2</v>
      </c>
      <c r="P145" s="545">
        <f>_xll.qlOvernightIndexedSwapFairRate(N145,Trigger)</f>
        <v>2.4868977761272348E-2</v>
      </c>
      <c r="Q145" s="547">
        <f t="shared" si="4"/>
        <v>1.0130364280775128E-3</v>
      </c>
    </row>
    <row r="146" spans="5:17" x14ac:dyDescent="0.2">
      <c r="E146" s="538"/>
      <c r="F146" s="538"/>
      <c r="G146" s="537"/>
      <c r="I146" s="537"/>
      <c r="J146" s="537"/>
      <c r="L146" s="553">
        <f>_xll.qlCalendarAdvance(Calendar,L145,"1M","f",,Trigger)</f>
        <v>46356</v>
      </c>
      <c r="M146" s="544">
        <f>_xll.qlCalendarAdvance(Calendar,L146,"3M","mf",,Trigger)</f>
        <v>46444</v>
      </c>
      <c r="N146" s="546" t="str">
        <f>_xll.qlMakeDatedOIS(,L146,M146,"eonia",,,,,Trigger)</f>
        <v>obj_007c1#0002</v>
      </c>
      <c r="O146" s="545">
        <f>_xll.qlIndexFixing("euribor3m",_xll.qlInterestRateIndexFixingDate("Euribor3M",L146),TRUE)</f>
        <v>2.5909040039168871E-2</v>
      </c>
      <c r="P146" s="545">
        <f>_xll.qlOvernightIndexedSwapFairRate(N146,Trigger)</f>
        <v>2.4865549409547431E-2</v>
      </c>
      <c r="Q146" s="547">
        <f t="shared" si="4"/>
        <v>1.0434906296214394E-3</v>
      </c>
    </row>
    <row r="147" spans="5:17" x14ac:dyDescent="0.2">
      <c r="E147" s="538"/>
      <c r="F147" s="538"/>
      <c r="G147" s="537"/>
      <c r="I147" s="537"/>
      <c r="J147" s="537"/>
      <c r="L147" s="553">
        <f>_xll.qlCalendarAdvance(Calendar,L146,"1M","f",,Trigger)</f>
        <v>46386</v>
      </c>
      <c r="M147" s="544">
        <f>_xll.qlCalendarAdvance(Calendar,L147,"3M","mf",,Trigger)</f>
        <v>46476</v>
      </c>
      <c r="N147" s="546" t="str">
        <f>_xll.qlMakeDatedOIS(,L147,M147,"eonia",,,,,Trigger)</f>
        <v>obj_007c3#0002</v>
      </c>
      <c r="O147" s="545">
        <f>_xll.qlIndexFixing("euribor3m",_xll.qlInterestRateIndexFixingDate("Euribor3M",L147),TRUE)</f>
        <v>2.5939386139662624E-2</v>
      </c>
      <c r="P147" s="545">
        <f>_xll.qlOvernightIndexedSwapFairRate(N147,Trigger)</f>
        <v>2.4867263506675563E-2</v>
      </c>
      <c r="Q147" s="547">
        <f t="shared" si="4"/>
        <v>1.0721226329870603E-3</v>
      </c>
    </row>
    <row r="148" spans="5:17" x14ac:dyDescent="0.2">
      <c r="E148" s="538"/>
      <c r="F148" s="538"/>
      <c r="G148" s="537"/>
      <c r="I148" s="537"/>
      <c r="J148" s="537"/>
      <c r="L148" s="553">
        <f>_xll.qlCalendarAdvance(Calendar,L147,"1M","f",,Trigger)</f>
        <v>46419</v>
      </c>
      <c r="M148" s="544">
        <f>_xll.qlCalendarAdvance(Calendar,L148,"3M","mf",,Trigger)</f>
        <v>46510</v>
      </c>
      <c r="N148" s="546" t="str">
        <f>_xll.qlMakeDatedOIS(,L148,M148,"eonia",,,,,Trigger)</f>
        <v>obj_007c5#0002</v>
      </c>
      <c r="O148" s="545">
        <f>_xll.qlIndexFixing("euribor3m",_xll.qlInterestRateIndexFixingDate("Euribor3M",L148),TRUE)</f>
        <v>2.5968696852178379E-2</v>
      </c>
      <c r="P148" s="545">
        <f>_xll.qlOvernightIndexedSwapFairRate(N148,Trigger)</f>
        <v>2.4868120614289585E-2</v>
      </c>
      <c r="Q148" s="547">
        <f t="shared" si="4"/>
        <v>1.1005762378887944E-3</v>
      </c>
    </row>
    <row r="149" spans="5:17" x14ac:dyDescent="0.2">
      <c r="E149" s="538"/>
      <c r="F149" s="538"/>
      <c r="G149" s="537"/>
      <c r="I149" s="537"/>
      <c r="J149" s="537"/>
      <c r="L149" s="553">
        <f>_xll.qlCalendarAdvance(Calendar,L148,"1M","f",,Trigger)</f>
        <v>46447</v>
      </c>
      <c r="M149" s="544">
        <f>_xll.qlCalendarAdvance(Calendar,L149,"3M","mf",,Trigger)</f>
        <v>46539</v>
      </c>
      <c r="N149" s="546" t="str">
        <f>_xll.qlMakeDatedOIS(,L149,M149,"eonia",,,,,Trigger)</f>
        <v>obj_007c7#0002</v>
      </c>
      <c r="O149" s="545">
        <f>_xll.qlIndexFixing("euribor3m",_xll.qlInterestRateIndexFixingDate("Euribor3M",L149),TRUE)</f>
        <v>2.5991789389971643E-2</v>
      </c>
      <c r="P149" s="545">
        <f>_xll.qlOvernightIndexedSwapFairRate(N149,Trigger)</f>
        <v>2.4868977761272348E-2</v>
      </c>
      <c r="Q149" s="547">
        <f t="shared" si="4"/>
        <v>1.1228116286992953E-3</v>
      </c>
    </row>
    <row r="150" spans="5:17" x14ac:dyDescent="0.2">
      <c r="E150" s="538"/>
      <c r="F150" s="538"/>
      <c r="G150" s="537"/>
      <c r="I150" s="537"/>
      <c r="J150" s="537"/>
      <c r="L150" s="553">
        <f>_xll.qlCalendarAdvance(Calendar,L149,"1M","f",,Trigger)</f>
        <v>46478</v>
      </c>
      <c r="M150" s="544">
        <f>_xll.qlCalendarAdvance(Calendar,L150,"3M","mf",,Trigger)</f>
        <v>46569</v>
      </c>
      <c r="N150" s="546" t="str">
        <f>_xll.qlMakeDatedOIS(,L150,M150,"eonia",,,,,Trigger)</f>
        <v>obj_007c9#0002</v>
      </c>
      <c r="O150" s="545">
        <f>_xll.qlIndexFixing("euribor3m",_xll.qlInterestRateIndexFixingDate("Euribor3M",L150),TRUE)</f>
        <v>2.6012579687470963E-2</v>
      </c>
      <c r="P150" s="545">
        <f>_xll.qlOvernightIndexedSwapFairRate(N150,Trigger)</f>
        <v>2.4868120614289582E-2</v>
      </c>
      <c r="Q150" s="547">
        <f t="shared" si="4"/>
        <v>1.1444590731813815E-3</v>
      </c>
    </row>
    <row r="151" spans="5:17" x14ac:dyDescent="0.2">
      <c r="E151" s="538"/>
      <c r="F151" s="538"/>
      <c r="G151" s="537"/>
      <c r="I151" s="537"/>
      <c r="J151" s="537"/>
      <c r="L151" s="553">
        <f>_xll.qlCalendarAdvance(Calendar,L150,"1M","f",,Trigger)</f>
        <v>46510</v>
      </c>
      <c r="M151" s="544">
        <f>_xll.qlCalendarAdvance(Calendar,L151,"3M","mf",,Trigger)</f>
        <v>46602</v>
      </c>
      <c r="N151" s="546" t="str">
        <f>_xll.qlMakeDatedOIS(,L151,M151,"eonia",,,,,Trigger)</f>
        <v>obj_007cb#0002</v>
      </c>
      <c r="O151" s="545">
        <f>_xll.qlIndexFixing("euribor3m",_xll.qlInterestRateIndexFixingDate("Euribor3M",L151),TRUE)</f>
        <v>2.6034336230878596E-2</v>
      </c>
      <c r="P151" s="545">
        <f>_xll.qlOvernightIndexedSwapFairRate(N151,Trigger)</f>
        <v>2.4868977761272351E-2</v>
      </c>
      <c r="Q151" s="547">
        <f t="shared" si="4"/>
        <v>1.1653584696062445E-3</v>
      </c>
    </row>
    <row r="152" spans="5:17" x14ac:dyDescent="0.2">
      <c r="E152" s="538"/>
      <c r="F152" s="538"/>
      <c r="G152" s="537"/>
      <c r="I152" s="537"/>
      <c r="J152" s="537"/>
      <c r="L152" s="553">
        <f>_xll.qlCalendarAdvance(Calendar,L151,"1M","f",,Trigger)</f>
        <v>46541</v>
      </c>
      <c r="M152" s="544">
        <f>_xll.qlCalendarAdvance(Calendar,L152,"3M","mf",,Trigger)</f>
        <v>46633</v>
      </c>
      <c r="N152" s="546" t="str">
        <f>_xll.qlMakeDatedOIS(,L152,M152,"eonia",,,,,Trigger)</f>
        <v>obj_007cd#0002</v>
      </c>
      <c r="O152" s="545">
        <f>_xll.qlIndexFixing("euribor3m",_xll.qlInterestRateIndexFixingDate("Euribor3M",L152),TRUE)</f>
        <v>2.605200041852684E-2</v>
      </c>
      <c r="P152" s="545">
        <f>_xll.qlOvernightIndexedSwapFairRate(N152,Trigger)</f>
        <v>2.4868977761272355E-2</v>
      </c>
      <c r="Q152" s="547">
        <f t="shared" si="4"/>
        <v>1.1830226572544858E-3</v>
      </c>
    </row>
    <row r="153" spans="5:17" x14ac:dyDescent="0.2">
      <c r="E153" s="538"/>
      <c r="F153" s="538"/>
      <c r="G153" s="537"/>
      <c r="I153" s="537"/>
      <c r="J153" s="537"/>
      <c r="L153" s="553">
        <f>_xll.qlCalendarAdvance(Calendar,L152,"1M","f",,Trigger)</f>
        <v>46573</v>
      </c>
      <c r="M153" s="544">
        <f>_xll.qlCalendarAdvance(Calendar,L153,"3M","mf",,Trigger)</f>
        <v>46665</v>
      </c>
      <c r="N153" s="546" t="str">
        <f>_xll.qlMakeDatedOIS(,L153,M153,"eonia",,,,,Trigger)</f>
        <v>obj_007cf#0002</v>
      </c>
      <c r="O153" s="545">
        <f>_xll.qlIndexFixing("euribor3m",_xll.qlInterestRateIndexFixingDate("Euribor3M",L153),TRUE)</f>
        <v>2.6067971004895E-2</v>
      </c>
      <c r="P153" s="545">
        <f>_xll.qlOvernightIndexedSwapFairRate(N153,Trigger)</f>
        <v>2.4868977761272351E-2</v>
      </c>
      <c r="Q153" s="547">
        <f t="shared" si="4"/>
        <v>1.1989932436226487E-3</v>
      </c>
    </row>
    <row r="154" spans="5:17" x14ac:dyDescent="0.2">
      <c r="E154" s="538"/>
      <c r="F154" s="538"/>
      <c r="G154" s="537"/>
      <c r="I154" s="537"/>
      <c r="J154" s="537"/>
      <c r="L154" s="553">
        <f>_xll.qlCalendarAdvance(Calendar,L153,"1M","f",,Trigger)</f>
        <v>46604</v>
      </c>
      <c r="M154" s="544">
        <f>_xll.qlCalendarAdvance(Calendar,L154,"3M","mf",,Trigger)</f>
        <v>46696</v>
      </c>
      <c r="N154" s="546" t="str">
        <f>_xll.qlMakeDatedOIS(,L154,M154,"eonia",,,,,Trigger)</f>
        <v>obj_007d1#0002</v>
      </c>
      <c r="O154" s="545">
        <f>_xll.qlIndexFixing("euribor3m",_xll.qlInterestRateIndexFixingDate("Euribor3M",L154),TRUE)</f>
        <v>2.6081249802220187E-2</v>
      </c>
      <c r="P154" s="545">
        <f>_xll.qlOvernightIndexedSwapFairRate(N154,Trigger)</f>
        <v>2.4868977761273222E-2</v>
      </c>
      <c r="Q154" s="547">
        <f t="shared" si="4"/>
        <v>1.2122720409469649E-3</v>
      </c>
    </row>
    <row r="155" spans="5:17" x14ac:dyDescent="0.2">
      <c r="E155" s="538"/>
      <c r="F155" s="538"/>
      <c r="G155" s="537"/>
      <c r="I155" s="537"/>
      <c r="J155" s="537"/>
      <c r="L155" s="553">
        <f>_xll.qlCalendarAdvance(Calendar,L154,"1M","f",,Trigger)</f>
        <v>46636</v>
      </c>
      <c r="M155" s="544">
        <f>_xll.qlCalendarAdvance(Calendar,L155,"3M","mf",,Trigger)</f>
        <v>46727</v>
      </c>
      <c r="N155" s="546" t="str">
        <f>_xll.qlMakeDatedOIS(,L155,M155,"eonia",,,,,Trigger)</f>
        <v>obj_007d3#0002</v>
      </c>
      <c r="O155" s="545">
        <f>_xll.qlIndexFixing("euribor3m",_xll.qlInterestRateIndexFixingDate("Euribor3M",L155),TRUE)</f>
        <v>2.6091606014491706E-2</v>
      </c>
      <c r="P155" s="545">
        <f>_xll.qlOvernightIndexedSwapFairRate(N155,Trigger)</f>
        <v>2.4868120614289585E-2</v>
      </c>
      <c r="Q155" s="547">
        <f t="shared" si="4"/>
        <v>1.2234854002021213E-3</v>
      </c>
    </row>
    <row r="156" spans="5:17" x14ac:dyDescent="0.2">
      <c r="E156" s="538"/>
      <c r="F156" s="538"/>
      <c r="G156" s="537"/>
      <c r="I156" s="537"/>
      <c r="J156" s="537"/>
      <c r="L156" s="553">
        <f>_xll.qlCalendarAdvance(Calendar,L155,"1M","f",,Trigger)</f>
        <v>46666</v>
      </c>
      <c r="M156" s="544">
        <f>_xll.qlCalendarAdvance(Calendar,L156,"3M","mf",,Trigger)</f>
        <v>46758</v>
      </c>
      <c r="N156" s="546" t="str">
        <f>_xll.qlMakeDatedOIS(,L156,M156,"eonia",,,,,Trigger)</f>
        <v>obj_007d5#0002</v>
      </c>
      <c r="O156" s="545">
        <f>_xll.qlIndexFixing("euribor3m",_xll.qlInterestRateIndexFixingDate("Euribor3M",L156),TRUE)</f>
        <v>2.6101333602353588E-2</v>
      </c>
      <c r="P156" s="545">
        <f>_xll.qlOvernightIndexedSwapFairRate(N156,Trigger)</f>
        <v>2.4868977761272351E-2</v>
      </c>
      <c r="Q156" s="547">
        <f t="shared" si="4"/>
        <v>1.2323558410812369E-3</v>
      </c>
    </row>
    <row r="157" spans="5:17" x14ac:dyDescent="0.2">
      <c r="E157" s="538"/>
      <c r="F157" s="538"/>
      <c r="G157" s="537"/>
      <c r="I157" s="537"/>
      <c r="J157" s="537"/>
      <c r="L157" s="553">
        <f>_xll.qlCalendarAdvance(Calendar,L156,"1M","f",,Trigger)</f>
        <v>46699</v>
      </c>
      <c r="M157" s="544">
        <f>_xll.qlCalendarAdvance(Calendar,L157,"3M","mf",,Trigger)</f>
        <v>46791</v>
      </c>
      <c r="N157" s="546" t="str">
        <f>_xll.qlMakeDatedOIS(,L157,M157,"eonia",,,,,Trigger)</f>
        <v>obj_007d7#0002</v>
      </c>
      <c r="O157" s="545">
        <f>_xll.qlIndexFixing("euribor3m",_xll.qlInterestRateIndexFixingDate("Euribor3M",L157),TRUE)</f>
        <v>2.6108503499548675E-2</v>
      </c>
      <c r="P157" s="545">
        <f>_xll.qlOvernightIndexedSwapFairRate(N157,Trigger)</f>
        <v>2.4868977761272351E-2</v>
      </c>
      <c r="Q157" s="547">
        <f t="shared" si="4"/>
        <v>1.2395257382763238E-3</v>
      </c>
    </row>
    <row r="158" spans="5:17" x14ac:dyDescent="0.2">
      <c r="E158" s="538"/>
      <c r="F158" s="538"/>
      <c r="G158" s="537"/>
      <c r="I158" s="537"/>
      <c r="J158" s="537"/>
      <c r="L158" s="553">
        <f>_xll.qlCalendarAdvance(Calendar,L157,"1M","f",,Trigger)</f>
        <v>46729</v>
      </c>
      <c r="M158" s="544">
        <f>_xll.qlCalendarAdvance(Calendar,L158,"3M","mf",,Trigger)</f>
        <v>46820</v>
      </c>
      <c r="N158" s="546" t="str">
        <f>_xll.qlMakeDatedOIS(,L158,M158,"eonia",,,,,Trigger)</f>
        <v>obj_007d9#0002</v>
      </c>
      <c r="O158" s="545">
        <f>_xll.qlIndexFixing("euribor3m",_xll.qlInterestRateIndexFixingDate("Euribor3M",L158),TRUE)</f>
        <v>2.6111915027488743E-2</v>
      </c>
      <c r="P158" s="545">
        <f>_xll.qlOvernightIndexedSwapFairRate(N158,Trigger)</f>
        <v>2.4868120614289585E-2</v>
      </c>
      <c r="Q158" s="547">
        <f t="shared" si="4"/>
        <v>1.2437944131991584E-3</v>
      </c>
    </row>
    <row r="159" spans="5:17" x14ac:dyDescent="0.2">
      <c r="E159" s="538"/>
      <c r="F159" s="538"/>
      <c r="G159" s="537"/>
      <c r="I159" s="537"/>
      <c r="J159" s="537"/>
      <c r="L159" s="553">
        <f>_xll.qlCalendarAdvance(Calendar,L158,"1M","f",,Trigger)</f>
        <v>46762</v>
      </c>
      <c r="M159" s="544">
        <f>_xll.qlCalendarAdvance(Calendar,L159,"3M","mf",,Trigger)</f>
        <v>46853</v>
      </c>
      <c r="N159" s="546" t="str">
        <f>_xll.qlMakeDatedOIS(,L159,M159,"eonia",,,,,Trigger)</f>
        <v>obj_007db#0002</v>
      </c>
      <c r="O159" s="545">
        <f>_xll.qlIndexFixing("euribor3m",_xll.qlInterestRateIndexFixingDate("Euribor3M",L159),TRUE)</f>
        <v>2.6114453293980679E-2</v>
      </c>
      <c r="P159" s="545">
        <f>_xll.qlOvernightIndexedSwapFairRate(N159,Trigger)</f>
        <v>2.4868120614289582E-2</v>
      </c>
      <c r="Q159" s="547">
        <f t="shared" si="4"/>
        <v>1.2463326796910978E-3</v>
      </c>
    </row>
    <row r="160" spans="5:17" x14ac:dyDescent="0.2">
      <c r="E160" s="538"/>
      <c r="F160" s="538"/>
      <c r="G160" s="537"/>
      <c r="I160" s="537"/>
      <c r="J160" s="537"/>
      <c r="L160" s="553">
        <f>_xll.qlCalendarAdvance(Calendar,L159,"1M","f",,Trigger)</f>
        <v>46793</v>
      </c>
      <c r="M160" s="544">
        <f>_xll.qlCalendarAdvance(Calendar,L160,"3M","mf",,Trigger)</f>
        <v>46883</v>
      </c>
      <c r="N160" s="546" t="str">
        <f>_xll.qlMakeDatedOIS(,L160,M160,"eonia",,,,,Trigger)</f>
        <v>obj_007dd#0002</v>
      </c>
      <c r="O160" s="545">
        <f>_xll.qlIndexFixing("euribor3m",_xll.qlInterestRateIndexFixingDate("Euribor3M",L160),TRUE)</f>
        <v>2.6113696729660241E-2</v>
      </c>
      <c r="P160" s="545">
        <f>_xll.qlOvernightIndexedSwapFairRate(N160,Trigger)</f>
        <v>2.4867263506675563E-2</v>
      </c>
      <c r="Q160" s="547">
        <f t="shared" si="4"/>
        <v>1.2464332229846775E-3</v>
      </c>
    </row>
    <row r="161" spans="5:17" x14ac:dyDescent="0.2">
      <c r="E161" s="538"/>
      <c r="F161" s="538"/>
      <c r="G161" s="537"/>
      <c r="I161" s="537"/>
      <c r="J161" s="537"/>
      <c r="L161" s="553">
        <f>_xll.qlCalendarAdvance(Calendar,L160,"1M","f",,Trigger)</f>
        <v>46822</v>
      </c>
      <c r="M161" s="544">
        <f>_xll.qlCalendarAdvance(Calendar,L161,"3M","mf",,Trigger)</f>
        <v>46916</v>
      </c>
      <c r="N161" s="546" t="str">
        <f>_xll.qlMakeDatedOIS(,L161,M161,"eonia",,,,,Trigger)</f>
        <v>obj_007df#0002</v>
      </c>
      <c r="O161" s="545">
        <f>_xll.qlIndexFixing("euribor3m",_xll.qlInterestRateIndexFixingDate("Euribor3M",L161),TRUE)</f>
        <v>2.6115442027052013E-2</v>
      </c>
      <c r="P161" s="545">
        <f>_xll.qlOvernightIndexedSwapFairRate(N161,Trigger)</f>
        <v>2.4870692173355989E-2</v>
      </c>
      <c r="Q161" s="547">
        <f t="shared" si="4"/>
        <v>1.2447498536960235E-3</v>
      </c>
    </row>
    <row r="162" spans="5:17" x14ac:dyDescent="0.2">
      <c r="E162" s="538"/>
      <c r="F162" s="538"/>
      <c r="G162" s="537"/>
      <c r="I162" s="537"/>
      <c r="J162" s="537"/>
      <c r="L162" s="553">
        <f>_xll.qlCalendarAdvance(Calendar,L161,"1M","f",,Trigger)</f>
        <v>46853</v>
      </c>
      <c r="M162" s="544">
        <f>_xll.qlCalendarAdvance(Calendar,L162,"3M","mf",,Trigger)</f>
        <v>46944</v>
      </c>
      <c r="N162" s="546" t="str">
        <f>_xll.qlMakeDatedOIS(,L162,M162,"eonia",,,,,Trigger)</f>
        <v>obj_007e1#0002</v>
      </c>
      <c r="O162" s="545">
        <f>_xll.qlIndexFixing("euribor3m",_xll.qlInterestRateIndexFixingDate("Euribor3M",L162),TRUE)</f>
        <v>2.6108784234494219E-2</v>
      </c>
      <c r="P162" s="545">
        <f>_xll.qlOvernightIndexedSwapFairRate(N162,Trigger)</f>
        <v>2.4868120614289588E-2</v>
      </c>
      <c r="Q162" s="547">
        <f t="shared" si="4"/>
        <v>1.2406636202046302E-3</v>
      </c>
    </row>
    <row r="163" spans="5:17" x14ac:dyDescent="0.2">
      <c r="E163" s="538"/>
      <c r="F163" s="538"/>
      <c r="G163" s="537"/>
      <c r="I163" s="537"/>
      <c r="J163" s="537"/>
      <c r="L163" s="553">
        <f>_xll.qlCalendarAdvance(Calendar,L162,"1M","f",,Trigger)</f>
        <v>46883</v>
      </c>
      <c r="M163" s="544">
        <f>_xll.qlCalendarAdvance(Calendar,L163,"3M","mf",,Trigger)</f>
        <v>46975</v>
      </c>
      <c r="N163" s="546" t="str">
        <f>_xll.qlMakeDatedOIS(,L163,M163,"eonia",,,,,Trigger)</f>
        <v>obj_007e3#0002</v>
      </c>
      <c r="O163" s="545">
        <f>_xll.qlIndexFixing("euribor3m",_xll.qlInterestRateIndexFixingDate("Euribor3M",L163),TRUE)</f>
        <v>2.6103650886081967E-2</v>
      </c>
      <c r="P163" s="545">
        <f>_xll.qlOvernightIndexedSwapFairRate(N163,Trigger)</f>
        <v>2.4868977761272348E-2</v>
      </c>
      <c r="Q163" s="547">
        <f t="shared" si="4"/>
        <v>1.2346731248096196E-3</v>
      </c>
    </row>
    <row r="164" spans="5:17" x14ac:dyDescent="0.2">
      <c r="E164" s="538"/>
      <c r="F164" s="538"/>
      <c r="G164" s="537"/>
      <c r="I164" s="537"/>
      <c r="J164" s="537"/>
      <c r="L164" s="553">
        <f>_xll.qlCalendarAdvance(Calendar,L163,"1M","f",,Trigger)</f>
        <v>46916</v>
      </c>
      <c r="M164" s="544">
        <f>_xll.qlCalendarAdvance(Calendar,L164,"3M","mf",,Trigger)</f>
        <v>47008</v>
      </c>
      <c r="N164" s="546" t="str">
        <f>_xll.qlMakeDatedOIS(,L164,M164,"eonia",,,,,Trigger)</f>
        <v>obj_007e5#0002</v>
      </c>
      <c r="O164" s="545">
        <f>_xll.qlIndexFixing("euribor3m",_xll.qlInterestRateIndexFixingDate("Euribor3M",L164),TRUE)</f>
        <v>2.6094740390991498E-2</v>
      </c>
      <c r="P164" s="545">
        <f>_xll.qlOvernightIndexedSwapFairRate(N164,Trigger)</f>
        <v>2.4868977761273219E-2</v>
      </c>
      <c r="Q164" s="547">
        <f t="shared" si="4"/>
        <v>1.2257626297182793E-3</v>
      </c>
    </row>
    <row r="165" spans="5:17" x14ac:dyDescent="0.2">
      <c r="E165" s="538"/>
      <c r="F165" s="538"/>
      <c r="G165" s="537"/>
      <c r="I165" s="537"/>
      <c r="J165" s="537"/>
      <c r="L165" s="553">
        <f>_xll.qlCalendarAdvance(Calendar,L164,"1M","f",,Trigger)</f>
        <v>46946</v>
      </c>
      <c r="M165" s="544">
        <f>_xll.qlCalendarAdvance(Calendar,L165,"3M","mf",,Trigger)</f>
        <v>47038</v>
      </c>
      <c r="N165" s="546" t="str">
        <f>_xll.qlMakeDatedOIS(,L165,M165,"eonia",,,,,Trigger)</f>
        <v>obj_007e7#0002</v>
      </c>
      <c r="O165" s="545">
        <f>_xll.qlIndexFixing("euribor3m",_xll.qlInterestRateIndexFixingDate("Euribor3M",L165),TRUE)</f>
        <v>2.6084517921206925E-2</v>
      </c>
      <c r="P165" s="545">
        <f>_xll.qlOvernightIndexedSwapFairRate(N165,Trigger)</f>
        <v>2.4868977761272351E-2</v>
      </c>
      <c r="Q165" s="547">
        <f t="shared" si="4"/>
        <v>1.2155401599345736E-3</v>
      </c>
    </row>
    <row r="166" spans="5:17" x14ac:dyDescent="0.2">
      <c r="E166" s="538"/>
      <c r="F166" s="538"/>
      <c r="G166" s="537"/>
      <c r="I166" s="537"/>
      <c r="J166" s="537"/>
      <c r="L166" s="553">
        <f>_xll.qlCalendarAdvance(Calendar,L165,"1M","f",,Trigger)</f>
        <v>46979</v>
      </c>
      <c r="M166" s="544">
        <f>_xll.qlCalendarAdvance(Calendar,L166,"3M","mf",,Trigger)</f>
        <v>47071</v>
      </c>
      <c r="N166" s="546" t="str">
        <f>_xll.qlMakeDatedOIS(,L166,M166,"eonia",,,,,Trigger)</f>
        <v>obj_007e9#0002</v>
      </c>
      <c r="O166" s="545">
        <f>_xll.qlIndexFixing("euribor3m",_xll.qlInterestRateIndexFixingDate("Euribor3M",L166),TRUE)</f>
        <v>2.6070939002156873E-2</v>
      </c>
      <c r="P166" s="545">
        <f>_xll.qlOvernightIndexedSwapFairRate(N166,Trigger)</f>
        <v>2.4868977761273222E-2</v>
      </c>
      <c r="Q166" s="547">
        <f t="shared" si="4"/>
        <v>1.2019612408836512E-3</v>
      </c>
    </row>
    <row r="167" spans="5:17" x14ac:dyDescent="0.2">
      <c r="E167" s="538"/>
      <c r="F167" s="538"/>
      <c r="G167" s="537"/>
      <c r="I167" s="537"/>
      <c r="J167" s="537"/>
      <c r="L167" s="553">
        <f>_xll.qlCalendarAdvance(Calendar,L166,"1M","f",,Trigger)</f>
        <v>47010</v>
      </c>
      <c r="M167" s="544">
        <f>_xll.qlCalendarAdvance(Calendar,L167,"3M","mf",,Trigger)</f>
        <v>47101</v>
      </c>
      <c r="N167" s="546" t="str">
        <f>_xll.qlMakeDatedOIS(,L167,M167,"eonia",,,,,Trigger)</f>
        <v>obj_007eb#0002</v>
      </c>
      <c r="O167" s="545">
        <f>_xll.qlIndexFixing("euribor3m",_xll.qlInterestRateIndexFixingDate("Euribor3M",L167),TRUE)</f>
        <v>2.6055290595963551E-2</v>
      </c>
      <c r="P167" s="545">
        <f>_xll.qlOvernightIndexedSwapFairRate(N167,Trigger)</f>
        <v>2.4868120614288707E-2</v>
      </c>
      <c r="Q167" s="547">
        <f t="shared" si="4"/>
        <v>1.1871699816748439E-3</v>
      </c>
    </row>
    <row r="168" spans="5:17" x14ac:dyDescent="0.2">
      <c r="E168" s="538"/>
      <c r="F168" s="538"/>
      <c r="G168" s="537"/>
      <c r="I168" s="537"/>
      <c r="J168" s="537"/>
      <c r="L168" s="553">
        <f>_xll.qlCalendarAdvance(Calendar,L167,"1M","f",,Trigger)</f>
        <v>47042</v>
      </c>
      <c r="M168" s="544">
        <f>_xll.qlCalendarAdvance(Calendar,L168,"3M","mf",,Trigger)</f>
        <v>47134</v>
      </c>
      <c r="N168" s="546" t="str">
        <f>_xll.qlMakeDatedOIS(,L168,M168,"eonia",,,,,Trigger)</f>
        <v>obj_007ed#0002</v>
      </c>
      <c r="O168" s="545">
        <f>_xll.qlIndexFixing("euribor3m",_xll.qlInterestRateIndexFixingDate("Euribor3M",L168),TRUE)</f>
        <v>2.6038225297985211E-2</v>
      </c>
      <c r="P168" s="545">
        <f>_xll.qlOvernightIndexedSwapFairRate(N168,Trigger)</f>
        <v>2.4868977761273222E-2</v>
      </c>
      <c r="Q168" s="547">
        <f t="shared" si="4"/>
        <v>1.1692475367119891E-3</v>
      </c>
    </row>
    <row r="169" spans="5:17" x14ac:dyDescent="0.2">
      <c r="E169" s="538"/>
      <c r="F169" s="538"/>
      <c r="G169" s="537"/>
      <c r="I169" s="537"/>
      <c r="J169" s="537"/>
      <c r="L169" s="553">
        <f>_xll.qlCalendarAdvance(Calendar,L168,"1M","f",,Trigger)</f>
        <v>47073</v>
      </c>
      <c r="M169" s="544">
        <f>_xll.qlCalendarAdvance(Calendar,L169,"3M","mf",,Trigger)</f>
        <v>47165</v>
      </c>
      <c r="N169" s="546" t="str">
        <f>_xll.qlMakeDatedOIS(,L169,M169,"eonia",,,,,Trigger)</f>
        <v>obj_007ef#0002</v>
      </c>
      <c r="O169" s="545">
        <f>_xll.qlIndexFixing("euribor3m",_xll.qlInterestRateIndexFixingDate("Euribor3M",L169),TRUE)</f>
        <v>2.6018856477566379E-2</v>
      </c>
      <c r="P169" s="545">
        <f>_xll.qlOvernightIndexedSwapFairRate(N169,Trigger)</f>
        <v>2.4868977761273222E-2</v>
      </c>
      <c r="Q169" s="547">
        <f t="shared" si="4"/>
        <v>1.1498787162931567E-3</v>
      </c>
    </row>
    <row r="170" spans="5:17" x14ac:dyDescent="0.2">
      <c r="E170" s="538"/>
      <c r="F170" s="538"/>
      <c r="G170" s="537"/>
      <c r="I170" s="537"/>
      <c r="J170" s="537"/>
      <c r="L170" s="553">
        <f>_xll.qlCalendarAdvance(Calendar,L169,"1M","f",,Trigger)</f>
        <v>47105</v>
      </c>
      <c r="M170" s="544">
        <f>_xll.qlCalendarAdvance(Calendar,L170,"3M","mf",,Trigger)</f>
        <v>47196</v>
      </c>
      <c r="N170" s="546" t="str">
        <f>_xll.qlMakeDatedOIS(,L170,M170,"eonia",,,,,Trigger)</f>
        <v>obj_007f1#0002</v>
      </c>
      <c r="O170" s="545">
        <f>_xll.qlIndexFixing("euribor3m",_xll.qlInterestRateIndexFixingDate("Euribor3M",L170),TRUE)</f>
        <v>2.5996045493348989E-2</v>
      </c>
      <c r="P170" s="545">
        <f>_xll.qlOvernightIndexedSwapFairRate(N170,Trigger)</f>
        <v>2.4868120614288704E-2</v>
      </c>
      <c r="Q170" s="547">
        <f t="shared" si="4"/>
        <v>1.1279248790602853E-3</v>
      </c>
    </row>
    <row r="171" spans="5:17" x14ac:dyDescent="0.2">
      <c r="E171" s="538"/>
      <c r="F171" s="538"/>
      <c r="G171" s="537"/>
      <c r="I171" s="537"/>
      <c r="J171" s="537"/>
      <c r="L171" s="553">
        <f>_xll.qlCalendarAdvance(Calendar,L170,"1M","f",,Trigger)</f>
        <v>47136</v>
      </c>
      <c r="M171" s="544">
        <f>_xll.qlCalendarAdvance(Calendar,L171,"3M","mf",,Trigger)</f>
        <v>47226</v>
      </c>
      <c r="N171" s="546" t="str">
        <f>_xll.qlMakeDatedOIS(,L171,M171,"eonia",,,,,Trigger)</f>
        <v>obj_007f3#0002</v>
      </c>
      <c r="O171" s="545">
        <f>_xll.qlIndexFixing("euribor3m",_xll.qlInterestRateIndexFixingDate("Euribor3M",L171),TRUE)</f>
        <v>2.5971809704356197E-2</v>
      </c>
      <c r="P171" s="545">
        <f>_xll.qlOvernightIndexedSwapFairRate(N171,Trigger)</f>
        <v>2.4867263506675563E-2</v>
      </c>
      <c r="Q171" s="547">
        <f t="shared" si="4"/>
        <v>1.1045461976806337E-3</v>
      </c>
    </row>
    <row r="172" spans="5:17" x14ac:dyDescent="0.2">
      <c r="E172" s="538"/>
      <c r="F172" s="538"/>
      <c r="G172" s="537"/>
      <c r="I172" s="537"/>
      <c r="J172" s="537"/>
      <c r="L172" s="553">
        <f>_xll.qlCalendarAdvance(Calendar,L171,"1M","f",,Trigger)</f>
        <v>47168</v>
      </c>
      <c r="M172" s="544">
        <f>_xll.qlCalendarAdvance(Calendar,L172,"3M","mf",,Trigger)</f>
        <v>47259</v>
      </c>
      <c r="N172" s="546" t="str">
        <f>_xll.qlMakeDatedOIS(,L172,M172,"eonia",,,,,Trigger)</f>
        <v>obj_007f5#0002</v>
      </c>
      <c r="O172" s="545">
        <f>_xll.qlIndexFixing("euribor3m",_xll.qlInterestRateIndexFixingDate("Euribor3M",L172),TRUE)</f>
        <v>2.5945582241017003E-2</v>
      </c>
      <c r="P172" s="545">
        <f>_xll.qlOvernightIndexedSwapFairRate(N172,Trigger)</f>
        <v>2.4868120614288711E-2</v>
      </c>
      <c r="Q172" s="547">
        <f t="shared" si="4"/>
        <v>1.0774616267282926E-3</v>
      </c>
    </row>
    <row r="173" spans="5:17" x14ac:dyDescent="0.2">
      <c r="E173" s="538"/>
      <c r="F173" s="538"/>
      <c r="G173" s="537"/>
      <c r="I173" s="537"/>
      <c r="J173" s="537"/>
      <c r="L173" s="553">
        <f>_xll.qlCalendarAdvance(Calendar,L172,"1M","f",,Trigger)</f>
        <v>47196</v>
      </c>
      <c r="M173" s="544">
        <f>_xll.qlCalendarAdvance(Calendar,L173,"3M","mf",,Trigger)</f>
        <v>47288</v>
      </c>
      <c r="N173" s="546" t="str">
        <f>_xll.qlMakeDatedOIS(,L173,M173,"eonia",,,,,Trigger)</f>
        <v>obj_007f7#0002</v>
      </c>
      <c r="O173" s="545">
        <f>_xll.qlIndexFixing("euribor3m",_xll.qlInterestRateIndexFixingDate("Euribor3M",L173),TRUE)</f>
        <v>2.5920740239404414E-2</v>
      </c>
      <c r="P173" s="545">
        <f>_xll.qlOvernightIndexedSwapFairRate(N173,Trigger)</f>
        <v>2.4868977761272351E-2</v>
      </c>
      <c r="Q173" s="547">
        <f t="shared" si="4"/>
        <v>1.0517624781320629E-3</v>
      </c>
    </row>
    <row r="174" spans="5:17" x14ac:dyDescent="0.2">
      <c r="E174" s="538"/>
      <c r="F174" s="538"/>
      <c r="G174" s="537"/>
      <c r="I174" s="537"/>
      <c r="J174" s="537"/>
      <c r="L174" s="553">
        <f>_xll.qlCalendarAdvance(Calendar,L173,"1M","f",,Trigger)</f>
        <v>47227</v>
      </c>
      <c r="M174" s="544">
        <f>_xll.qlCalendarAdvance(Calendar,L174,"3M","mf",,Trigger)</f>
        <v>47318</v>
      </c>
      <c r="N174" s="546" t="str">
        <f>_xll.qlMakeDatedOIS(,L174,M174,"eonia",,,,,Trigger)</f>
        <v>obj_007f9#0002</v>
      </c>
      <c r="O174" s="545">
        <f>_xll.qlIndexFixing("euribor3m",_xll.qlInterestRateIndexFixingDate("Euribor3M",L174),TRUE)</f>
        <v>2.5890242848855521E-2</v>
      </c>
      <c r="P174" s="545">
        <f>_xll.qlOvernightIndexedSwapFairRate(N174,Trigger)</f>
        <v>2.4868120614289585E-2</v>
      </c>
      <c r="Q174" s="547">
        <f t="shared" si="4"/>
        <v>1.0221222345659364E-3</v>
      </c>
    </row>
    <row r="175" spans="5:17" x14ac:dyDescent="0.2">
      <c r="E175" s="538"/>
      <c r="F175" s="538"/>
      <c r="G175" s="537"/>
      <c r="I175" s="537"/>
      <c r="J175" s="537"/>
      <c r="L175" s="553">
        <f>_xll.qlCalendarAdvance(Calendar,L174,"1M","f",,Trigger)</f>
        <v>47259</v>
      </c>
      <c r="M175" s="544">
        <f>_xll.qlCalendarAdvance(Calendar,L175,"3M","mf",,Trigger)</f>
        <v>47351</v>
      </c>
      <c r="N175" s="546" t="str">
        <f>_xll.qlMakeDatedOIS(,L175,M175,"eonia",,,,,Trigger)</f>
        <v>obj_007fb#0002</v>
      </c>
      <c r="O175" s="545">
        <f>_xll.qlIndexFixing("euribor3m",_xll.qlInterestRateIndexFixingDate("Euribor3M",L175),TRUE)</f>
        <v>2.5857331483551477E-2</v>
      </c>
      <c r="P175" s="545">
        <f>_xll.qlOvernightIndexedSwapFairRate(N175,Trigger)</f>
        <v>2.4805826102281478E-2</v>
      </c>
      <c r="Q175" s="547">
        <f t="shared" si="4"/>
        <v>1.0515053812699994E-3</v>
      </c>
    </row>
    <row r="176" spans="5:17" x14ac:dyDescent="0.2">
      <c r="E176" s="538"/>
      <c r="F176" s="538"/>
      <c r="G176" s="537"/>
      <c r="I176" s="537"/>
      <c r="J176" s="537"/>
      <c r="L176" s="553">
        <f>_xll.qlCalendarAdvance(Calendar,L175,"1M","f",,Trigger)</f>
        <v>47290</v>
      </c>
      <c r="M176" s="544">
        <f>_xll.qlCalendarAdvance(Calendar,L176,"3M","mf",,Trigger)</f>
        <v>47382</v>
      </c>
      <c r="N176" s="546" t="str">
        <f>_xll.qlMakeDatedOIS(,L176,M176,"eonia",,,,,Trigger)</f>
        <v>obj_007fd#0002</v>
      </c>
      <c r="O176" s="545">
        <f>_xll.qlIndexFixing("euribor3m",_xll.qlInterestRateIndexFixingDate("Euribor3M",L176),TRUE)</f>
        <v>2.582305642369247E-2</v>
      </c>
      <c r="P176" s="545">
        <f>_xll.qlOvernightIndexedSwapFairRate(N176,Trigger)</f>
        <v>2.4479558664180966E-2</v>
      </c>
      <c r="Q176" s="547">
        <f t="shared" si="4"/>
        <v>1.3434977595115048E-3</v>
      </c>
    </row>
    <row r="177" spans="5:17" x14ac:dyDescent="0.2">
      <c r="E177" s="538"/>
      <c r="F177" s="538"/>
      <c r="G177" s="537"/>
      <c r="I177" s="537"/>
      <c r="J177" s="537"/>
      <c r="L177" s="553">
        <f>_xll.qlCalendarAdvance(Calendar,L176,"1M","f",,Trigger)</f>
        <v>47322</v>
      </c>
      <c r="M177" s="544">
        <f>_xll.qlCalendarAdvance(Calendar,L177,"3M","mf",,Trigger)</f>
        <v>47414</v>
      </c>
      <c r="N177" s="546" t="str">
        <f>_xll.qlMakeDatedOIS(,L177,M177,"eonia",,,,,Trigger)</f>
        <v>obj_007ff#0002</v>
      </c>
      <c r="O177" s="545">
        <f>_xll.qlIndexFixing("euribor3m",_xll.qlInterestRateIndexFixingDate("Euribor3M",L177),TRUE)</f>
        <v>2.5786297525391581E-2</v>
      </c>
      <c r="P177" s="545">
        <f>_xll.qlOvernightIndexedSwapFairRate(N177,Trigger)</f>
        <v>2.4142794824717581E-2</v>
      </c>
      <c r="Q177" s="547">
        <f t="shared" si="4"/>
        <v>1.6435027006739995E-3</v>
      </c>
    </row>
    <row r="178" spans="5:17" x14ac:dyDescent="0.2">
      <c r="E178" s="538"/>
      <c r="F178" s="538"/>
      <c r="G178" s="537"/>
      <c r="I178" s="537"/>
      <c r="J178" s="537"/>
      <c r="L178" s="553">
        <f>_xll.qlCalendarAdvance(Calendar,L177,"1M","f",,Trigger)</f>
        <v>47353</v>
      </c>
      <c r="M178" s="544">
        <f>_xll.qlCalendarAdvance(Calendar,L178,"3M","mf",,Trigger)</f>
        <v>47445</v>
      </c>
      <c r="N178" s="546" t="str">
        <f>_xll.qlMakeDatedOIS(,L178,M178,"eonia",,,,,Trigger)</f>
        <v>obj_00801#0002</v>
      </c>
      <c r="O178" s="545">
        <f>_xll.qlIndexFixing("euribor3m",_xll.qlInterestRateIndexFixingDate("Euribor3M",L178),TRUE)</f>
        <v>2.5750069661802547E-2</v>
      </c>
      <c r="P178" s="545">
        <f>_xll.qlOvernightIndexedSwapFairRate(N178,Trigger)</f>
        <v>2.390076360575533E-2</v>
      </c>
      <c r="Q178" s="547">
        <f t="shared" si="4"/>
        <v>1.8493060560472174E-3</v>
      </c>
    </row>
    <row r="179" spans="5:17" x14ac:dyDescent="0.2">
      <c r="E179" s="538"/>
      <c r="F179" s="538"/>
      <c r="G179" s="537"/>
      <c r="I179" s="537"/>
      <c r="J179" s="537"/>
      <c r="L179" s="553">
        <f>_xll.qlCalendarAdvance(Calendar,L178,"1M","f",,Trigger)</f>
        <v>47385</v>
      </c>
      <c r="M179" s="544">
        <f>_xll.qlCalendarAdvance(Calendar,L179,"3M","mf",,Trigger)</f>
        <v>47476</v>
      </c>
      <c r="N179" s="546" t="str">
        <f>_xll.qlMakeDatedOIS(,L179,M179,"eonia",,,,,Trigger)</f>
        <v>obj_00803#0002</v>
      </c>
      <c r="O179" s="545">
        <f>_xll.qlIndexFixing("euribor3m",_xll.qlInterestRateIndexFixingDate("Euribor3M",L179),TRUE)</f>
        <v>2.5712212823879383E-2</v>
      </c>
      <c r="P179" s="545">
        <f>_xll.qlOvernightIndexedSwapFairRate(N179,Trigger)</f>
        <v>2.3899971835749944E-2</v>
      </c>
      <c r="Q179" s="547">
        <f t="shared" si="4"/>
        <v>1.8122409881294391E-3</v>
      </c>
    </row>
    <row r="180" spans="5:17" x14ac:dyDescent="0.2">
      <c r="E180" s="538"/>
      <c r="F180" s="538"/>
      <c r="G180" s="537"/>
      <c r="I180" s="537"/>
      <c r="J180" s="537"/>
      <c r="L180" s="553">
        <f>_xll.qlCalendarAdvance(Calendar,L179,"1M","f",,Trigger)</f>
        <v>47415</v>
      </c>
      <c r="M180" s="544">
        <f>_xll.qlCalendarAdvance(Calendar,L180,"3M","mf",,Trigger)</f>
        <v>47507</v>
      </c>
      <c r="N180" s="546" t="str">
        <f>_xll.qlMakeDatedOIS(,L180,M180,"eonia",,,,,Trigger)</f>
        <v>obj_00805#0002</v>
      </c>
      <c r="O180" s="545">
        <f>_xll.qlIndexFixing("euribor3m",_xll.qlInterestRateIndexFixingDate("Euribor3M",L180),TRUE)</f>
        <v>2.567728259595841E-2</v>
      </c>
      <c r="P180" s="545">
        <f>_xll.qlOvernightIndexedSwapFairRate(N180,Trigger)</f>
        <v>2.3900763605754462E-2</v>
      </c>
      <c r="Q180" s="547">
        <f t="shared" si="4"/>
        <v>1.7765189902039479E-3</v>
      </c>
    </row>
    <row r="181" spans="5:17" x14ac:dyDescent="0.2">
      <c r="E181" s="538"/>
      <c r="F181" s="538"/>
      <c r="G181" s="537"/>
      <c r="I181" s="537"/>
      <c r="J181" s="537"/>
      <c r="L181" s="553">
        <f>_xll.qlCalendarAdvance(Calendar,L180,"1M","f",,Trigger)</f>
        <v>47448</v>
      </c>
      <c r="M181" s="544">
        <f>_xll.qlCalendarAdvance(Calendar,L181,"3M","mf",,Trigger)</f>
        <v>47540</v>
      </c>
      <c r="N181" s="546" t="str">
        <f>_xll.qlMakeDatedOIS(,L181,M181,"eonia",,,,,Trigger)</f>
        <v>obj_00807#0002</v>
      </c>
      <c r="O181" s="545">
        <f>_xll.qlIndexFixing("euribor3m",_xll.qlInterestRateIndexFixingDate("Euribor3M",L181),TRUE)</f>
        <v>2.5638412795199475E-2</v>
      </c>
      <c r="P181" s="545">
        <f>_xll.qlOvernightIndexedSwapFairRate(N181,Trigger)</f>
        <v>2.3900763605754455E-2</v>
      </c>
      <c r="Q181" s="547">
        <f t="shared" si="4"/>
        <v>1.7376491894450195E-3</v>
      </c>
    </row>
    <row r="182" spans="5:17" x14ac:dyDescent="0.2">
      <c r="E182" s="538"/>
      <c r="F182" s="538"/>
      <c r="G182" s="537"/>
      <c r="I182" s="537"/>
      <c r="J182" s="537"/>
      <c r="L182" s="553">
        <f>_xll.qlCalendarAdvance(Calendar,L181,"1M","f",,Trigger)</f>
        <v>47479</v>
      </c>
      <c r="M182" s="544">
        <f>_xll.qlCalendarAdvance(Calendar,L182,"3M","mf",,Trigger)</f>
        <v>47569</v>
      </c>
      <c r="N182" s="546" t="str">
        <f>_xll.qlMakeDatedOIS(,L182,M182,"eonia",,,,,Trigger)</f>
        <v>obj_00809#0002</v>
      </c>
      <c r="O182" s="545">
        <f>_xll.qlIndexFixing("euribor3m",_xll.qlInterestRateIndexFixingDate("Euribor3M",L182),TRUE)</f>
        <v>2.560118368822728E-2</v>
      </c>
      <c r="P182" s="545">
        <f>_xll.qlOvernightIndexedSwapFairRate(N182,Trigger)</f>
        <v>2.3899180100700693E-2</v>
      </c>
      <c r="Q182" s="547">
        <f t="shared" si="4"/>
        <v>1.702003587526587E-3</v>
      </c>
    </row>
    <row r="183" spans="5:17" x14ac:dyDescent="0.2">
      <c r="E183" s="538"/>
      <c r="F183" s="538"/>
      <c r="G183" s="537"/>
      <c r="I183" s="537"/>
      <c r="J183" s="537"/>
      <c r="L183" s="553">
        <f>_xll.qlCalendarAdvance(Calendar,L182,"1M","f",,Trigger)</f>
        <v>47511</v>
      </c>
      <c r="M183" s="544">
        <f>_xll.qlCalendarAdvance(Calendar,L183,"3M","mf",,Trigger)</f>
        <v>47602</v>
      </c>
      <c r="N183" s="546" t="str">
        <f>_xll.qlMakeDatedOIS(,L183,M183,"eonia",,,,,Trigger)</f>
        <v>obj_0080b#0002</v>
      </c>
      <c r="O183" s="545">
        <f>_xll.qlIndexFixing("euribor3m",_xll.qlInterestRateIndexFixingDate("Euribor3M",L183),TRUE)</f>
        <v>2.556364640757345E-2</v>
      </c>
      <c r="P183" s="545">
        <f>_xll.qlOvernightIndexedSwapFairRate(N183,Trigger)</f>
        <v>2.3899971835750825E-2</v>
      </c>
      <c r="Q183" s="547">
        <f t="shared" si="4"/>
        <v>1.6636745718226244E-3</v>
      </c>
    </row>
    <row r="184" spans="5:17" x14ac:dyDescent="0.2">
      <c r="E184" s="538"/>
      <c r="F184" s="538"/>
      <c r="G184" s="537"/>
      <c r="I184" s="537"/>
      <c r="J184" s="537"/>
      <c r="L184" s="553">
        <f>_xll.qlCalendarAdvance(Calendar,L183,"1M","f",,Trigger)</f>
        <v>47542</v>
      </c>
      <c r="M184" s="544">
        <f>_xll.qlCalendarAdvance(Calendar,L184,"3M","mf",,Trigger)</f>
        <v>47631</v>
      </c>
      <c r="N184" s="546" t="str">
        <f>_xll.qlMakeDatedOIS(,L184,M184,"eonia",,,,,Trigger)</f>
        <v>obj_0080d#0002</v>
      </c>
      <c r="O184" s="545">
        <f>_xll.qlIndexFixing("euribor3m",_xll.qlInterestRateIndexFixingDate("Euribor3M",L184),TRUE)</f>
        <v>2.5527204228979306E-2</v>
      </c>
      <c r="P184" s="545">
        <f>_xll.qlOvernightIndexedSwapFairRate(N184,Trigger)</f>
        <v>2.3898388400602988E-2</v>
      </c>
      <c r="Q184" s="547">
        <f t="shared" si="4"/>
        <v>1.6288158283763177E-3</v>
      </c>
    </row>
    <row r="185" spans="5:17" x14ac:dyDescent="0.2">
      <c r="E185" s="538"/>
      <c r="F185" s="538"/>
      <c r="G185" s="537"/>
      <c r="I185" s="537"/>
      <c r="J185" s="537"/>
      <c r="L185" s="553">
        <f>_xll.qlCalendarAdvance(Calendar,L184,"1M","f",,Trigger)</f>
        <v>47570</v>
      </c>
      <c r="M185" s="544">
        <f>_xll.qlCalendarAdvance(Calendar,L185,"3M","mf",,Trigger)</f>
        <v>47662</v>
      </c>
      <c r="N185" s="546" t="str">
        <f>_xll.qlMakeDatedOIS(,L185,M185,"eonia",,,,,Trigger)</f>
        <v>obj_0080f#0002</v>
      </c>
      <c r="O185" s="545">
        <f>_xll.qlIndexFixing("euribor3m",_xll.qlInterestRateIndexFixingDate("Euribor3M",L185),TRUE)</f>
        <v>2.5493938489812538E-2</v>
      </c>
      <c r="P185" s="545">
        <f>_xll.qlOvernightIndexedSwapFairRate(N185,Trigger)</f>
        <v>2.3900763605754455E-2</v>
      </c>
      <c r="Q185" s="547">
        <f t="shared" si="4"/>
        <v>1.593174884058083E-3</v>
      </c>
    </row>
    <row r="186" spans="5:17" x14ac:dyDescent="0.2">
      <c r="E186" s="538"/>
      <c r="F186" s="538"/>
      <c r="G186" s="537"/>
      <c r="I186" s="537"/>
      <c r="J186" s="537"/>
      <c r="L186" s="553">
        <f>_xll.qlCalendarAdvance(Calendar,L185,"1M","f",,Trigger)</f>
        <v>47602</v>
      </c>
      <c r="M186" s="544">
        <f>_xll.qlCalendarAdvance(Calendar,L186,"3M","mf",,Trigger)</f>
        <v>47693</v>
      </c>
      <c r="N186" s="546" t="str">
        <f>_xll.qlMakeDatedOIS(,L186,M186,"eonia",,,,,Trigger)</f>
        <v>obj_00811#0002</v>
      </c>
      <c r="O186" s="545">
        <f>_xll.qlIndexFixing("euribor3m",_xll.qlInterestRateIndexFixingDate("Euribor3M",L186),TRUE)</f>
        <v>2.5455540393442538E-2</v>
      </c>
      <c r="P186" s="545">
        <f>_xll.qlOvernightIndexedSwapFairRate(N186,Trigger)</f>
        <v>2.3899971835750818E-2</v>
      </c>
      <c r="Q186" s="547">
        <f t="shared" si="4"/>
        <v>1.5555685576917194E-3</v>
      </c>
    </row>
    <row r="187" spans="5:17" x14ac:dyDescent="0.2">
      <c r="E187" s="538"/>
      <c r="F187" s="538"/>
      <c r="G187" s="537"/>
      <c r="I187" s="537"/>
      <c r="J187" s="537"/>
      <c r="L187" s="553">
        <f>_xll.qlCalendarAdvance(Calendar,L186,"1M","f",,Trigger)</f>
        <v>47632</v>
      </c>
      <c r="M187" s="544">
        <f>_xll.qlCalendarAdvance(Calendar,L187,"3M","mf",,Trigger)</f>
        <v>47724</v>
      </c>
      <c r="N187" s="546" t="str">
        <f>_xll.qlMakeDatedOIS(,L187,M187,"eonia",,,,,Trigger)</f>
        <v>obj_00813#0002</v>
      </c>
      <c r="O187" s="545">
        <f>_xll.qlIndexFixing("euribor3m",_xll.qlInterestRateIndexFixingDate("Euribor3M",L187),TRUE)</f>
        <v>2.5420050317003666E-2</v>
      </c>
      <c r="P187" s="545">
        <f>_xll.qlOvernightIndexedSwapFairRate(N187,Trigger)</f>
        <v>2.3900763605754459E-2</v>
      </c>
      <c r="Q187" s="547">
        <f t="shared" si="4"/>
        <v>1.519286711249207E-3</v>
      </c>
    </row>
    <row r="188" spans="5:17" x14ac:dyDescent="0.2">
      <c r="E188" s="538"/>
      <c r="F188" s="538"/>
      <c r="G188" s="537"/>
      <c r="I188" s="537"/>
      <c r="J188" s="537"/>
      <c r="L188" s="553">
        <f>_xll.qlCalendarAdvance(Calendar,L187,"1M","f",,Trigger)</f>
        <v>47665</v>
      </c>
      <c r="M188" s="544">
        <f>_xll.qlCalendarAdvance(Calendar,L188,"3M","mf",,Trigger)</f>
        <v>47757</v>
      </c>
      <c r="N188" s="546" t="str">
        <f>_xll.qlMakeDatedOIS(,L188,M188,"eonia",,,,,Trigger)</f>
        <v>obj_00815#0002</v>
      </c>
      <c r="O188" s="545">
        <f>_xll.qlIndexFixing("euribor3m",_xll.qlInterestRateIndexFixingDate("Euribor3M",L188),TRUE)</f>
        <v>2.5380594468373627E-2</v>
      </c>
      <c r="P188" s="545">
        <f>_xll.qlOvernightIndexedSwapFairRate(N188,Trigger)</f>
        <v>2.3900763605754459E-2</v>
      </c>
      <c r="Q188" s="547">
        <f t="shared" si="4"/>
        <v>1.4798308626191685E-3</v>
      </c>
    </row>
    <row r="189" spans="5:17" x14ac:dyDescent="0.2">
      <c r="E189" s="538"/>
      <c r="F189" s="538"/>
      <c r="G189" s="537"/>
      <c r="I189" s="537"/>
      <c r="J189" s="537"/>
      <c r="L189" s="553">
        <f>_xll.qlCalendarAdvance(Calendar,L188,"1M","f",,Trigger)</f>
        <v>47696</v>
      </c>
      <c r="M189" s="544">
        <f>_xll.qlCalendarAdvance(Calendar,L189,"3M","mf",,Trigger)</f>
        <v>47788</v>
      </c>
      <c r="N189" s="546" t="str">
        <f>_xll.qlMakeDatedOIS(,L189,M189,"eonia",,,,,Trigger)</f>
        <v>obj_00817#0002</v>
      </c>
      <c r="O189" s="545">
        <f>_xll.qlIndexFixing("euribor3m",_xll.qlInterestRateIndexFixingDate("Euribor3M",L189),TRUE)</f>
        <v>2.5343448708356163E-2</v>
      </c>
      <c r="P189" s="545">
        <f>_xll.qlOvernightIndexedSwapFairRate(N189,Trigger)</f>
        <v>2.3900763605754455E-2</v>
      </c>
      <c r="Q189" s="547">
        <f t="shared" si="4"/>
        <v>1.4426851026017075E-3</v>
      </c>
    </row>
    <row r="190" spans="5:17" x14ac:dyDescent="0.2">
      <c r="E190" s="538"/>
      <c r="F190" s="538"/>
      <c r="G190" s="537"/>
      <c r="I190" s="537"/>
      <c r="J190" s="537"/>
      <c r="L190" s="553">
        <f>_xll.qlCalendarAdvance(Calendar,L189,"1M","f",,Trigger)</f>
        <v>47728</v>
      </c>
      <c r="M190" s="544">
        <f>_xll.qlCalendarAdvance(Calendar,L190,"3M","mf",,Trigger)</f>
        <v>47819</v>
      </c>
      <c r="N190" s="546" t="str">
        <f>_xll.qlMakeDatedOIS(,L190,M190,"eonia",,,,,Trigger)</f>
        <v>obj_00819#0002</v>
      </c>
      <c r="O190" s="545">
        <f>_xll.qlIndexFixing("euribor3m",_xll.qlInterestRateIndexFixingDate("Euribor3M",L190),TRUE)</f>
        <v>2.5304736423909947E-2</v>
      </c>
      <c r="P190" s="545">
        <f>_xll.qlOvernightIndexedSwapFairRate(N190,Trigger)</f>
        <v>2.3899971835750822E-2</v>
      </c>
      <c r="Q190" s="547">
        <f t="shared" si="4"/>
        <v>1.4047645881591249E-3</v>
      </c>
    </row>
    <row r="191" spans="5:17" x14ac:dyDescent="0.2">
      <c r="E191" s="538"/>
      <c r="F191" s="538"/>
      <c r="G191" s="537"/>
      <c r="I191" s="537"/>
      <c r="J191" s="537"/>
      <c r="L191" s="553">
        <f>_xll.qlCalendarAdvance(Calendar,L190,"1M","f",,Trigger)</f>
        <v>47758</v>
      </c>
      <c r="M191" s="544">
        <f>_xll.qlCalendarAdvance(Calendar,L191,"3M","mf",,Trigger)</f>
        <v>47850</v>
      </c>
      <c r="N191" s="546" t="str">
        <f>_xll.qlMakeDatedOIS(,L191,M191,"eonia",,,,,Trigger)</f>
        <v>obj_0081b#0002</v>
      </c>
      <c r="O191" s="545">
        <f>_xll.qlIndexFixing("euribor3m",_xll.qlInterestRateIndexFixingDate("Euribor3M",L191),TRUE)</f>
        <v>2.5268921282727046E-2</v>
      </c>
      <c r="P191" s="545">
        <f>_xll.qlOvernightIndexedSwapFairRate(N191,Trigger)</f>
        <v>2.3900763605754459E-2</v>
      </c>
      <c r="Q191" s="547">
        <f t="shared" si="4"/>
        <v>1.3681576769725874E-3</v>
      </c>
    </row>
    <row r="192" spans="5:17" x14ac:dyDescent="0.2">
      <c r="E192" s="538"/>
      <c r="F192" s="538"/>
      <c r="G192" s="537"/>
      <c r="I192" s="537"/>
      <c r="J192" s="537"/>
      <c r="L192" s="553">
        <f>_xll.qlCalendarAdvance(Calendar,L191,"1M","f",,Trigger)</f>
        <v>47791</v>
      </c>
      <c r="M192" s="544">
        <f>_xll.qlCalendarAdvance(Calendar,L192,"3M","mf",,Trigger)</f>
        <v>47883</v>
      </c>
      <c r="N192" s="546" t="str">
        <f>_xll.qlMakeDatedOIS(,L192,M192,"eonia",,,,,Trigger)</f>
        <v>obj_0081d#0002</v>
      </c>
      <c r="O192" s="545">
        <f>_xll.qlIndexFixing("euribor3m",_xll.qlInterestRateIndexFixingDate("Euribor3M",L192),TRUE)</f>
        <v>2.5229125201428015E-2</v>
      </c>
      <c r="P192" s="545">
        <f>_xll.qlOvernightIndexedSwapFairRate(N192,Trigger)</f>
        <v>2.3900763605755326E-2</v>
      </c>
      <c r="Q192" s="547">
        <f t="shared" si="4"/>
        <v>1.3283615956726884E-3</v>
      </c>
    </row>
    <row r="193" spans="5:17" x14ac:dyDescent="0.2">
      <c r="E193" s="538"/>
      <c r="F193" s="538"/>
      <c r="G193" s="537"/>
      <c r="I193" s="537"/>
      <c r="J193" s="537"/>
      <c r="L193" s="553">
        <f>_xll.qlCalendarAdvance(Calendar,L192,"1M","f",,Trigger)</f>
        <v>47821</v>
      </c>
      <c r="M193" s="544">
        <f>_xll.qlCalendarAdvance(Calendar,L193,"3M","mf",,Trigger)</f>
        <v>47911</v>
      </c>
      <c r="N193" s="546" t="str">
        <f>_xll.qlMakeDatedOIS(,L193,M193,"eonia",,,,,Trigger)</f>
        <v>obj_0081f#0002</v>
      </c>
      <c r="O193" s="545">
        <f>_xll.qlIndexFixing("euribor3m",_xll.qlInterestRateIndexFixingDate("Euribor3M",L193),TRUE)</f>
        <v>2.5192321260178119E-2</v>
      </c>
      <c r="P193" s="545">
        <f>_xll.qlOvernightIndexedSwapFairRate(N193,Trigger)</f>
        <v>2.389918010070069E-2</v>
      </c>
      <c r="Q193" s="547">
        <f t="shared" si="4"/>
        <v>1.2931411594774289E-3</v>
      </c>
    </row>
    <row r="194" spans="5:17" x14ac:dyDescent="0.2">
      <c r="E194" s="538"/>
      <c r="F194" s="538"/>
      <c r="G194" s="537"/>
      <c r="I194" s="537"/>
      <c r="J194" s="537"/>
      <c r="L194" s="553">
        <f>_xll.qlCalendarAdvance(Calendar,L193,"1M","f",,Trigger)</f>
        <v>47854</v>
      </c>
      <c r="M194" s="544">
        <f>_xll.qlCalendarAdvance(Calendar,L194,"3M","mf",,Trigger)</f>
        <v>47945</v>
      </c>
      <c r="N194" s="546" t="str">
        <f>_xll.qlMakeDatedOIS(,L194,M194,"eonia",,,,,Trigger)</f>
        <v>obj_00821#0002</v>
      </c>
      <c r="O194" s="545">
        <f>_xll.qlIndexFixing("euribor3m",_xll.qlInterestRateIndexFixingDate("Euribor3M",L194),TRUE)</f>
        <v>2.5152633431019023E-2</v>
      </c>
      <c r="P194" s="545">
        <f>_xll.qlOvernightIndexedSwapFairRate(N194,Trigger)</f>
        <v>2.3899971835749944E-2</v>
      </c>
      <c r="Q194" s="547">
        <f t="shared" si="4"/>
        <v>1.2526615952690792E-3</v>
      </c>
    </row>
    <row r="195" spans="5:17" x14ac:dyDescent="0.2">
      <c r="E195" s="538"/>
      <c r="F195" s="538"/>
      <c r="G195" s="537"/>
      <c r="I195" s="537"/>
      <c r="J195" s="537"/>
      <c r="L195" s="553">
        <f>_xll.qlCalendarAdvance(Calendar,L194,"1M","f",,Trigger)</f>
        <v>47885</v>
      </c>
      <c r="M195" s="544">
        <f>_xll.qlCalendarAdvance(Calendar,L195,"3M","mf",,Trigger)</f>
        <v>47974</v>
      </c>
      <c r="N195" s="546" t="str">
        <f>_xll.qlMakeDatedOIS(,L195,M195,"eonia",,,,,Trigger)</f>
        <v>obj_00823#0002</v>
      </c>
      <c r="O195" s="545">
        <f>_xll.qlIndexFixing("euribor3m",_xll.qlInterestRateIndexFixingDate("Euribor3M",L195),TRUE)</f>
        <v>2.5114479702079671E-2</v>
      </c>
      <c r="P195" s="545">
        <f>_xll.qlOvernightIndexedSwapFairRate(N195,Trigger)</f>
        <v>2.3898388400602988E-2</v>
      </c>
      <c r="Q195" s="547">
        <f t="shared" ref="Q195:Q258" si="5">O195-P195</f>
        <v>1.2160913014766829E-3</v>
      </c>
    </row>
    <row r="196" spans="5:17" x14ac:dyDescent="0.2">
      <c r="E196" s="538"/>
      <c r="F196" s="538"/>
      <c r="G196" s="537"/>
      <c r="I196" s="537"/>
      <c r="J196" s="537"/>
      <c r="L196" s="553">
        <f>_xll.qlCalendarAdvance(Calendar,L195,"1M","f",,Trigger)</f>
        <v>47913</v>
      </c>
      <c r="M196" s="544">
        <f>_xll.qlCalendarAdvance(Calendar,L196,"3M","mf",,Trigger)</f>
        <v>48005</v>
      </c>
      <c r="N196" s="546" t="str">
        <f>_xll.qlMakeDatedOIS(,L196,M196,"eonia",,,,,Trigger)</f>
        <v>obj_00825#0002</v>
      </c>
      <c r="O196" s="545">
        <f>_xll.qlIndexFixing("euribor3m",_xll.qlInterestRateIndexFixingDate("Euribor3M",L196),TRUE)</f>
        <v>2.5081226707372815E-2</v>
      </c>
      <c r="P196" s="545">
        <f>_xll.qlOvernightIndexedSwapFairRate(N196,Trigger)</f>
        <v>2.3900763605754459E-2</v>
      </c>
      <c r="Q196" s="547">
        <f t="shared" si="5"/>
        <v>1.1804631016183557E-3</v>
      </c>
    </row>
    <row r="197" spans="5:17" x14ac:dyDescent="0.2">
      <c r="E197" s="538"/>
      <c r="F197" s="538"/>
      <c r="G197" s="537"/>
      <c r="I197" s="537"/>
      <c r="J197" s="537"/>
      <c r="L197" s="553">
        <f>_xll.qlCalendarAdvance(Calendar,L196,"1M","f",,Trigger)</f>
        <v>47945</v>
      </c>
      <c r="M197" s="544">
        <f>_xll.qlCalendarAdvance(Calendar,L197,"3M","mf",,Trigger)</f>
        <v>48036</v>
      </c>
      <c r="N197" s="546" t="str">
        <f>_xll.qlMakeDatedOIS(,L197,M197,"eonia",,,,,Trigger)</f>
        <v>obj_00827#0002</v>
      </c>
      <c r="O197" s="545">
        <f>_xll.qlIndexFixing("euribor3m",_xll.qlInterestRateIndexFixingDate("Euribor3M",L197),TRUE)</f>
        <v>2.504197347343403E-2</v>
      </c>
      <c r="P197" s="545">
        <f>_xll.qlOvernightIndexedSwapFairRate(N197,Trigger)</f>
        <v>2.3899971835750822E-2</v>
      </c>
      <c r="Q197" s="547">
        <f t="shared" si="5"/>
        <v>1.1420016376832084E-3</v>
      </c>
    </row>
    <row r="198" spans="5:17" x14ac:dyDescent="0.2">
      <c r="E198" s="538"/>
      <c r="F198" s="538"/>
      <c r="G198" s="537"/>
      <c r="I198" s="537"/>
      <c r="J198" s="537"/>
      <c r="L198" s="553">
        <f>_xll.qlCalendarAdvance(Calendar,L197,"1M","f",,Trigger)</f>
        <v>47975</v>
      </c>
      <c r="M198" s="544">
        <f>_xll.qlCalendarAdvance(Calendar,L198,"3M","mf",,Trigger)</f>
        <v>48067</v>
      </c>
      <c r="N198" s="546" t="str">
        <f>_xll.qlMakeDatedOIS(,L198,M198,"eonia",,,,,Trigger)</f>
        <v>obj_00829#0002</v>
      </c>
      <c r="O198" s="545">
        <f>_xll.qlIndexFixing("euribor3m",_xll.qlInterestRateIndexFixingDate("Euribor3M",L198),TRUE)</f>
        <v>2.5005598520078401E-2</v>
      </c>
      <c r="P198" s="545">
        <f>_xll.qlOvernightIndexedSwapFairRate(N198,Trigger)</f>
        <v>2.3900763605754455E-2</v>
      </c>
      <c r="Q198" s="547">
        <f t="shared" si="5"/>
        <v>1.1048349143239454E-3</v>
      </c>
    </row>
    <row r="199" spans="5:17" x14ac:dyDescent="0.2">
      <c r="E199" s="538"/>
      <c r="F199" s="538"/>
      <c r="G199" s="537"/>
      <c r="I199" s="537"/>
      <c r="J199" s="537"/>
      <c r="L199" s="553">
        <f>_xll.qlCalendarAdvance(Calendar,L198,"1M","f",,Trigger)</f>
        <v>48008</v>
      </c>
      <c r="M199" s="544">
        <f>_xll.qlCalendarAdvance(Calendar,L199,"3M","mf",,Trigger)</f>
        <v>48100</v>
      </c>
      <c r="N199" s="546" t="str">
        <f>_xll.qlMakeDatedOIS(,L199,M199,"eonia",,,,,Trigger)</f>
        <v>obj_0082b#0002</v>
      </c>
      <c r="O199" s="545">
        <f>_xll.qlIndexFixing("euribor3m",_xll.qlInterestRateIndexFixingDate("Euribor3M",L199),TRUE)</f>
        <v>2.496521657529208E-2</v>
      </c>
      <c r="P199" s="545">
        <f>_xll.qlOvernightIndexedSwapFairRate(N199,Trigger)</f>
        <v>2.3900763605754466E-2</v>
      </c>
      <c r="Q199" s="547">
        <f t="shared" si="5"/>
        <v>1.0644529695376138E-3</v>
      </c>
    </row>
    <row r="200" spans="5:17" x14ac:dyDescent="0.2">
      <c r="E200" s="538"/>
      <c r="F200" s="538"/>
      <c r="G200" s="537"/>
      <c r="I200" s="537"/>
      <c r="J200" s="537"/>
      <c r="L200" s="553">
        <f>_xll.qlCalendarAdvance(Calendar,L199,"1M","f",,Trigger)</f>
        <v>48038</v>
      </c>
      <c r="M200" s="544">
        <f>_xll.qlCalendarAdvance(Calendar,L200,"3M","mf",,Trigger)</f>
        <v>48130</v>
      </c>
      <c r="N200" s="546" t="str">
        <f>_xll.qlMakeDatedOIS(,L200,M200,"eonia",,,,,Trigger)</f>
        <v>obj_0082d#0002</v>
      </c>
      <c r="O200" s="545">
        <f>_xll.qlIndexFixing("euribor3m",_xll.qlInterestRateIndexFixingDate("Euribor3M",L200),TRUE)</f>
        <v>2.4928428411959053E-2</v>
      </c>
      <c r="P200" s="545">
        <f>_xll.qlOvernightIndexedSwapFairRate(N200,Trigger)</f>
        <v>2.3900763605755326E-2</v>
      </c>
      <c r="Q200" s="547">
        <f t="shared" si="5"/>
        <v>1.0276648062037264E-3</v>
      </c>
    </row>
    <row r="201" spans="5:17" x14ac:dyDescent="0.2">
      <c r="E201" s="538"/>
      <c r="F201" s="538"/>
      <c r="G201" s="537"/>
      <c r="I201" s="537"/>
      <c r="J201" s="537"/>
      <c r="L201" s="553">
        <f>_xll.qlCalendarAdvance(Calendar,L200,"1M","f",,Trigger)</f>
        <v>48071</v>
      </c>
      <c r="M201" s="544">
        <f>_xll.qlCalendarAdvance(Calendar,L201,"3M","mf",,Trigger)</f>
        <v>48163</v>
      </c>
      <c r="N201" s="546" t="str">
        <f>_xll.qlMakeDatedOIS(,L201,M201,"eonia",,,,,Trigger)</f>
        <v>obj_0082f#0002</v>
      </c>
      <c r="O201" s="545">
        <f>_xll.qlIndexFixing("euribor3m",_xll.qlInterestRateIndexFixingDate("Euribor3M",L201),TRUE)</f>
        <v>2.4887876399962851E-2</v>
      </c>
      <c r="P201" s="545">
        <f>_xll.qlOvernightIndexedSwapFairRate(N201,Trigger)</f>
        <v>2.3900763605755333E-2</v>
      </c>
      <c r="Q201" s="547">
        <f t="shared" si="5"/>
        <v>9.8711279420751752E-4</v>
      </c>
    </row>
    <row r="202" spans="5:17" x14ac:dyDescent="0.2">
      <c r="E202" s="538"/>
      <c r="F202" s="538"/>
      <c r="G202" s="537"/>
      <c r="I202" s="537"/>
      <c r="J202" s="537"/>
      <c r="L202" s="553">
        <f>_xll.qlCalendarAdvance(Calendar,L201,"1M","f",,Trigger)</f>
        <v>48102</v>
      </c>
      <c r="M202" s="544">
        <f>_xll.qlCalendarAdvance(Calendar,L202,"3M","mf",,Trigger)</f>
        <v>48193</v>
      </c>
      <c r="N202" s="546" t="str">
        <f>_xll.qlMakeDatedOIS(,L202,M202,"eonia",,,,,Trigger)</f>
        <v>obj_00831#0002</v>
      </c>
      <c r="O202" s="545">
        <f>_xll.qlIndexFixing("euribor3m",_xll.qlInterestRateIndexFixingDate("Euribor3M",L202),TRUE)</f>
        <v>2.4849462062266594E-2</v>
      </c>
      <c r="P202" s="545">
        <f>_xll.qlOvernightIndexedSwapFairRate(N202,Trigger)</f>
        <v>2.3899971835750825E-2</v>
      </c>
      <c r="Q202" s="547">
        <f t="shared" si="5"/>
        <v>9.494902265157687E-4</v>
      </c>
    </row>
    <row r="203" spans="5:17" x14ac:dyDescent="0.2">
      <c r="E203" s="538"/>
      <c r="F203" s="538"/>
      <c r="G203" s="537"/>
      <c r="I203" s="537"/>
      <c r="J203" s="537"/>
      <c r="L203" s="553">
        <f>_xll.qlCalendarAdvance(Calendar,L202,"1M","f",,Trigger)</f>
        <v>48134</v>
      </c>
      <c r="M203" s="544">
        <f>_xll.qlCalendarAdvance(Calendar,L203,"3M","mf",,Trigger)</f>
        <v>48226</v>
      </c>
      <c r="N203" s="546" t="str">
        <f>_xll.qlMakeDatedOIS(,L203,M203,"eonia",,,,,Trigger)</f>
        <v>obj_00833#0002</v>
      </c>
      <c r="O203" s="545">
        <f>_xll.qlIndexFixing("euribor3m",_xll.qlInterestRateIndexFixingDate("Euribor3M",L203),TRUE)</f>
        <v>2.4810211565495791E-2</v>
      </c>
      <c r="P203" s="545">
        <f>_xll.qlOvernightIndexedSwapFairRate(N203,Trigger)</f>
        <v>2.3900763605754455E-2</v>
      </c>
      <c r="Q203" s="547">
        <f t="shared" si="5"/>
        <v>9.0944795974133574E-4</v>
      </c>
    </row>
    <row r="204" spans="5:17" x14ac:dyDescent="0.2">
      <c r="E204" s="538"/>
      <c r="F204" s="538"/>
      <c r="G204" s="537"/>
      <c r="I204" s="537"/>
      <c r="J204" s="537"/>
      <c r="L204" s="553">
        <f>_xll.qlCalendarAdvance(Calendar,L203,"1M","f",,Trigger)</f>
        <v>48165</v>
      </c>
      <c r="M204" s="544">
        <f>_xll.qlCalendarAdvance(Calendar,L204,"3M","mf",,Trigger)</f>
        <v>48257</v>
      </c>
      <c r="N204" s="546" t="str">
        <f>_xll.qlMakeDatedOIS(,L204,M204,"eonia",,,,,Trigger)</f>
        <v>obj_00835#0002</v>
      </c>
      <c r="O204" s="545">
        <f>_xll.qlIndexFixing("euribor3m",_xll.qlInterestRateIndexFixingDate("Euribor3M",L204),TRUE)</f>
        <v>2.4771876360969353E-2</v>
      </c>
      <c r="P204" s="545">
        <f>_xll.qlOvernightIndexedSwapFairRate(N204,Trigger)</f>
        <v>2.3900763605755326E-2</v>
      </c>
      <c r="Q204" s="547">
        <f t="shared" si="5"/>
        <v>8.7111275521402701E-4</v>
      </c>
    </row>
    <row r="205" spans="5:17" x14ac:dyDescent="0.2">
      <c r="E205" s="538"/>
      <c r="F205" s="538"/>
      <c r="G205" s="537"/>
      <c r="I205" s="537"/>
      <c r="J205" s="537"/>
      <c r="L205" s="553">
        <f>_xll.qlCalendarAdvance(Calendar,L204,"1M","f",,Trigger)</f>
        <v>48197</v>
      </c>
      <c r="M205" s="544">
        <f>_xll.qlCalendarAdvance(Calendar,L205,"3M","mf",,Trigger)</f>
        <v>48288</v>
      </c>
      <c r="N205" s="546" t="str">
        <f>_xll.qlMakeDatedOIS(,L205,M205,"eonia",,,,,Trigger)</f>
        <v>obj_00837#0002</v>
      </c>
      <c r="O205" s="545">
        <f>_xll.qlIndexFixing("euribor3m",_xll.qlInterestRateIndexFixingDate("Euribor3M",L205),TRUE)</f>
        <v>2.4731995161463283E-2</v>
      </c>
      <c r="P205" s="545">
        <f>_xll.qlOvernightIndexedSwapFairRate(N205,Trigger)</f>
        <v>2.3899971835750818E-2</v>
      </c>
      <c r="Q205" s="547">
        <f t="shared" si="5"/>
        <v>8.3202332571246512E-4</v>
      </c>
    </row>
    <row r="206" spans="5:17" x14ac:dyDescent="0.2">
      <c r="E206" s="538"/>
      <c r="F206" s="538"/>
      <c r="G206" s="537"/>
      <c r="I206" s="537"/>
      <c r="J206" s="537"/>
      <c r="L206" s="553">
        <f>_xll.qlCalendarAdvance(Calendar,L205,"1M","f",,Trigger)</f>
        <v>48228</v>
      </c>
      <c r="M206" s="544">
        <f>_xll.qlCalendarAdvance(Calendar,L206,"3M","mf",,Trigger)</f>
        <v>48319</v>
      </c>
      <c r="N206" s="546" t="str">
        <f>_xll.qlMakeDatedOIS(,L206,M206,"eonia",,,,,Trigger)</f>
        <v>obj_00839#0002</v>
      </c>
      <c r="O206" s="545">
        <f>_xll.qlIndexFixing("euribor3m",_xll.qlInterestRateIndexFixingDate("Euribor3M",L206),TRUE)</f>
        <v>2.46935041224619E-2</v>
      </c>
      <c r="P206" s="545">
        <f>_xll.qlOvernightIndexedSwapFairRate(N206,Trigger)</f>
        <v>2.389997183574994E-2</v>
      </c>
      <c r="Q206" s="547">
        <f t="shared" si="5"/>
        <v>7.935322867119593E-4</v>
      </c>
    </row>
    <row r="207" spans="5:17" x14ac:dyDescent="0.2">
      <c r="E207" s="538"/>
      <c r="F207" s="538"/>
      <c r="G207" s="537"/>
      <c r="I207" s="537"/>
      <c r="J207" s="537"/>
      <c r="L207" s="553">
        <f>_xll.qlCalendarAdvance(Calendar,L206,"1M","f",,Trigger)</f>
        <v>48260</v>
      </c>
      <c r="M207" s="544">
        <f>_xll.qlCalendarAdvance(Calendar,L207,"3M","mf",,Trigger)</f>
        <v>48351</v>
      </c>
      <c r="N207" s="546" t="str">
        <f>_xll.qlMakeDatedOIS(,L207,M207,"eonia",,,,,Trigger)</f>
        <v>obj_0083b#0002</v>
      </c>
      <c r="O207" s="545">
        <f>_xll.qlIndexFixing("euribor3m",_xll.qlInterestRateIndexFixingDate("Euribor3M",L207),TRUE)</f>
        <v>2.465368899748295E-2</v>
      </c>
      <c r="P207" s="545">
        <f>_xll.qlOvernightIndexedSwapFairRate(N207,Trigger)</f>
        <v>2.3899971835750822E-2</v>
      </c>
      <c r="Q207" s="547">
        <f t="shared" si="5"/>
        <v>7.5371716173212866E-4</v>
      </c>
    </row>
    <row r="208" spans="5:17" x14ac:dyDescent="0.2">
      <c r="E208" s="538"/>
      <c r="F208" s="538"/>
      <c r="G208" s="537"/>
      <c r="I208" s="537"/>
      <c r="J208" s="537"/>
      <c r="L208" s="553">
        <f>_xll.qlCalendarAdvance(Calendar,L207,"1M","f",,Trigger)</f>
        <v>48289</v>
      </c>
      <c r="M208" s="544">
        <f>_xll.qlCalendarAdvance(Calendar,L208,"3M","mf",,Trigger)</f>
        <v>48381</v>
      </c>
      <c r="N208" s="546" t="str">
        <f>_xll.qlMakeDatedOIS(,L208,M208,"eonia",,,,,Trigger)</f>
        <v>obj_0083d#0002</v>
      </c>
      <c r="O208" s="545">
        <f>_xll.qlIndexFixing("euribor3m",_xll.qlInterestRateIndexFixingDate("Euribor3M",L208),TRUE)</f>
        <v>2.4617749549898107E-2</v>
      </c>
      <c r="P208" s="545">
        <f>_xll.qlOvernightIndexedSwapFairRate(N208,Trigger)</f>
        <v>2.3900763605754455E-2</v>
      </c>
      <c r="Q208" s="547">
        <f t="shared" si="5"/>
        <v>7.1698594414365199E-4</v>
      </c>
    </row>
    <row r="209" spans="5:17" x14ac:dyDescent="0.2">
      <c r="E209" s="538"/>
      <c r="F209" s="538"/>
      <c r="G209" s="537"/>
      <c r="I209" s="537"/>
      <c r="J209" s="537"/>
      <c r="L209" s="553">
        <f>_xll.qlCalendarAdvance(Calendar,L208,"1M","f",,Trigger)</f>
        <v>48320</v>
      </c>
      <c r="M209" s="544">
        <f>_xll.qlCalendarAdvance(Calendar,L209,"3M","mf",,Trigger)</f>
        <v>48411</v>
      </c>
      <c r="N209" s="546" t="str">
        <f>_xll.qlMakeDatedOIS(,L209,M209,"eonia",,,,,Trigger)</f>
        <v>obj_0083f#0002</v>
      </c>
      <c r="O209" s="545">
        <f>_xll.qlIndexFixing("euribor3m",_xll.qlInterestRateIndexFixingDate("Euribor3M",L209),TRUE)</f>
        <v>2.4578809919500462E-2</v>
      </c>
      <c r="P209" s="545">
        <f>_xll.qlOvernightIndexedSwapFairRate(N209,Trigger)</f>
        <v>2.3899971835749944E-2</v>
      </c>
      <c r="Q209" s="547">
        <f t="shared" si="5"/>
        <v>6.7883808375051799E-4</v>
      </c>
    </row>
    <row r="210" spans="5:17" x14ac:dyDescent="0.2">
      <c r="E210" s="538"/>
      <c r="F210" s="538"/>
      <c r="G210" s="537"/>
      <c r="I210" s="537"/>
      <c r="J210" s="537"/>
      <c r="L210" s="553">
        <f>_xll.qlCalendarAdvance(Calendar,L209,"1M","f",,Trigger)</f>
        <v>48351</v>
      </c>
      <c r="M210" s="544">
        <f>_xll.qlCalendarAdvance(Calendar,L210,"3M","mf",,Trigger)</f>
        <v>48443</v>
      </c>
      <c r="N210" s="546" t="str">
        <f>_xll.qlMakeDatedOIS(,L210,M210,"eonia",,,,,Trigger)</f>
        <v>obj_00841#0002</v>
      </c>
      <c r="O210" s="545">
        <f>_xll.qlIndexFixing("euribor3m",_xll.qlInterestRateIndexFixingDate("Euribor3M",L210),TRUE)</f>
        <v>2.4540214581003254E-2</v>
      </c>
      <c r="P210" s="545">
        <f>_xll.qlOvernightIndexedSwapFairRate(N210,Trigger)</f>
        <v>2.3900763605754459E-2</v>
      </c>
      <c r="Q210" s="547">
        <f t="shared" si="5"/>
        <v>6.3945097524879466E-4</v>
      </c>
    </row>
    <row r="211" spans="5:17" x14ac:dyDescent="0.2">
      <c r="E211" s="538"/>
      <c r="F211" s="538"/>
      <c r="G211" s="537"/>
      <c r="I211" s="537"/>
      <c r="J211" s="537"/>
      <c r="L211" s="553">
        <f>_xll.qlCalendarAdvance(Calendar,L210,"1M","f",,Trigger)</f>
        <v>48382</v>
      </c>
      <c r="M211" s="544">
        <f>_xll.qlCalendarAdvance(Calendar,L211,"3M","mf",,Trigger)</f>
        <v>48474</v>
      </c>
      <c r="N211" s="546" t="str">
        <f>_xll.qlMakeDatedOIS(,L211,M211,"eonia",,,,,Trigger)</f>
        <v>obj_00843#0002</v>
      </c>
      <c r="O211" s="545">
        <f>_xll.qlIndexFixing("euribor3m",_xll.qlInterestRateIndexFixingDate("Euribor3M",L211),TRUE)</f>
        <v>2.4501329213853534E-2</v>
      </c>
      <c r="P211" s="545">
        <f>_xll.qlOvernightIndexedSwapFairRate(N211,Trigger)</f>
        <v>2.3900763605754455E-2</v>
      </c>
      <c r="Q211" s="547">
        <f t="shared" si="5"/>
        <v>6.0056560809907886E-4</v>
      </c>
    </row>
    <row r="212" spans="5:17" x14ac:dyDescent="0.2">
      <c r="E212" s="538"/>
      <c r="F212" s="538"/>
      <c r="G212" s="537"/>
      <c r="I212" s="537"/>
      <c r="J212" s="537"/>
      <c r="L212" s="553">
        <f>_xll.qlCalendarAdvance(Calendar,L211,"1M","f",,Trigger)</f>
        <v>48414</v>
      </c>
      <c r="M212" s="544">
        <f>_xll.qlCalendarAdvance(Calendar,L212,"3M","mf",,Trigger)</f>
        <v>48506</v>
      </c>
      <c r="N212" s="546" t="str">
        <f>_xll.qlMakeDatedOIS(,L212,M212,"eonia",,,,,Trigger)</f>
        <v>obj_00845#0002</v>
      </c>
      <c r="O212" s="545">
        <f>_xll.qlIndexFixing("euribor3m",_xll.qlInterestRateIndexFixingDate("Euribor3M",L212),TRUE)</f>
        <v>2.4461107051289448E-2</v>
      </c>
      <c r="P212" s="545">
        <f>_xll.qlOvernightIndexedSwapFairRate(N212,Trigger)</f>
        <v>2.3900763605754459E-2</v>
      </c>
      <c r="Q212" s="547">
        <f t="shared" si="5"/>
        <v>5.6034344553498872E-4</v>
      </c>
    </row>
    <row r="213" spans="5:17" x14ac:dyDescent="0.2">
      <c r="E213" s="538"/>
      <c r="F213" s="538"/>
      <c r="G213" s="537"/>
      <c r="I213" s="537"/>
      <c r="J213" s="537"/>
      <c r="L213" s="553">
        <f>_xll.qlCalendarAdvance(Calendar,L212,"1M","f",,Trigger)</f>
        <v>48445</v>
      </c>
      <c r="M213" s="544">
        <f>_xll.qlCalendarAdvance(Calendar,L213,"3M","mf",,Trigger)</f>
        <v>48537</v>
      </c>
      <c r="N213" s="546" t="str">
        <f>_xll.qlMakeDatedOIS(,L213,M213,"eonia",,,,,Trigger)</f>
        <v>obj_00847#0002</v>
      </c>
      <c r="O213" s="545">
        <f>_xll.qlIndexFixing("euribor3m",_xll.qlInterestRateIndexFixingDate("Euribor3M",L213),TRUE)</f>
        <v>2.4422061980874332E-2</v>
      </c>
      <c r="P213" s="545">
        <f>_xll.qlOvernightIndexedSwapFairRate(N213,Trigger)</f>
        <v>2.390076360575533E-2</v>
      </c>
      <c r="Q213" s="547">
        <f t="shared" si="5"/>
        <v>5.2129837511900173E-4</v>
      </c>
    </row>
    <row r="214" spans="5:17" x14ac:dyDescent="0.2">
      <c r="E214" s="538"/>
      <c r="F214" s="538"/>
      <c r="G214" s="537"/>
      <c r="I214" s="537"/>
      <c r="J214" s="537"/>
      <c r="L214" s="553">
        <f>_xll.qlCalendarAdvance(Calendar,L213,"1M","f",,Trigger)</f>
        <v>48477</v>
      </c>
      <c r="M214" s="544">
        <f>_xll.qlCalendarAdvance(Calendar,L214,"3M","mf",,Trigger)</f>
        <v>48568</v>
      </c>
      <c r="N214" s="546" t="str">
        <f>_xll.qlMakeDatedOIS(,L214,M214,"eonia",,,,,Trigger)</f>
        <v>obj_00849#0002</v>
      </c>
      <c r="O214" s="545">
        <f>_xll.qlIndexFixing("euribor3m",_xll.qlInterestRateIndexFixingDate("Euribor3M",L214),TRUE)</f>
        <v>2.4381483323927974E-2</v>
      </c>
      <c r="P214" s="545">
        <f>_xll.qlOvernightIndexedSwapFairRate(N214,Trigger)</f>
        <v>2.3899971835750822E-2</v>
      </c>
      <c r="Q214" s="547">
        <f t="shared" si="5"/>
        <v>4.8151148817715192E-4</v>
      </c>
    </row>
    <row r="215" spans="5:17" x14ac:dyDescent="0.2">
      <c r="E215" s="538"/>
      <c r="F215" s="538"/>
      <c r="G215" s="537"/>
      <c r="I215" s="537"/>
      <c r="J215" s="537"/>
      <c r="L215" s="553">
        <f>_xll.qlCalendarAdvance(Calendar,L214,"1M","f",,Trigger)</f>
        <v>48507</v>
      </c>
      <c r="M215" s="544">
        <f>_xll.qlCalendarAdvance(Calendar,L215,"3M","mf",,Trigger)</f>
        <v>48599</v>
      </c>
      <c r="N215" s="546" t="str">
        <f>_xll.qlMakeDatedOIS(,L215,M215,"eonia",,,,,Trigger)</f>
        <v>obj_0084b#0002</v>
      </c>
      <c r="O215" s="545">
        <f>_xll.qlIndexFixing("euribor3m",_xll.qlInterestRateIndexFixingDate("Euribor3M",L215),TRUE)</f>
        <v>2.434373610061525E-2</v>
      </c>
      <c r="P215" s="545">
        <f>_xll.qlOvernightIndexedSwapFairRate(N215,Trigger)</f>
        <v>2.3900763605755326E-2</v>
      </c>
      <c r="Q215" s="547">
        <f t="shared" si="5"/>
        <v>4.4297249485992368E-4</v>
      </c>
    </row>
    <row r="216" spans="5:17" x14ac:dyDescent="0.2">
      <c r="E216" s="538"/>
      <c r="F216" s="538"/>
      <c r="G216" s="537"/>
      <c r="I216" s="537"/>
      <c r="J216" s="537"/>
      <c r="L216" s="553">
        <f>_xll.qlCalendarAdvance(Calendar,L215,"1M","f",,Trigger)</f>
        <v>48540</v>
      </c>
      <c r="M216" s="544">
        <f>_xll.qlCalendarAdvance(Calendar,L216,"3M","mf",,Trigger)</f>
        <v>48632</v>
      </c>
      <c r="N216" s="546" t="str">
        <f>_xll.qlMakeDatedOIS(,L216,M216,"eonia",,,,,Trigger)</f>
        <v>obj_0084d#0002</v>
      </c>
      <c r="O216" s="545">
        <f>_xll.qlIndexFixing("euribor3m",_xll.qlInterestRateIndexFixingDate("Euribor3M",L216),TRUE)</f>
        <v>2.4301918351802822E-2</v>
      </c>
      <c r="P216" s="545">
        <f>_xll.qlOvernightIndexedSwapFairRate(N216,Trigger)</f>
        <v>2.3900763605754459E-2</v>
      </c>
      <c r="Q216" s="547">
        <f t="shared" si="5"/>
        <v>4.0115474604836276E-4</v>
      </c>
    </row>
    <row r="217" spans="5:17" x14ac:dyDescent="0.2">
      <c r="E217" s="538"/>
      <c r="F217" s="538"/>
      <c r="G217" s="537"/>
      <c r="I217" s="537"/>
      <c r="J217" s="537"/>
      <c r="L217" s="553">
        <f>_xll.qlCalendarAdvance(Calendar,L216,"1M","f",,Trigger)</f>
        <v>48570</v>
      </c>
      <c r="M217" s="544">
        <f>_xll.qlCalendarAdvance(Calendar,L217,"3M","mf",,Trigger)</f>
        <v>48660</v>
      </c>
      <c r="N217" s="546" t="str">
        <f>_xll.qlMakeDatedOIS(,L217,M217,"eonia",,,,,Trigger)</f>
        <v>obj_0084f#0002</v>
      </c>
      <c r="O217" s="545">
        <f>_xll.qlIndexFixing("euribor3m",_xll.qlInterestRateIndexFixingDate("Euribor3M",L217),TRUE)</f>
        <v>2.4263465064967349E-2</v>
      </c>
      <c r="P217" s="545">
        <f>_xll.qlOvernightIndexedSwapFairRate(N217,Trigger)</f>
        <v>2.3899180100700683E-2</v>
      </c>
      <c r="Q217" s="547">
        <f t="shared" si="5"/>
        <v>3.6428496426666596E-4</v>
      </c>
    </row>
    <row r="218" spans="5:17" x14ac:dyDescent="0.2">
      <c r="E218" s="538"/>
      <c r="F218" s="538"/>
      <c r="G218" s="537"/>
      <c r="I218" s="537"/>
      <c r="J218" s="537"/>
      <c r="L218" s="553">
        <f>_xll.qlCalendarAdvance(Calendar,L217,"1M","f",,Trigger)</f>
        <v>48603</v>
      </c>
      <c r="M218" s="544">
        <f>_xll.qlCalendarAdvance(Calendar,L218,"3M","mf",,Trigger)</f>
        <v>48694</v>
      </c>
      <c r="N218" s="546" t="str">
        <f>_xll.qlMakeDatedOIS(,L218,M218,"eonia",,,,,Trigger)</f>
        <v>obj_00851#0002</v>
      </c>
      <c r="O218" s="545">
        <f>_xll.qlIndexFixing("euribor3m",_xll.qlInterestRateIndexFixingDate("Euribor3M",L218),TRUE)</f>
        <v>2.4221661484148796E-2</v>
      </c>
      <c r="P218" s="545">
        <f>_xll.qlOvernightIndexedSwapFairRate(N218,Trigger)</f>
        <v>2.3899971835750822E-2</v>
      </c>
      <c r="Q218" s="547">
        <f t="shared" si="5"/>
        <v>3.216896483979742E-4</v>
      </c>
    </row>
    <row r="219" spans="5:17" x14ac:dyDescent="0.2">
      <c r="E219" s="538"/>
      <c r="F219" s="538"/>
      <c r="G219" s="537"/>
      <c r="I219" s="537"/>
      <c r="J219" s="537"/>
      <c r="L219" s="553">
        <f>_xll.qlCalendarAdvance(Calendar,L218,"1M","f",,Trigger)</f>
        <v>48634</v>
      </c>
      <c r="M219" s="544">
        <f>_xll.qlCalendarAdvance(Calendar,L219,"3M","mf",,Trigger)</f>
        <v>48723</v>
      </c>
      <c r="N219" s="546" t="str">
        <f>_xll.qlMakeDatedOIS(,L219,M219,"eonia",,,,,Trigger)</f>
        <v>obj_00853#0002</v>
      </c>
      <c r="O219" s="545">
        <f>_xll.qlIndexFixing("euribor3m",_xll.qlInterestRateIndexFixingDate("Euribor3M",L219),TRUE)</f>
        <v>2.4181797405757776E-2</v>
      </c>
      <c r="P219" s="545">
        <f>_xll.qlOvernightIndexedSwapFairRate(N219,Trigger)</f>
        <v>2.3898388400602984E-2</v>
      </c>
      <c r="Q219" s="547">
        <f t="shared" si="5"/>
        <v>2.8340900515479162E-4</v>
      </c>
    </row>
    <row r="220" spans="5:17" x14ac:dyDescent="0.2">
      <c r="E220" s="538"/>
      <c r="F220" s="538"/>
      <c r="G220" s="537"/>
      <c r="I220" s="537"/>
      <c r="J220" s="537"/>
      <c r="L220" s="553">
        <f>_xll.qlCalendarAdvance(Calendar,L219,"1M","f",,Trigger)</f>
        <v>48662</v>
      </c>
      <c r="M220" s="544">
        <f>_xll.qlCalendarAdvance(Calendar,L220,"3M","mf",,Trigger)</f>
        <v>48754</v>
      </c>
      <c r="N220" s="546" t="str">
        <f>_xll.qlMakeDatedOIS(,L220,M220,"eonia",,,,,Trigger)</f>
        <v>obj_00855#0002</v>
      </c>
      <c r="O220" s="545">
        <f>_xll.qlIndexFixing("euribor3m",_xll.qlInterestRateIndexFixingDate("Euribor3M",L220),TRUE)</f>
        <v>2.4146546363293896E-2</v>
      </c>
      <c r="P220" s="545">
        <f>_xll.qlOvernightIndexedSwapFairRate(N220,Trigger)</f>
        <v>2.3900763605754459E-2</v>
      </c>
      <c r="Q220" s="547">
        <f t="shared" si="5"/>
        <v>2.4578275753943737E-4</v>
      </c>
    </row>
    <row r="221" spans="5:17" x14ac:dyDescent="0.2">
      <c r="E221" s="538"/>
      <c r="F221" s="538"/>
      <c r="G221" s="537"/>
      <c r="I221" s="537"/>
      <c r="J221" s="537"/>
      <c r="L221" s="553">
        <f>_xll.qlCalendarAdvance(Calendar,L220,"1M","f",,Trigger)</f>
        <v>48694</v>
      </c>
      <c r="M221" s="544">
        <f>_xll.qlCalendarAdvance(Calendar,L221,"3M","mf",,Trigger)</f>
        <v>48785</v>
      </c>
      <c r="N221" s="546" t="str">
        <f>_xll.qlMakeDatedOIS(,L221,M221,"eonia",,,,,Trigger)</f>
        <v>obj_00857#0002</v>
      </c>
      <c r="O221" s="545">
        <f>_xll.qlIndexFixing("euribor3m",_xll.qlInterestRateIndexFixingDate("Euribor3M",L221),TRUE)</f>
        <v>2.4105427371721486E-2</v>
      </c>
      <c r="P221" s="545">
        <f>_xll.qlOvernightIndexedSwapFairRate(N221,Trigger)</f>
        <v>2.3899971835750822E-2</v>
      </c>
      <c r="Q221" s="547">
        <f t="shared" si="5"/>
        <v>2.0545553597066391E-4</v>
      </c>
    </row>
    <row r="222" spans="5:17" x14ac:dyDescent="0.2">
      <c r="E222" s="538"/>
      <c r="F222" s="538"/>
      <c r="G222" s="537"/>
      <c r="I222" s="537"/>
      <c r="J222" s="537"/>
      <c r="L222" s="553">
        <f>_xll.qlCalendarAdvance(Calendar,L221,"1M","f",,Trigger)</f>
        <v>48724</v>
      </c>
      <c r="M222" s="544">
        <f>_xll.qlCalendarAdvance(Calendar,L222,"3M","mf",,Trigger)</f>
        <v>48816</v>
      </c>
      <c r="N222" s="546" t="str">
        <f>_xll.qlMakeDatedOIS(,L222,M222,"eonia",,,,,Trigger)</f>
        <v>obj_00859#0002</v>
      </c>
      <c r="O222" s="545">
        <f>_xll.qlIndexFixing("euribor3m",_xll.qlInterestRateIndexFixingDate("Euribor3M",L222),TRUE)</f>
        <v>2.4067120503443055E-2</v>
      </c>
      <c r="P222" s="545">
        <f>_xll.qlOvernightIndexedSwapFairRate(N222,Trigger)</f>
        <v>2.3900763605754459E-2</v>
      </c>
      <c r="Q222" s="547">
        <f t="shared" si="5"/>
        <v>1.6635689768859652E-4</v>
      </c>
    </row>
    <row r="223" spans="5:17" x14ac:dyDescent="0.2">
      <c r="E223" s="538"/>
      <c r="F223" s="538"/>
      <c r="G223" s="537"/>
      <c r="I223" s="537"/>
      <c r="J223" s="537"/>
      <c r="L223" s="553">
        <f>_xll.qlCalendarAdvance(Calendar,L222,"1M","f",,Trigger)</f>
        <v>48757</v>
      </c>
      <c r="M223" s="544">
        <f>_xll.qlCalendarAdvance(Calendar,L223,"3M","mf",,Trigger)</f>
        <v>48849</v>
      </c>
      <c r="N223" s="546" t="str">
        <f>_xll.qlMakeDatedOIS(,L223,M223,"eonia",,,,,Trigger)</f>
        <v>obj_0085b#0002</v>
      </c>
      <c r="O223" s="545">
        <f>_xll.qlIndexFixing("euribor3m",_xll.qlInterestRateIndexFixingDate("Euribor3M",L223),TRUE)</f>
        <v>2.4024717308707581E-2</v>
      </c>
      <c r="P223" s="545">
        <f>_xll.qlOvernightIndexedSwapFairRate(N223,Trigger)</f>
        <v>2.3900763605754455E-2</v>
      </c>
      <c r="Q223" s="547">
        <f t="shared" si="5"/>
        <v>1.2395370295312583E-4</v>
      </c>
    </row>
    <row r="224" spans="5:17" x14ac:dyDescent="0.2">
      <c r="E224" s="538"/>
      <c r="F224" s="538"/>
      <c r="G224" s="537"/>
      <c r="I224" s="537"/>
      <c r="J224" s="537"/>
      <c r="L224" s="553">
        <f>_xll.qlCalendarAdvance(Calendar,L223,"1M","f",,Trigger)</f>
        <v>48787</v>
      </c>
      <c r="M224" s="544">
        <f>_xll.qlCalendarAdvance(Calendar,L224,"3M","mf",,Trigger)</f>
        <v>48879</v>
      </c>
      <c r="N224" s="546" t="str">
        <f>_xll.qlMakeDatedOIS(,L224,M224,"eonia",,,,,Trigger)</f>
        <v>obj_0085d#0002</v>
      </c>
      <c r="O224" s="545">
        <f>_xll.qlIndexFixing("euribor3m",_xll.qlInterestRateIndexFixingDate("Euribor3M",L224),TRUE)</f>
        <v>2.398609170097097E-2</v>
      </c>
      <c r="P224" s="545">
        <f>_xll.qlOvernightIndexedSwapFairRate(N224,Trigger)</f>
        <v>2.390076360575533E-2</v>
      </c>
      <c r="Q224" s="547">
        <f t="shared" si="5"/>
        <v>8.5328095215640026E-5</v>
      </c>
    </row>
    <row r="225" spans="5:17" x14ac:dyDescent="0.2">
      <c r="E225" s="538"/>
      <c r="F225" s="538"/>
      <c r="G225" s="537"/>
      <c r="I225" s="537"/>
      <c r="J225" s="537"/>
      <c r="L225" s="553">
        <f>_xll.qlCalendarAdvance(Calendar,L224,"1M","f",,Trigger)</f>
        <v>48820</v>
      </c>
      <c r="M225" s="544">
        <f>_xll.qlCalendarAdvance(Calendar,L225,"3M","mf",,Trigger)</f>
        <v>48912</v>
      </c>
      <c r="N225" s="546" t="str">
        <f>_xll.qlMakeDatedOIS(,L225,M225,"eonia",,,,,Trigger)</f>
        <v>obj_0085f#0002</v>
      </c>
      <c r="O225" s="545">
        <f>_xll.qlIndexFixing("euribor3m",_xll.qlInterestRateIndexFixingDate("Euribor3M",L225),TRUE)</f>
        <v>2.3943518561363408E-2</v>
      </c>
      <c r="P225" s="545">
        <f>_xll.qlOvernightIndexedSwapFairRate(N225,Trigger)</f>
        <v>2.3900763605754459E-2</v>
      </c>
      <c r="Q225" s="547">
        <f t="shared" si="5"/>
        <v>4.2754955608948625E-5</v>
      </c>
    </row>
    <row r="226" spans="5:17" x14ac:dyDescent="0.2">
      <c r="E226" s="538"/>
      <c r="F226" s="538"/>
      <c r="G226" s="537"/>
      <c r="I226" s="537"/>
      <c r="J226" s="537"/>
      <c r="L226" s="553">
        <f>_xll.qlCalendarAdvance(Calendar,L225,"1M","f",,Trigger)</f>
        <v>48851</v>
      </c>
      <c r="M226" s="544">
        <f>_xll.qlCalendarAdvance(Calendar,L226,"3M","mf",,Trigger)</f>
        <v>48942</v>
      </c>
      <c r="N226" s="546" t="str">
        <f>_xll.qlMakeDatedOIS(,L226,M226,"eonia",,,,,Trigger)</f>
        <v>obj_00861#0002</v>
      </c>
      <c r="O226" s="545">
        <f>_xll.qlIndexFixing("euribor3m",_xll.qlInterestRateIndexFixingDate("Euribor3M",L226),TRUE)</f>
        <v>2.3903300141025284E-2</v>
      </c>
      <c r="P226" s="545">
        <f>_xll.qlOvernightIndexedSwapFairRate(N226,Trigger)</f>
        <v>2.3899971835749944E-2</v>
      </c>
      <c r="Q226" s="547">
        <f t="shared" si="5"/>
        <v>3.3283052753400877E-6</v>
      </c>
    </row>
    <row r="227" spans="5:17" x14ac:dyDescent="0.2">
      <c r="E227" s="538"/>
      <c r="F227" s="538"/>
      <c r="G227" s="537"/>
      <c r="I227" s="537"/>
      <c r="J227" s="537"/>
      <c r="L227" s="553">
        <f>_xll.qlCalendarAdvance(Calendar,L226,"1M","f",,Trigger)</f>
        <v>48883</v>
      </c>
      <c r="M227" s="544">
        <f>_xll.qlCalendarAdvance(Calendar,L227,"3M","mf",,Trigger)</f>
        <v>48975</v>
      </c>
      <c r="N227" s="546" t="str">
        <f>_xll.qlMakeDatedOIS(,L227,M227,"eonia",,,,,Trigger)</f>
        <v>obj_00863#0002</v>
      </c>
      <c r="O227" s="545">
        <f>_xll.qlIndexFixing("euribor3m",_xll.qlInterestRateIndexFixingDate("Euribor3M",L227),TRUE)</f>
        <v>2.3861995389166162E-2</v>
      </c>
      <c r="P227" s="545">
        <f>_xll.qlOvernightIndexedSwapFairRate(N227,Trigger)</f>
        <v>2.3900763605755333E-2</v>
      </c>
      <c r="Q227" s="547">
        <f t="shared" si="5"/>
        <v>-3.8768216589171733E-5</v>
      </c>
    </row>
    <row r="228" spans="5:17" x14ac:dyDescent="0.2">
      <c r="E228" s="538"/>
      <c r="F228" s="538"/>
      <c r="G228" s="537"/>
      <c r="I228" s="537"/>
      <c r="J228" s="537"/>
      <c r="L228" s="553">
        <f>_xll.qlCalendarAdvance(Calendar,L227,"1M","f",,Trigger)</f>
        <v>48913</v>
      </c>
      <c r="M228" s="544">
        <f>_xll.qlCalendarAdvance(Calendar,L228,"3M","mf",,Trigger)</f>
        <v>49003</v>
      </c>
      <c r="N228" s="546" t="str">
        <f>_xll.qlMakeDatedOIS(,L228,M228,"eonia",,,,,Trigger)</f>
        <v>obj_00865#0002</v>
      </c>
      <c r="O228" s="545">
        <f>_xll.qlIndexFixing("euribor3m",_xll.qlInterestRateIndexFixingDate("Euribor3M",L228),TRUE)</f>
        <v>2.3822787652695077E-2</v>
      </c>
      <c r="P228" s="545">
        <f>_xll.qlOvernightIndexedSwapFairRate(N228,Trigger)</f>
        <v>2.3899180100700686E-2</v>
      </c>
      <c r="Q228" s="547">
        <f t="shared" si="5"/>
        <v>-7.639244800560982E-5</v>
      </c>
    </row>
    <row r="229" spans="5:17" x14ac:dyDescent="0.2">
      <c r="E229" s="538"/>
      <c r="F229" s="538"/>
      <c r="G229" s="537"/>
      <c r="I229" s="537"/>
      <c r="J229" s="537"/>
      <c r="L229" s="553">
        <f>_xll.qlCalendarAdvance(Calendar,L228,"1M","f",,Trigger)</f>
        <v>48943</v>
      </c>
      <c r="M229" s="544">
        <f>_xll.qlCalendarAdvance(Calendar,L229,"3M","mf",,Trigger)</f>
        <v>49033</v>
      </c>
      <c r="N229" s="546" t="str">
        <f>_xll.qlMakeDatedOIS(,L229,M229,"eonia",,,,,Trigger)</f>
        <v>obj_00867#0002</v>
      </c>
      <c r="O229" s="545">
        <f>_xll.qlIndexFixing("euribor3m",_xll.qlInterestRateIndexFixingDate("Euribor3M",L229),TRUE)</f>
        <v>2.3783919929703603E-2</v>
      </c>
      <c r="P229" s="545">
        <f>_xll.qlOvernightIndexedSwapFairRate(N229,Trigger)</f>
        <v>2.389918010070069E-2</v>
      </c>
      <c r="Q229" s="547">
        <f t="shared" si="5"/>
        <v>-1.1526017099708699E-4</v>
      </c>
    </row>
    <row r="230" spans="5:17" x14ac:dyDescent="0.2">
      <c r="E230" s="538"/>
      <c r="F230" s="538"/>
      <c r="G230" s="537"/>
      <c r="I230" s="537"/>
      <c r="J230" s="537"/>
      <c r="L230" s="553">
        <f>_xll.qlCalendarAdvance(Calendar,L229,"1M","f",,Trigger)</f>
        <v>48974</v>
      </c>
      <c r="M230" s="544">
        <f>_xll.qlCalendarAdvance(Calendar,L230,"3M","mf",,Trigger)</f>
        <v>49062</v>
      </c>
      <c r="N230" s="546" t="str">
        <f>_xll.qlMakeDatedOIS(,L230,M230,"eonia",,,,,Trigger)</f>
        <v>obj_00869#0002</v>
      </c>
      <c r="O230" s="545">
        <f>_xll.qlIndexFixing("euribor3m",_xll.qlInterestRateIndexFixingDate("Euribor3M",L230),TRUE)</f>
        <v>2.3743151243645497E-2</v>
      </c>
      <c r="P230" s="545">
        <f>_xll.qlOvernightIndexedSwapFairRate(N230,Trigger)</f>
        <v>2.3897596735456602E-2</v>
      </c>
      <c r="Q230" s="547">
        <f t="shared" si="5"/>
        <v>-1.5444549181110531E-4</v>
      </c>
    </row>
    <row r="231" spans="5:17" x14ac:dyDescent="0.2">
      <c r="E231" s="538"/>
      <c r="F231" s="538"/>
      <c r="G231" s="537"/>
      <c r="I231" s="537"/>
      <c r="J231" s="537"/>
      <c r="L231" s="553">
        <f>_xll.qlCalendarAdvance(Calendar,L230,"1M","f",,Trigger)</f>
        <v>49003</v>
      </c>
      <c r="M231" s="544">
        <f>_xll.qlCalendarAdvance(Calendar,L231,"3M","mf",,Trigger)</f>
        <v>49093</v>
      </c>
      <c r="N231" s="546" t="str">
        <f>_xll.qlMakeDatedOIS(,L231,M231,"eonia",,,,,Trigger)</f>
        <v>obj_0086b#0002</v>
      </c>
      <c r="O231" s="545">
        <f>_xll.qlIndexFixing("euribor3m",_xll.qlInterestRateIndexFixingDate("Euribor3M",L231),TRUE)</f>
        <v>2.3705815727431547E-2</v>
      </c>
      <c r="P231" s="545">
        <f>_xll.qlOvernightIndexedSwapFairRate(N231,Trigger)</f>
        <v>2.3899180100699798E-2</v>
      </c>
      <c r="Q231" s="547">
        <f t="shared" si="5"/>
        <v>-1.9336437326825107E-4</v>
      </c>
    </row>
    <row r="232" spans="5:17" x14ac:dyDescent="0.2">
      <c r="E232" s="538"/>
      <c r="F232" s="538"/>
      <c r="G232" s="537"/>
      <c r="I232" s="537"/>
      <c r="J232" s="537"/>
      <c r="L232" s="553">
        <f>_xll.qlCalendarAdvance(Calendar,L231,"1M","f",,Trigger)</f>
        <v>49031</v>
      </c>
      <c r="M232" s="544">
        <f>_xll.qlCalendarAdvance(Calendar,L232,"3M","mf",,Trigger)</f>
        <v>49123</v>
      </c>
      <c r="N232" s="546" t="str">
        <f>_xll.qlMakeDatedOIS(,L232,M232,"eonia",,,,,Trigger)</f>
        <v>obj_0086d#0002</v>
      </c>
      <c r="O232" s="545">
        <f>_xll.qlIndexFixing("euribor3m",_xll.qlInterestRateIndexFixingDate("Euribor3M",L232),TRUE)</f>
        <v>2.366920446731147E-2</v>
      </c>
      <c r="P232" s="545">
        <f>_xll.qlOvernightIndexedSwapFairRate(N232,Trigger)</f>
        <v>2.3900763605755333E-2</v>
      </c>
      <c r="Q232" s="547">
        <f t="shared" si="5"/>
        <v>-2.3155913844386325E-4</v>
      </c>
    </row>
    <row r="233" spans="5:17" x14ac:dyDescent="0.2">
      <c r="E233" s="538"/>
      <c r="F233" s="538"/>
      <c r="G233" s="537"/>
      <c r="I233" s="537"/>
      <c r="J233" s="537"/>
      <c r="L233" s="553">
        <f>_xll.qlCalendarAdvance(Calendar,L232,"1M","f",,Trigger)</f>
        <v>49062</v>
      </c>
      <c r="M233" s="544">
        <f>_xll.qlCalendarAdvance(Calendar,L233,"3M","mf",,Trigger)</f>
        <v>49153</v>
      </c>
      <c r="N233" s="546" t="str">
        <f>_xll.qlMakeDatedOIS(,L233,M233,"eonia",,,,,Trigger)</f>
        <v>obj_0086f#0002</v>
      </c>
      <c r="O233" s="545">
        <f>_xll.qlIndexFixing("euribor3m",_xll.qlInterestRateIndexFixingDate("Euribor3M",L233),TRUE)</f>
        <v>2.3628830946390116E-2</v>
      </c>
      <c r="P233" s="545">
        <f>_xll.qlOvernightIndexedSwapFairRate(N233,Trigger)</f>
        <v>2.3899971835750825E-2</v>
      </c>
      <c r="Q233" s="547">
        <f t="shared" si="5"/>
        <v>-2.7114088936070965E-4</v>
      </c>
    </row>
    <row r="234" spans="5:17" x14ac:dyDescent="0.2">
      <c r="E234" s="538"/>
      <c r="F234" s="538"/>
      <c r="G234" s="537"/>
      <c r="I234" s="537"/>
      <c r="J234" s="537"/>
      <c r="L234" s="553">
        <f>_xll.qlCalendarAdvance(Calendar,L233,"1M","f",,Trigger)</f>
        <v>49093</v>
      </c>
      <c r="M234" s="544">
        <f>_xll.qlCalendarAdvance(Calendar,L234,"3M","mf",,Trigger)</f>
        <v>49185</v>
      </c>
      <c r="N234" s="546" t="str">
        <f>_xll.qlMakeDatedOIS(,L234,M234,"eonia",,,,,Trigger)</f>
        <v>obj_00871#0002</v>
      </c>
      <c r="O234" s="545">
        <f>_xll.qlIndexFixing("euribor3m",_xll.qlInterestRateIndexFixingDate("Euribor3M",L234),TRUE)</f>
        <v>2.3587908785673659E-2</v>
      </c>
      <c r="P234" s="545">
        <f>_xll.qlOvernightIndexedSwapFairRate(N234,Trigger)</f>
        <v>2.3564930185036605E-2</v>
      </c>
      <c r="Q234" s="547">
        <f t="shared" si="5"/>
        <v>2.297860063705387E-5</v>
      </c>
    </row>
    <row r="235" spans="5:17" x14ac:dyDescent="0.2">
      <c r="E235" s="538"/>
      <c r="F235" s="538"/>
      <c r="G235" s="537"/>
      <c r="I235" s="537"/>
      <c r="J235" s="537"/>
      <c r="L235" s="553">
        <f>_xll.qlCalendarAdvance(Calendar,L234,"1M","f",,Trigger)</f>
        <v>49124</v>
      </c>
      <c r="M235" s="544">
        <f>_xll.qlCalendarAdvance(Calendar,L235,"3M","mf",,Trigger)</f>
        <v>49216</v>
      </c>
      <c r="N235" s="546" t="str">
        <f>_xll.qlMakeDatedOIS(,L235,M235,"eonia",,,,,Trigger)</f>
        <v>obj_00873#0002</v>
      </c>
      <c r="O235" s="545">
        <f>_xll.qlIndexFixing("euribor3m",_xll.qlInterestRateIndexFixingDate("Euribor3M",L235),TRUE)</f>
        <v>2.3547146698037095E-2</v>
      </c>
      <c r="P235" s="545">
        <f>_xll.qlOvernightIndexedSwapFairRate(N235,Trigger)</f>
        <v>2.2821400983169007E-2</v>
      </c>
      <c r="Q235" s="547">
        <f t="shared" si="5"/>
        <v>7.257457148680882E-4</v>
      </c>
    </row>
    <row r="236" spans="5:17" x14ac:dyDescent="0.2">
      <c r="E236" s="538"/>
      <c r="F236" s="538"/>
      <c r="G236" s="537"/>
      <c r="I236" s="537"/>
      <c r="J236" s="537"/>
      <c r="L236" s="553">
        <f>_xll.qlCalendarAdvance(Calendar,L235,"1M","f",,Trigger)</f>
        <v>49156</v>
      </c>
      <c r="M236" s="544">
        <f>_xll.qlCalendarAdvance(Calendar,L236,"3M","mf",,Trigger)</f>
        <v>49248</v>
      </c>
      <c r="N236" s="546" t="str">
        <f>_xll.qlMakeDatedOIS(,L236,M236,"eonia",,,,,Trigger)</f>
        <v>obj_00875#0002</v>
      </c>
      <c r="O236" s="545">
        <f>_xll.qlIndexFixing("euribor3m",_xll.qlInterestRateIndexFixingDate("Euribor3M",L236),TRUE)</f>
        <v>2.3504998522462194E-2</v>
      </c>
      <c r="P236" s="545">
        <f>_xll.qlOvernightIndexedSwapFairRate(N236,Trigger)</f>
        <v>2.2054034270834143E-2</v>
      </c>
      <c r="Q236" s="547">
        <f t="shared" si="5"/>
        <v>1.4509642516280508E-3</v>
      </c>
    </row>
    <row r="237" spans="5:17" x14ac:dyDescent="0.2">
      <c r="E237" s="538"/>
      <c r="F237" s="538"/>
      <c r="G237" s="537"/>
      <c r="I237" s="537"/>
      <c r="J237" s="537"/>
      <c r="L237" s="553">
        <f>_xll.qlCalendarAdvance(Calendar,L236,"1M","f",,Trigger)</f>
        <v>49187</v>
      </c>
      <c r="M237" s="544">
        <f>_xll.qlCalendarAdvance(Calendar,L237,"3M","mf",,Trigger)</f>
        <v>49278</v>
      </c>
      <c r="N237" s="546" t="str">
        <f>_xll.qlMakeDatedOIS(,L237,M237,"eonia",,,,,Trigger)</f>
        <v>obj_00877#0002</v>
      </c>
      <c r="O237" s="545">
        <f>_xll.qlIndexFixing("euribor3m",_xll.qlInterestRateIndexFixingDate("Euribor3M",L237),TRUE)</f>
        <v>2.3464003137755405E-2</v>
      </c>
      <c r="P237" s="545">
        <f>_xll.qlOvernightIndexedSwapFairRate(N237,Trigger)</f>
        <v>2.1693730170726507E-2</v>
      </c>
      <c r="Q237" s="547">
        <f t="shared" si="5"/>
        <v>1.7702729670288977E-3</v>
      </c>
    </row>
    <row r="238" spans="5:17" x14ac:dyDescent="0.2">
      <c r="E238" s="538"/>
      <c r="F238" s="538"/>
      <c r="G238" s="537"/>
      <c r="I238" s="537"/>
      <c r="J238" s="537"/>
      <c r="L238" s="553">
        <f>_xll.qlCalendarAdvance(Calendar,L237,"1M","f",,Trigger)</f>
        <v>49219</v>
      </c>
      <c r="M238" s="544">
        <f>_xll.qlCalendarAdvance(Calendar,L238,"3M","mf",,Trigger)</f>
        <v>49311</v>
      </c>
      <c r="N238" s="546" t="str">
        <f>_xll.qlMakeDatedOIS(,L238,M238,"eonia",,,,,Trigger)</f>
        <v>obj_00879#0002</v>
      </c>
      <c r="O238" s="545">
        <f>_xll.qlIndexFixing("euribor3m",_xll.qlInterestRateIndexFixingDate("Euribor3M",L238),TRUE)</f>
        <v>2.3421834245508512E-2</v>
      </c>
      <c r="P238" s="545">
        <f>_xll.qlOvernightIndexedSwapFairRate(N238,Trigger)</f>
        <v>2.1694382628300566E-2</v>
      </c>
      <c r="Q238" s="547">
        <f t="shared" si="5"/>
        <v>1.7274516172079458E-3</v>
      </c>
    </row>
    <row r="239" spans="5:17" x14ac:dyDescent="0.2">
      <c r="E239" s="538"/>
      <c r="F239" s="538"/>
      <c r="G239" s="537"/>
      <c r="I239" s="537"/>
      <c r="J239" s="537"/>
      <c r="L239" s="553">
        <f>_xll.qlCalendarAdvance(Calendar,L238,"1M","f",,Trigger)</f>
        <v>49250</v>
      </c>
      <c r="M239" s="544">
        <f>_xll.qlCalendarAdvance(Calendar,L239,"3M","mf",,Trigger)</f>
        <v>49342</v>
      </c>
      <c r="N239" s="546" t="str">
        <f>_xll.qlMakeDatedOIS(,L239,M239,"eonia",,,,,Trigger)</f>
        <v>obj_0087b#0002</v>
      </c>
      <c r="O239" s="545">
        <f>_xll.qlIndexFixing("euribor3m",_xll.qlInterestRateIndexFixingDate("Euribor3M",L239),TRUE)</f>
        <v>2.33808258375174E-2</v>
      </c>
      <c r="P239" s="545">
        <f>_xll.qlOvernightIndexedSwapFairRate(N239,Trigger)</f>
        <v>2.1694382628299699E-2</v>
      </c>
      <c r="Q239" s="547">
        <f t="shared" si="5"/>
        <v>1.6864432092177015E-3</v>
      </c>
    </row>
    <row r="240" spans="5:17" x14ac:dyDescent="0.2">
      <c r="E240" s="538"/>
      <c r="F240" s="538"/>
      <c r="G240" s="537"/>
      <c r="I240" s="537"/>
      <c r="J240" s="537"/>
      <c r="L240" s="553">
        <f>_xll.qlCalendarAdvance(Calendar,L239,"1M","f",,Trigger)</f>
        <v>49282</v>
      </c>
      <c r="M240" s="544">
        <f>_xll.qlCalendarAdvance(Calendar,L240,"3M","mf",,Trigger)</f>
        <v>49373</v>
      </c>
      <c r="N240" s="546" t="str">
        <f>_xll.qlMakeDatedOIS(,L240,M240,"eonia",,,,,Trigger)</f>
        <v>obj_0087d#0002</v>
      </c>
      <c r="O240" s="545">
        <f>_xll.qlIndexFixing("euribor3m",_xll.qlInterestRateIndexFixingDate("Euribor3M",L240),TRUE)</f>
        <v>2.3338343167764609E-2</v>
      </c>
      <c r="P240" s="545">
        <f>_xll.qlOvernightIndexedSwapFairRate(N240,Trigger)</f>
        <v>2.1693730170726514E-2</v>
      </c>
      <c r="Q240" s="547">
        <f t="shared" si="5"/>
        <v>1.6446129970380946E-3</v>
      </c>
    </row>
    <row r="241" spans="5:17" x14ac:dyDescent="0.2">
      <c r="E241" s="538"/>
      <c r="F241" s="538"/>
      <c r="G241" s="537"/>
      <c r="I241" s="537"/>
      <c r="J241" s="537"/>
      <c r="L241" s="553">
        <f>_xll.qlCalendarAdvance(Calendar,L240,"1M","f",,Trigger)</f>
        <v>49313</v>
      </c>
      <c r="M241" s="544">
        <f>_xll.qlCalendarAdvance(Calendar,L241,"3M","mf",,Trigger)</f>
        <v>49403</v>
      </c>
      <c r="N241" s="546" t="str">
        <f>_xll.qlMakeDatedOIS(,L241,M241,"eonia",,,,,Trigger)</f>
        <v>obj_0087f#0002</v>
      </c>
      <c r="O241" s="545">
        <f>_xll.qlIndexFixing("euribor3m",_xll.qlInterestRateIndexFixingDate("Euribor3M",L241),TRUE)</f>
        <v>2.3297134495169125E-2</v>
      </c>
      <c r="P241" s="545">
        <f>_xll.qlOvernightIndexedSwapFairRate(N241,Trigger)</f>
        <v>2.1693077739304734E-2</v>
      </c>
      <c r="Q241" s="547">
        <f t="shared" si="5"/>
        <v>1.6040567558643914E-3</v>
      </c>
    </row>
    <row r="242" spans="5:17" x14ac:dyDescent="0.2">
      <c r="E242" s="538"/>
      <c r="F242" s="538"/>
      <c r="G242" s="537"/>
      <c r="I242" s="537"/>
      <c r="J242" s="537"/>
      <c r="L242" s="553">
        <f>_xll.qlCalendarAdvance(Calendar,L241,"1M","f",,Trigger)</f>
        <v>49345</v>
      </c>
      <c r="M242" s="544">
        <f>_xll.qlCalendarAdvance(Calendar,L242,"3M","mf",,Trigger)</f>
        <v>49436</v>
      </c>
      <c r="N242" s="546" t="str">
        <f>_xll.qlMakeDatedOIS(,L242,M242,"eonia",,,,,Trigger)</f>
        <v>obj_00881#0002</v>
      </c>
      <c r="O242" s="545">
        <f>_xll.qlIndexFixing("euribor3m",_xll.qlInterestRateIndexFixingDate("Euribor3M",L242),TRUE)</f>
        <v>2.3254716205680624E-2</v>
      </c>
      <c r="P242" s="545">
        <f>_xll.qlOvernightIndexedSwapFairRate(N242,Trigger)</f>
        <v>2.1693730170726514E-2</v>
      </c>
      <c r="Q242" s="547">
        <f t="shared" si="5"/>
        <v>1.5609860349541094E-3</v>
      </c>
    </row>
    <row r="243" spans="5:17" x14ac:dyDescent="0.2">
      <c r="E243" s="538"/>
      <c r="F243" s="538"/>
      <c r="G243" s="537"/>
      <c r="I243" s="537"/>
      <c r="J243" s="537"/>
      <c r="L243" s="553">
        <f>_xll.qlCalendarAdvance(Calendar,L242,"1M","f",,Trigger)</f>
        <v>49373</v>
      </c>
      <c r="M243" s="544">
        <f>_xll.qlCalendarAdvance(Calendar,L243,"3M","mf",,Trigger)</f>
        <v>49465</v>
      </c>
      <c r="N243" s="546" t="str">
        <f>_xll.qlMakeDatedOIS(,L243,M243,"eonia",,,,,Trigger)</f>
        <v>obj_00883#0002</v>
      </c>
      <c r="O243" s="545">
        <f>_xll.qlIndexFixing("euribor3m",_xll.qlInterestRateIndexFixingDate("Euribor3M",L243),TRUE)</f>
        <v>2.3217554536897961E-2</v>
      </c>
      <c r="P243" s="545">
        <f>_xll.qlOvernightIndexedSwapFairRate(N243,Trigger)</f>
        <v>2.1694382628300566E-2</v>
      </c>
      <c r="Q243" s="547">
        <f t="shared" si="5"/>
        <v>1.5231719085973955E-3</v>
      </c>
    </row>
    <row r="244" spans="5:17" x14ac:dyDescent="0.2">
      <c r="E244" s="538"/>
      <c r="F244" s="538"/>
      <c r="G244" s="537"/>
      <c r="I244" s="537"/>
      <c r="J244" s="537"/>
      <c r="L244" s="553">
        <f>_xll.qlCalendarAdvance(Calendar,L243,"1M","f",,Trigger)</f>
        <v>49404</v>
      </c>
      <c r="M244" s="544">
        <f>_xll.qlCalendarAdvance(Calendar,L244,"3M","mf",,Trigger)</f>
        <v>49495</v>
      </c>
      <c r="N244" s="546" t="str">
        <f>_xll.qlMakeDatedOIS(,L244,M244,"eonia",,,,,Trigger)</f>
        <v>obj_00885#0002</v>
      </c>
      <c r="O244" s="545">
        <f>_xll.qlIndexFixing("euribor3m",_xll.qlInterestRateIndexFixingDate("Euribor3M",L244),TRUE)</f>
        <v>2.317618590269228E-2</v>
      </c>
      <c r="P244" s="545">
        <f>_xll.qlOvernightIndexedSwapFairRate(N244,Trigger)</f>
        <v>2.1693730170726514E-2</v>
      </c>
      <c r="Q244" s="547">
        <f t="shared" si="5"/>
        <v>1.4824557319657664E-3</v>
      </c>
    </row>
    <row r="245" spans="5:17" x14ac:dyDescent="0.2">
      <c r="E245" s="538"/>
      <c r="F245" s="538"/>
      <c r="G245" s="537"/>
      <c r="I245" s="537"/>
      <c r="J245" s="537"/>
      <c r="L245" s="553">
        <f>_xll.qlCalendarAdvance(Calendar,L244,"1M","f",,Trigger)</f>
        <v>49436</v>
      </c>
      <c r="M245" s="544">
        <f>_xll.qlCalendarAdvance(Calendar,L245,"3M","mf",,Trigger)</f>
        <v>49528</v>
      </c>
      <c r="N245" s="546" t="str">
        <f>_xll.qlMakeDatedOIS(,L245,M245,"eonia",,,,,Trigger)</f>
        <v>obj_00887#0002</v>
      </c>
      <c r="O245" s="545">
        <f>_xll.qlIndexFixing("euribor3m",_xll.qlInterestRateIndexFixingDate("Euribor3M",L245),TRUE)</f>
        <v>2.3133581046509762E-2</v>
      </c>
      <c r="P245" s="545">
        <f>_xll.qlOvernightIndexedSwapFairRate(N245,Trigger)</f>
        <v>2.1694382628300573E-2</v>
      </c>
      <c r="Q245" s="547">
        <f t="shared" si="5"/>
        <v>1.4391984182091887E-3</v>
      </c>
    </row>
    <row r="246" spans="5:17" x14ac:dyDescent="0.2">
      <c r="E246" s="538"/>
      <c r="F246" s="538"/>
      <c r="G246" s="537"/>
      <c r="I246" s="537"/>
      <c r="J246" s="537"/>
      <c r="L246" s="553">
        <f>_xll.qlCalendarAdvance(Calendar,L245,"1M","f",,Trigger)</f>
        <v>49467</v>
      </c>
      <c r="M246" s="544">
        <f>_xll.qlCalendarAdvance(Calendar,L246,"3M","mf",,Trigger)</f>
        <v>49559</v>
      </c>
      <c r="N246" s="546" t="str">
        <f>_xll.qlMakeDatedOIS(,L246,M246,"eonia",,,,,Trigger)</f>
        <v>obj_00889#0002</v>
      </c>
      <c r="O246" s="545">
        <f>_xll.qlIndexFixing("euribor3m",_xll.qlInterestRateIndexFixingDate("Euribor3M",L246),TRUE)</f>
        <v>2.3092174540919417E-2</v>
      </c>
      <c r="P246" s="545">
        <f>_xll.qlOvernightIndexedSwapFairRate(N246,Trigger)</f>
        <v>2.1694382628300569E-2</v>
      </c>
      <c r="Q246" s="547">
        <f t="shared" si="5"/>
        <v>1.3977919126188475E-3</v>
      </c>
    </row>
    <row r="247" spans="5:17" x14ac:dyDescent="0.2">
      <c r="E247" s="538"/>
      <c r="F247" s="538"/>
      <c r="G247" s="537"/>
      <c r="I247" s="537"/>
      <c r="J247" s="537"/>
      <c r="L247" s="553">
        <f>_xll.qlCalendarAdvance(Calendar,L246,"1M","f",,Trigger)</f>
        <v>49499</v>
      </c>
      <c r="M247" s="544">
        <f>_xll.qlCalendarAdvance(Calendar,L247,"3M","mf",,Trigger)</f>
        <v>49591</v>
      </c>
      <c r="N247" s="546" t="str">
        <f>_xll.qlMakeDatedOIS(,L247,M247,"eonia",,,,,Trigger)</f>
        <v>obj_0088b#0002</v>
      </c>
      <c r="O247" s="545">
        <f>_xll.qlIndexFixing("euribor3m",_xll.qlInterestRateIndexFixingDate("Euribor3M",L247),TRUE)</f>
        <v>2.3049372696667066E-2</v>
      </c>
      <c r="P247" s="545">
        <f>_xll.qlOvernightIndexedSwapFairRate(N247,Trigger)</f>
        <v>2.1694382628300569E-2</v>
      </c>
      <c r="Q247" s="547">
        <f t="shared" si="5"/>
        <v>1.3549900683664969E-3</v>
      </c>
    </row>
    <row r="248" spans="5:17" x14ac:dyDescent="0.2">
      <c r="E248" s="538"/>
      <c r="F248" s="538"/>
      <c r="G248" s="537"/>
      <c r="I248" s="537"/>
      <c r="J248" s="537"/>
      <c r="L248" s="553">
        <f>_xll.qlCalendarAdvance(Calendar,L247,"1M","f",,Trigger)</f>
        <v>49530</v>
      </c>
      <c r="M248" s="544">
        <f>_xll.qlCalendarAdvance(Calendar,L248,"3M","mf",,Trigger)</f>
        <v>49622</v>
      </c>
      <c r="N248" s="546" t="str">
        <f>_xll.qlMakeDatedOIS(,L248,M248,"eonia",,,,,Trigger)</f>
        <v>obj_0088d#0002</v>
      </c>
      <c r="O248" s="545">
        <f>_xll.qlIndexFixing("euribor3m",_xll.qlInterestRateIndexFixingDate("Euribor3M",L248),TRUE)</f>
        <v>2.300785063087097E-2</v>
      </c>
      <c r="P248" s="545">
        <f>_xll.qlOvernightIndexedSwapFairRate(N248,Trigger)</f>
        <v>2.1694382628300569E-2</v>
      </c>
      <c r="Q248" s="547">
        <f t="shared" si="5"/>
        <v>1.3134680025704004E-3</v>
      </c>
    </row>
    <row r="249" spans="5:17" x14ac:dyDescent="0.2">
      <c r="E249" s="538"/>
      <c r="F249" s="538"/>
      <c r="G249" s="537"/>
      <c r="I249" s="537"/>
      <c r="J249" s="537"/>
      <c r="L249" s="553">
        <f>_xll.qlCalendarAdvance(Calendar,L248,"1M","f",,Trigger)</f>
        <v>49562</v>
      </c>
      <c r="M249" s="544">
        <f>_xll.qlCalendarAdvance(Calendar,L249,"3M","mf",,Trigger)</f>
        <v>49653</v>
      </c>
      <c r="N249" s="546" t="str">
        <f>_xll.qlMakeDatedOIS(,L249,M249,"eonia",,,,,Trigger)</f>
        <v>obj_0088f#0002</v>
      </c>
      <c r="O249" s="545">
        <f>_xll.qlIndexFixing("euribor3m",_xll.qlInterestRateIndexFixingDate("Euribor3M",L249),TRUE)</f>
        <v>2.2964869983935973E-2</v>
      </c>
      <c r="P249" s="545">
        <f>_xll.qlOvernightIndexedSwapFairRate(N249,Trigger)</f>
        <v>2.1693730170726514E-2</v>
      </c>
      <c r="Q249" s="547">
        <f t="shared" si="5"/>
        <v>1.2711398132094591E-3</v>
      </c>
    </row>
    <row r="250" spans="5:17" x14ac:dyDescent="0.2">
      <c r="E250" s="538"/>
      <c r="F250" s="538"/>
      <c r="G250" s="537"/>
      <c r="I250" s="537"/>
      <c r="J250" s="537"/>
      <c r="L250" s="553">
        <f>_xll.qlCalendarAdvance(Calendar,L249,"1M","f",,Trigger)</f>
        <v>49592</v>
      </c>
      <c r="M250" s="544">
        <f>_xll.qlCalendarAdvance(Calendar,L250,"3M","mf",,Trigger)</f>
        <v>49684</v>
      </c>
      <c r="N250" s="546" t="str">
        <f>_xll.qlMakeDatedOIS(,L250,M250,"eonia",,,,,Trigger)</f>
        <v>obj_00891#0002</v>
      </c>
      <c r="O250" s="545">
        <f>_xll.qlIndexFixing("euribor3m",_xll.qlInterestRateIndexFixingDate("Euribor3M",L250),TRUE)</f>
        <v>2.2924635920438158E-2</v>
      </c>
      <c r="P250" s="545">
        <f>_xll.qlOvernightIndexedSwapFairRate(N250,Trigger)</f>
        <v>2.1694382628299699E-2</v>
      </c>
      <c r="Q250" s="547">
        <f t="shared" si="5"/>
        <v>1.2302532921384599E-3</v>
      </c>
    </row>
    <row r="251" spans="5:17" x14ac:dyDescent="0.2">
      <c r="E251" s="538"/>
      <c r="F251" s="538"/>
      <c r="G251" s="537"/>
      <c r="I251" s="537"/>
      <c r="J251" s="537"/>
      <c r="L251" s="553">
        <f>_xll.qlCalendarAdvance(Calendar,L250,"1M","f",,Trigger)</f>
        <v>49625</v>
      </c>
      <c r="M251" s="544">
        <f>_xll.qlCalendarAdvance(Calendar,L251,"3M","mf",,Trigger)</f>
        <v>49717</v>
      </c>
      <c r="N251" s="546" t="str">
        <f>_xll.qlMakeDatedOIS(,L251,M251,"eonia",,,,,Trigger)</f>
        <v>obj_00893#0002</v>
      </c>
      <c r="O251" s="545">
        <f>_xll.qlIndexFixing("euribor3m",_xll.qlInterestRateIndexFixingDate("Euribor3M",L251),TRUE)</f>
        <v>2.2880251479251438E-2</v>
      </c>
      <c r="P251" s="545">
        <f>_xll.qlOvernightIndexedSwapFairRate(N251,Trigger)</f>
        <v>2.1694382628300569E-2</v>
      </c>
      <c r="Q251" s="547">
        <f t="shared" si="5"/>
        <v>1.1858688509508684E-3</v>
      </c>
    </row>
    <row r="252" spans="5:17" x14ac:dyDescent="0.2">
      <c r="E252" s="538"/>
      <c r="F252" s="538"/>
      <c r="G252" s="537"/>
      <c r="I252" s="537"/>
      <c r="J252" s="537"/>
      <c r="L252" s="553">
        <f>_xll.qlCalendarAdvance(Calendar,L251,"1M","f",,Trigger)</f>
        <v>49655</v>
      </c>
      <c r="M252" s="544">
        <f>_xll.qlCalendarAdvance(Calendar,L252,"3M","mf",,Trigger)</f>
        <v>49746</v>
      </c>
      <c r="N252" s="546" t="str">
        <f>_xll.qlMakeDatedOIS(,L252,M252,"eonia",,,,,Trigger)</f>
        <v>obj_00895#0002</v>
      </c>
      <c r="O252" s="545">
        <f>_xll.qlIndexFixing("euribor3m",_xll.qlInterestRateIndexFixingDate("Euribor3M",L252),TRUE)</f>
        <v>2.2839797245759123E-2</v>
      </c>
      <c r="P252" s="545">
        <f>_xll.qlOvernightIndexedSwapFairRate(N252,Trigger)</f>
        <v>2.1693730170726511E-2</v>
      </c>
      <c r="Q252" s="547">
        <f t="shared" si="5"/>
        <v>1.1460670750326127E-3</v>
      </c>
    </row>
    <row r="253" spans="5:17" x14ac:dyDescent="0.2">
      <c r="E253" s="538"/>
      <c r="F253" s="538"/>
      <c r="G253" s="537"/>
      <c r="I253" s="537"/>
      <c r="J253" s="537"/>
      <c r="L253" s="553">
        <f>_xll.qlCalendarAdvance(Calendar,L252,"1M","f",,Trigger)</f>
        <v>49688</v>
      </c>
      <c r="M253" s="544">
        <f>_xll.qlCalendarAdvance(Calendar,L253,"3M","mf",,Trigger)</f>
        <v>49780</v>
      </c>
      <c r="N253" s="546" t="str">
        <f>_xll.qlMakeDatedOIS(,L253,M253,"eonia",,,,,Trigger)</f>
        <v>obj_00897#0002</v>
      </c>
      <c r="O253" s="545">
        <f>_xll.qlIndexFixing("euribor3m",_xll.qlInterestRateIndexFixingDate("Euribor3M",L253),TRUE)</f>
        <v>2.2795338642108941E-2</v>
      </c>
      <c r="P253" s="545">
        <f>_xll.qlOvernightIndexedSwapFairRate(N253,Trigger)</f>
        <v>2.1694382628299699E-2</v>
      </c>
      <c r="Q253" s="547">
        <f t="shared" si="5"/>
        <v>1.1009560138092421E-3</v>
      </c>
    </row>
    <row r="254" spans="5:17" x14ac:dyDescent="0.2">
      <c r="E254" s="538"/>
      <c r="F254" s="538"/>
      <c r="G254" s="537"/>
      <c r="I254" s="537"/>
      <c r="J254" s="537"/>
      <c r="L254" s="553">
        <f>_xll.qlCalendarAdvance(Calendar,L253,"1M","f",,Trigger)</f>
        <v>49719</v>
      </c>
      <c r="M254" s="544">
        <f>_xll.qlCalendarAdvance(Calendar,L254,"3M","mf",,Trigger)</f>
        <v>49809</v>
      </c>
      <c r="N254" s="546" t="str">
        <f>_xll.qlMakeDatedOIS(,L254,M254,"eonia",,,,,Trigger)</f>
        <v>obj_00899#0002</v>
      </c>
      <c r="O254" s="545">
        <f>_xll.qlIndexFixing("euribor3m",_xll.qlInterestRateIndexFixingDate("Euribor3M",L254),TRUE)</f>
        <v>2.275338689250006E-2</v>
      </c>
      <c r="P254" s="545">
        <f>_xll.qlOvernightIndexedSwapFairRate(N254,Trigger)</f>
        <v>2.1693077739304734E-2</v>
      </c>
      <c r="Q254" s="547">
        <f t="shared" si="5"/>
        <v>1.0603091531953268E-3</v>
      </c>
    </row>
    <row r="255" spans="5:17" x14ac:dyDescent="0.2">
      <c r="E255" s="538"/>
      <c r="F255" s="538"/>
      <c r="G255" s="537"/>
      <c r="I255" s="537"/>
      <c r="J255" s="537"/>
      <c r="L255" s="553">
        <f>_xll.qlCalendarAdvance(Calendar,L254,"1M","f",,Trigger)</f>
        <v>49748</v>
      </c>
      <c r="M255" s="544">
        <f>_xll.qlCalendarAdvance(Calendar,L255,"3M","mf",,Trigger)</f>
        <v>49842</v>
      </c>
      <c r="N255" s="546" t="str">
        <f>_xll.qlMakeDatedOIS(,L255,M255,"eonia",,,,,Trigger)</f>
        <v>obj_0089b#0002</v>
      </c>
      <c r="O255" s="545">
        <f>_xll.qlIndexFixing("euribor3m",_xll.qlInterestRateIndexFixingDate("Euribor3M",L255),TRUE)</f>
        <v>2.2714327073779159E-2</v>
      </c>
      <c r="P255" s="545">
        <f>_xll.qlOvernightIndexedSwapFairRate(N255,Trigger)</f>
        <v>2.1695687621905529E-2</v>
      </c>
      <c r="Q255" s="547">
        <f t="shared" si="5"/>
        <v>1.0186394518736305E-3</v>
      </c>
    </row>
    <row r="256" spans="5:17" x14ac:dyDescent="0.2">
      <c r="E256" s="538"/>
      <c r="F256" s="538"/>
      <c r="G256" s="537"/>
      <c r="I256" s="537"/>
      <c r="J256" s="537"/>
      <c r="L256" s="553">
        <f>_xll.qlCalendarAdvance(Calendar,L255,"1M","f",,Trigger)</f>
        <v>49780</v>
      </c>
      <c r="M256" s="544">
        <f>_xll.qlCalendarAdvance(Calendar,L256,"3M","mf",,Trigger)</f>
        <v>49871</v>
      </c>
      <c r="N256" s="546" t="str">
        <f>_xll.qlMakeDatedOIS(,L256,M256,"eonia",,,,,Trigger)</f>
        <v>obj_0089d#0002</v>
      </c>
      <c r="O256" s="545">
        <f>_xll.qlIndexFixing("euribor3m",_xll.qlInterestRateIndexFixingDate("Euribor3M",L256),TRUE)</f>
        <v>2.2670882660786679E-2</v>
      </c>
      <c r="P256" s="545">
        <f>_xll.qlOvernightIndexedSwapFairRate(N256,Trigger)</f>
        <v>2.1693730170726511E-2</v>
      </c>
      <c r="Q256" s="547">
        <f t="shared" si="5"/>
        <v>9.7715249006016802E-4</v>
      </c>
    </row>
    <row r="257" spans="5:17" x14ac:dyDescent="0.2">
      <c r="E257" s="538"/>
      <c r="F257" s="538"/>
      <c r="G257" s="537"/>
      <c r="I257" s="537"/>
      <c r="J257" s="537"/>
      <c r="L257" s="553">
        <f>_xll.qlCalendarAdvance(Calendar,L256,"1M","f",,Trigger)</f>
        <v>49810</v>
      </c>
      <c r="M257" s="544">
        <f>_xll.qlCalendarAdvance(Calendar,L257,"3M","mf",,Trigger)</f>
        <v>49902</v>
      </c>
      <c r="N257" s="546" t="str">
        <f>_xll.qlMakeDatedOIS(,L257,M257,"eonia",,,,,Trigger)</f>
        <v>obj_0089f#0002</v>
      </c>
      <c r="O257" s="545">
        <f>_xll.qlIndexFixing("euribor3m",_xll.qlInterestRateIndexFixingDate("Euribor3M",L257),TRUE)</f>
        <v>2.2630236673207318E-2</v>
      </c>
      <c r="P257" s="545">
        <f>_xll.qlOvernightIndexedSwapFairRate(N257,Trigger)</f>
        <v>2.1694382628299699E-2</v>
      </c>
      <c r="Q257" s="547">
        <f t="shared" si="5"/>
        <v>9.3585404490761914E-4</v>
      </c>
    </row>
    <row r="258" spans="5:17" x14ac:dyDescent="0.2">
      <c r="E258" s="538"/>
      <c r="F258" s="538"/>
      <c r="G258" s="537"/>
      <c r="I258" s="537"/>
      <c r="J258" s="537"/>
      <c r="L258" s="553">
        <f>_xll.qlCalendarAdvance(Calendar,L257,"1M","f",,Trigger)</f>
        <v>49842</v>
      </c>
      <c r="M258" s="544">
        <f>_xll.qlCalendarAdvance(Calendar,L258,"3M","mf",,Trigger)</f>
        <v>49934</v>
      </c>
      <c r="N258" s="546" t="str">
        <f>_xll.qlMakeDatedOIS(,L258,M258,"eonia",,,,,Trigger)</f>
        <v>obj_008a1#0002</v>
      </c>
      <c r="O258" s="545">
        <f>_xll.qlIndexFixing("euribor3m",_xll.qlInterestRateIndexFixingDate("Euribor3M",L258),TRUE)</f>
        <v>2.2586785487014753E-2</v>
      </c>
      <c r="P258" s="545">
        <f>_xll.qlOvernightIndexedSwapFairRate(N258,Trigger)</f>
        <v>2.1694382628300569E-2</v>
      </c>
      <c r="Q258" s="547">
        <f t="shared" si="5"/>
        <v>8.9240285871418357E-4</v>
      </c>
    </row>
    <row r="259" spans="5:17" x14ac:dyDescent="0.2">
      <c r="E259" s="538"/>
      <c r="F259" s="538"/>
      <c r="G259" s="537"/>
      <c r="I259" s="537"/>
      <c r="J259" s="537"/>
      <c r="L259" s="553">
        <f>_xll.qlCalendarAdvance(Calendar,L258,"1M","f",,Trigger)</f>
        <v>49872</v>
      </c>
      <c r="M259" s="544">
        <f>_xll.qlCalendarAdvance(Calendar,L259,"3M","mf",,Trigger)</f>
        <v>49964</v>
      </c>
      <c r="N259" s="546" t="str">
        <f>_xll.qlMakeDatedOIS(,L259,M259,"eonia",,,,,Trigger)</f>
        <v>obj_008a3#0002</v>
      </c>
      <c r="O259" s="545">
        <f>_xll.qlIndexFixing("euribor3m",_xll.qlInterestRateIndexFixingDate("Euribor3M",L259),TRUE)</f>
        <v>2.2545994991655927E-2</v>
      </c>
      <c r="P259" s="545">
        <f>_xll.qlOvernightIndexedSwapFairRate(N259,Trigger)</f>
        <v>2.1694382628300566E-2</v>
      </c>
      <c r="Q259" s="547">
        <f t="shared" ref="Q259:Q322" si="6">O259-P259</f>
        <v>8.5161236335536128E-4</v>
      </c>
    </row>
    <row r="260" spans="5:17" x14ac:dyDescent="0.2">
      <c r="E260" s="538"/>
      <c r="F260" s="538"/>
      <c r="G260" s="537"/>
      <c r="I260" s="537"/>
      <c r="J260" s="537"/>
      <c r="L260" s="553">
        <f>_xll.qlCalendarAdvance(Calendar,L259,"1M","f",,Trigger)</f>
        <v>49905</v>
      </c>
      <c r="M260" s="544">
        <f>_xll.qlCalendarAdvance(Calendar,L260,"3M","mf",,Trigger)</f>
        <v>49997</v>
      </c>
      <c r="N260" s="546" t="str">
        <f>_xll.qlMakeDatedOIS(,L260,M260,"eonia",,,,,Trigger)</f>
        <v>obj_008a5#0002</v>
      </c>
      <c r="O260" s="545">
        <f>_xll.qlIndexFixing("euribor3m",_xll.qlInterestRateIndexFixingDate("Euribor3M",L260),TRUE)</f>
        <v>2.2501063963698578E-2</v>
      </c>
      <c r="P260" s="545">
        <f>_xll.qlOvernightIndexedSwapFairRate(N260,Trigger)</f>
        <v>2.1694382628299699E-2</v>
      </c>
      <c r="Q260" s="547">
        <f t="shared" si="6"/>
        <v>8.0668133539887887E-4</v>
      </c>
    </row>
    <row r="261" spans="5:17" x14ac:dyDescent="0.2">
      <c r="E261" s="538"/>
      <c r="F261" s="538"/>
      <c r="G261" s="537"/>
      <c r="I261" s="537"/>
      <c r="J261" s="537"/>
      <c r="L261" s="553">
        <f>_xll.qlCalendarAdvance(Calendar,L260,"1M","f",,Trigger)</f>
        <v>49936</v>
      </c>
      <c r="M261" s="544">
        <f>_xll.qlCalendarAdvance(Calendar,L261,"3M","mf",,Trigger)</f>
        <v>50027</v>
      </c>
      <c r="N261" s="546" t="str">
        <f>_xll.qlMakeDatedOIS(,L261,M261,"eonia",,,,,Trigger)</f>
        <v>obj_008a7#0002</v>
      </c>
      <c r="O261" s="545">
        <f>_xll.qlIndexFixing("euribor3m",_xll.qlInterestRateIndexFixingDate("Euribor3M",L261),TRUE)</f>
        <v>2.2458780737965024E-2</v>
      </c>
      <c r="P261" s="545">
        <f>_xll.qlOvernightIndexedSwapFairRate(N261,Trigger)</f>
        <v>2.1693730170727392E-2</v>
      </c>
      <c r="Q261" s="547">
        <f t="shared" si="6"/>
        <v>7.6505056723763162E-4</v>
      </c>
    </row>
    <row r="262" spans="5:17" x14ac:dyDescent="0.2">
      <c r="E262" s="538"/>
      <c r="F262" s="538"/>
      <c r="G262" s="537"/>
      <c r="I262" s="537"/>
      <c r="J262" s="537"/>
      <c r="L262" s="553">
        <f>_xll.qlCalendarAdvance(Calendar,L261,"1M","f",,Trigger)</f>
        <v>49968</v>
      </c>
      <c r="M262" s="544">
        <f>_xll.qlCalendarAdvance(Calendar,L262,"3M","mf",,Trigger)</f>
        <v>50060</v>
      </c>
      <c r="N262" s="546" t="str">
        <f>_xll.qlMakeDatedOIS(,L262,M262,"eonia",,,,,Trigger)</f>
        <v>obj_008a9#0002</v>
      </c>
      <c r="O262" s="545">
        <f>_xll.qlIndexFixing("euribor3m",_xll.qlInterestRateIndexFixingDate("Euribor3M",L262),TRUE)</f>
        <v>2.2415107694717759E-2</v>
      </c>
      <c r="P262" s="545">
        <f>_xll.qlOvernightIndexedSwapFairRate(N262,Trigger)</f>
        <v>2.1694382628300569E-2</v>
      </c>
      <c r="Q262" s="547">
        <f t="shared" si="6"/>
        <v>7.2072506641718964E-4</v>
      </c>
    </row>
    <row r="263" spans="5:17" x14ac:dyDescent="0.2">
      <c r="E263" s="538"/>
      <c r="F263" s="538"/>
      <c r="G263" s="537"/>
      <c r="I263" s="537"/>
      <c r="J263" s="537"/>
      <c r="L263" s="553">
        <f>_xll.qlCalendarAdvance(Calendar,L262,"1M","f",,Trigger)</f>
        <v>49999</v>
      </c>
      <c r="M263" s="544">
        <f>_xll.qlCalendarAdvance(Calendar,L263,"3M","mf",,Trigger)</f>
        <v>50091</v>
      </c>
      <c r="N263" s="546" t="str">
        <f>_xll.qlMakeDatedOIS(,L263,M263,"eonia",,,,,Trigger)</f>
        <v>obj_008ab#0002</v>
      </c>
      <c r="O263" s="545">
        <f>_xll.qlIndexFixing("euribor3m",_xll.qlInterestRateIndexFixingDate("Euribor3M",L263),TRUE)</f>
        <v>2.2372725583595401E-2</v>
      </c>
      <c r="P263" s="545">
        <f>_xll.qlOvernightIndexedSwapFairRate(N263,Trigger)</f>
        <v>2.1694382628300569E-2</v>
      </c>
      <c r="Q263" s="547">
        <f t="shared" si="6"/>
        <v>6.7834295529483127E-4</v>
      </c>
    </row>
    <row r="264" spans="5:17" x14ac:dyDescent="0.2">
      <c r="E264" s="538"/>
      <c r="F264" s="538"/>
      <c r="G264" s="537"/>
      <c r="I264" s="537"/>
      <c r="J264" s="537"/>
      <c r="L264" s="553">
        <f>_xll.qlCalendarAdvance(Calendar,L263,"1M","f",,Trigger)</f>
        <v>50031</v>
      </c>
      <c r="M264" s="544">
        <f>_xll.qlCalendarAdvance(Calendar,L264,"3M","mf",,Trigger)</f>
        <v>50122</v>
      </c>
      <c r="N264" s="546" t="str">
        <f>_xll.qlMakeDatedOIS(,L264,M264,"eonia",,,,,Trigger)</f>
        <v>obj_008ad#0002</v>
      </c>
      <c r="O264" s="545">
        <f>_xll.qlIndexFixing("euribor3m",_xll.qlInterestRateIndexFixingDate("Euribor3M",L264),TRUE)</f>
        <v>2.2328910941997175E-2</v>
      </c>
      <c r="P264" s="545">
        <f>_xll.qlOvernightIndexedSwapFairRate(N264,Trigger)</f>
        <v>2.1693730170727392E-2</v>
      </c>
      <c r="Q264" s="547">
        <f t="shared" si="6"/>
        <v>6.3518077126978323E-4</v>
      </c>
    </row>
    <row r="265" spans="5:17" x14ac:dyDescent="0.2">
      <c r="E265" s="538"/>
      <c r="F265" s="538"/>
      <c r="G265" s="537"/>
      <c r="I265" s="537"/>
      <c r="J265" s="537"/>
      <c r="L265" s="553">
        <f>_xll.qlCalendarAdvance(Calendar,L264,"1M","f",,Trigger)</f>
        <v>50062</v>
      </c>
      <c r="M265" s="544">
        <f>_xll.qlCalendarAdvance(Calendar,L265,"3M","mf",,Trigger)</f>
        <v>50152</v>
      </c>
      <c r="N265" s="546" t="str">
        <f>_xll.qlMakeDatedOIS(,L265,M265,"eonia",,,,,Trigger)</f>
        <v>obj_008af#0002</v>
      </c>
      <c r="O265" s="545">
        <f>_xll.qlIndexFixing("euribor3m",_xll.qlInterestRateIndexFixingDate("Euribor3M",L265),TRUE)</f>
        <v>2.2286414589656189E-2</v>
      </c>
      <c r="P265" s="545">
        <f>_xll.qlOvernightIndexedSwapFairRate(N265,Trigger)</f>
        <v>2.1693077739304734E-2</v>
      </c>
      <c r="Q265" s="547">
        <f t="shared" si="6"/>
        <v>5.9333685035145578E-4</v>
      </c>
    </row>
    <row r="266" spans="5:17" x14ac:dyDescent="0.2">
      <c r="E266" s="538"/>
      <c r="F266" s="538"/>
      <c r="G266" s="537"/>
      <c r="I266" s="537"/>
      <c r="J266" s="537"/>
      <c r="L266" s="553">
        <f>_xll.qlCalendarAdvance(Calendar,L265,"1M","f",,Trigger)</f>
        <v>50094</v>
      </c>
      <c r="M266" s="544">
        <f>_xll.qlCalendarAdvance(Calendar,L266,"3M","mf",,Trigger)</f>
        <v>50185</v>
      </c>
      <c r="N266" s="546" t="str">
        <f>_xll.qlMakeDatedOIS(,L266,M266,"eonia",,,,,Trigger)</f>
        <v>obj_008b1#0002</v>
      </c>
      <c r="O266" s="545">
        <f>_xll.qlIndexFixing("euribor3m",_xll.qlInterestRateIndexFixingDate("Euribor3M",L266),TRUE)</f>
        <v>2.2242492425729777E-2</v>
      </c>
      <c r="P266" s="545">
        <f>_xll.qlOvernightIndexedSwapFairRate(N266,Trigger)</f>
        <v>2.1693730170727388E-2</v>
      </c>
      <c r="Q266" s="547">
        <f t="shared" si="6"/>
        <v>5.4876225500238851E-4</v>
      </c>
    </row>
    <row r="267" spans="5:17" x14ac:dyDescent="0.2">
      <c r="E267" s="538"/>
      <c r="F267" s="538"/>
      <c r="G267" s="537"/>
      <c r="I267" s="537"/>
      <c r="J267" s="537"/>
      <c r="L267" s="553">
        <f>_xll.qlCalendarAdvance(Calendar,L266,"1M","f",,Trigger)</f>
        <v>50122</v>
      </c>
      <c r="M267" s="544">
        <f>_xll.qlCalendarAdvance(Calendar,L267,"3M","mf",,Trigger)</f>
        <v>50214</v>
      </c>
      <c r="N267" s="546" t="str">
        <f>_xll.qlMakeDatedOIS(,L267,M267,"eonia",,,,,Trigger)</f>
        <v>obj_008b3#0002</v>
      </c>
      <c r="O267" s="545">
        <f>_xll.qlIndexFixing("euribor3m",_xll.qlInterestRateIndexFixingDate("Euribor3M",L267),TRUE)</f>
        <v>2.2204004216812376E-2</v>
      </c>
      <c r="P267" s="545">
        <f>_xll.qlOvernightIndexedSwapFairRate(N267,Trigger)</f>
        <v>2.1694382628300569E-2</v>
      </c>
      <c r="Q267" s="547">
        <f t="shared" si="6"/>
        <v>5.0962158851180703E-4</v>
      </c>
    </row>
    <row r="268" spans="5:17" x14ac:dyDescent="0.2">
      <c r="E268" s="538"/>
      <c r="F268" s="538"/>
      <c r="G268" s="537"/>
      <c r="I268" s="537"/>
      <c r="J268" s="537"/>
      <c r="L268" s="553">
        <f>_xll.qlCalendarAdvance(Calendar,L267,"1M","f",,Trigger)</f>
        <v>50153</v>
      </c>
      <c r="M268" s="544">
        <f>_xll.qlCalendarAdvance(Calendar,L268,"3M","mf",,Trigger)</f>
        <v>50244</v>
      </c>
      <c r="N268" s="546" t="str">
        <f>_xll.qlMakeDatedOIS(,L268,M268,"eonia",,,,,Trigger)</f>
        <v>obj_008b5#0002</v>
      </c>
      <c r="O268" s="545">
        <f>_xll.qlIndexFixing("euribor3m",_xll.qlInterestRateIndexFixingDate("Euribor3M",L268),TRUE)</f>
        <v>2.2161347973418045E-2</v>
      </c>
      <c r="P268" s="545">
        <f>_xll.qlOvernightIndexedSwapFairRate(N268,Trigger)</f>
        <v>2.1693730170726511E-2</v>
      </c>
      <c r="Q268" s="547">
        <f t="shared" si="6"/>
        <v>4.676178026915348E-4</v>
      </c>
    </row>
    <row r="269" spans="5:17" x14ac:dyDescent="0.2">
      <c r="E269" s="538"/>
      <c r="F269" s="538"/>
      <c r="G269" s="537"/>
      <c r="I269" s="537"/>
      <c r="J269" s="537"/>
      <c r="L269" s="553">
        <f>_xll.qlCalendarAdvance(Calendar,L268,"1M","f",,Trigger)</f>
        <v>50185</v>
      </c>
      <c r="M269" s="544">
        <f>_xll.qlCalendarAdvance(Calendar,L269,"3M","mf",,Trigger)</f>
        <v>50277</v>
      </c>
      <c r="N269" s="546" t="str">
        <f>_xll.qlMakeDatedOIS(,L269,M269,"eonia",,,,,Trigger)</f>
        <v>obj_008b7#0002</v>
      </c>
      <c r="O269" s="545">
        <f>_xll.qlIndexFixing("euribor3m",_xll.qlInterestRateIndexFixingDate("Euribor3M",L269),TRUE)</f>
        <v>2.211723949805313E-2</v>
      </c>
      <c r="P269" s="545">
        <f>_xll.qlOvernightIndexedSwapFairRate(N269,Trigger)</f>
        <v>2.1694382628299699E-2</v>
      </c>
      <c r="Q269" s="547">
        <f t="shared" si="6"/>
        <v>4.228568697534317E-4</v>
      </c>
    </row>
    <row r="270" spans="5:17" x14ac:dyDescent="0.2">
      <c r="E270" s="538"/>
      <c r="F270" s="538"/>
      <c r="G270" s="537"/>
      <c r="I270" s="537"/>
      <c r="J270" s="537"/>
      <c r="L270" s="553">
        <f>_xll.qlCalendarAdvance(Calendar,L269,"1M","f",,Trigger)</f>
        <v>50216</v>
      </c>
      <c r="M270" s="544">
        <f>_xll.qlCalendarAdvance(Calendar,L270,"3M","mf",,Trigger)</f>
        <v>50308</v>
      </c>
      <c r="N270" s="546" t="str">
        <f>_xll.qlMakeDatedOIS(,L270,M270,"eonia",,,,,Trigger)</f>
        <v>obj_008b9#0002</v>
      </c>
      <c r="O270" s="545">
        <f>_xll.qlIndexFixing("euribor3m",_xll.qlInterestRateIndexFixingDate("Euribor3M",L270),TRUE)</f>
        <v>2.2074459597971607E-2</v>
      </c>
      <c r="P270" s="545">
        <f>_xll.qlOvernightIndexedSwapFairRate(N270,Trigger)</f>
        <v>2.1694382628300569E-2</v>
      </c>
      <c r="Q270" s="547">
        <f t="shared" si="6"/>
        <v>3.8007696967103793E-4</v>
      </c>
    </row>
    <row r="271" spans="5:17" x14ac:dyDescent="0.2">
      <c r="E271" s="538"/>
      <c r="F271" s="538"/>
      <c r="G271" s="537"/>
      <c r="I271" s="537"/>
      <c r="J271" s="537"/>
      <c r="L271" s="553">
        <f>_xll.qlCalendarAdvance(Calendar,L270,"1M","f",,Trigger)</f>
        <v>50248</v>
      </c>
      <c r="M271" s="544">
        <f>_xll.qlCalendarAdvance(Calendar,L271,"3M","mf",,Trigger)</f>
        <v>50340</v>
      </c>
      <c r="N271" s="546" t="str">
        <f>_xll.qlMakeDatedOIS(,L271,M271,"eonia",,,,,Trigger)</f>
        <v>obj_008bb#0002</v>
      </c>
      <c r="O271" s="545">
        <f>_xll.qlIndexFixing("euribor3m",_xll.qlInterestRateIndexFixingDate("Euribor3M",L271),TRUE)</f>
        <v>2.2030240102675746E-2</v>
      </c>
      <c r="P271" s="545">
        <f>_xll.qlOvernightIndexedSwapFairRate(N271,Trigger)</f>
        <v>2.1694382628299699E-2</v>
      </c>
      <c r="Q271" s="547">
        <f t="shared" si="6"/>
        <v>3.3585747437604729E-4</v>
      </c>
    </row>
    <row r="272" spans="5:17" x14ac:dyDescent="0.2">
      <c r="E272" s="538"/>
      <c r="F272" s="538"/>
      <c r="G272" s="537"/>
      <c r="I272" s="537"/>
      <c r="J272" s="537"/>
      <c r="L272" s="553">
        <f>_xll.qlCalendarAdvance(Calendar,L271,"1M","f",,Trigger)</f>
        <v>50279</v>
      </c>
      <c r="M272" s="544">
        <f>_xll.qlCalendarAdvance(Calendar,L272,"3M","mf",,Trigger)</f>
        <v>50371</v>
      </c>
      <c r="N272" s="546" t="str">
        <f>_xll.qlMakeDatedOIS(,L272,M272,"eonia",,,,,Trigger)</f>
        <v>obj_008bd#0002</v>
      </c>
      <c r="O272" s="545">
        <f>_xll.qlIndexFixing("euribor3m",_xll.qlInterestRateIndexFixingDate("Euribor3M",L272),TRUE)</f>
        <v>2.1987344732538969E-2</v>
      </c>
      <c r="P272" s="545">
        <f>_xll.qlOvernightIndexedSwapFairRate(N272,Trigger)</f>
        <v>2.1694382628300569E-2</v>
      </c>
      <c r="Q272" s="547">
        <f t="shared" si="6"/>
        <v>2.9296210423839994E-4</v>
      </c>
    </row>
    <row r="273" spans="5:17" x14ac:dyDescent="0.2">
      <c r="E273" s="538"/>
      <c r="F273" s="538"/>
      <c r="G273" s="537"/>
      <c r="I273" s="537"/>
      <c r="J273" s="537"/>
      <c r="L273" s="553">
        <f>_xll.qlCalendarAdvance(Calendar,L272,"1M","f",,Trigger)</f>
        <v>50311</v>
      </c>
      <c r="M273" s="544">
        <f>_xll.qlCalendarAdvance(Calendar,L273,"3M","mf",,Trigger)</f>
        <v>50402</v>
      </c>
      <c r="N273" s="546" t="str">
        <f>_xll.qlMakeDatedOIS(,L273,M273,"eonia",,,,,Trigger)</f>
        <v>obj_008bf#0002</v>
      </c>
      <c r="O273" s="545">
        <f>_xll.qlIndexFixing("euribor3m",_xll.qlInterestRateIndexFixingDate("Euribor3M",L273),TRUE)</f>
        <v>2.1943032232514773E-2</v>
      </c>
      <c r="P273" s="545">
        <f>_xll.qlOvernightIndexedSwapFairRate(N273,Trigger)</f>
        <v>2.1693730170726514E-2</v>
      </c>
      <c r="Q273" s="547">
        <f t="shared" si="6"/>
        <v>2.4930206178825839E-4</v>
      </c>
    </row>
    <row r="274" spans="5:17" x14ac:dyDescent="0.2">
      <c r="E274" s="538"/>
      <c r="F274" s="538"/>
      <c r="G274" s="537"/>
      <c r="I274" s="537"/>
      <c r="J274" s="537"/>
      <c r="L274" s="553">
        <f>_xll.qlCalendarAdvance(Calendar,L273,"1M","f",,Trigger)</f>
        <v>50341</v>
      </c>
      <c r="M274" s="544">
        <f>_xll.qlCalendarAdvance(Calendar,L274,"3M","mf",,Trigger)</f>
        <v>50433</v>
      </c>
      <c r="N274" s="546" t="str">
        <f>_xll.qlMakeDatedOIS(,L274,M274,"eonia",,,,,Trigger)</f>
        <v>obj_008c1#0002</v>
      </c>
      <c r="O274" s="545">
        <f>_xll.qlIndexFixing("euribor3m",_xll.qlInterestRateIndexFixingDate("Euribor3M",L274),TRUE)</f>
        <v>2.1901383546836337E-2</v>
      </c>
      <c r="P274" s="545">
        <f>_xll.qlOvernightIndexedSwapFairRate(N274,Trigger)</f>
        <v>2.1694382628300569E-2</v>
      </c>
      <c r="Q274" s="547">
        <f t="shared" si="6"/>
        <v>2.0700091853576713E-4</v>
      </c>
    </row>
    <row r="275" spans="5:17" x14ac:dyDescent="0.2">
      <c r="E275" s="538"/>
      <c r="F275" s="538"/>
      <c r="G275" s="537"/>
      <c r="I275" s="537"/>
      <c r="J275" s="537"/>
      <c r="L275" s="553">
        <f>_xll.qlCalendarAdvance(Calendar,L274,"1M","f",,Trigger)</f>
        <v>50374</v>
      </c>
      <c r="M275" s="544">
        <f>_xll.qlCalendarAdvance(Calendar,L275,"3M","mf",,Trigger)</f>
        <v>50462</v>
      </c>
      <c r="N275" s="546" t="str">
        <f>_xll.qlMakeDatedOIS(,L275,M275,"eonia",,,,,Trigger)</f>
        <v>obj_008c3#0002</v>
      </c>
      <c r="O275" s="545">
        <f>_xll.qlIndexFixing("euribor3m",_xll.qlInterestRateIndexFixingDate("Euribor3M",L275),TRUE)</f>
        <v>2.1855670298482194E-2</v>
      </c>
      <c r="P275" s="545">
        <f>_xll.qlOvernightIndexedSwapFairRate(N275,Trigger)</f>
        <v>2.1691772954909819E-2</v>
      </c>
      <c r="Q275" s="547">
        <f t="shared" si="6"/>
        <v>1.6389734357237506E-4</v>
      </c>
    </row>
    <row r="276" spans="5:17" x14ac:dyDescent="0.2">
      <c r="E276" s="538"/>
      <c r="F276" s="538"/>
      <c r="G276" s="537"/>
      <c r="I276" s="537"/>
      <c r="J276" s="537"/>
      <c r="L276" s="553">
        <f>_xll.qlCalendarAdvance(Calendar,L275,"1M","f",,Trigger)</f>
        <v>50404</v>
      </c>
      <c r="M276" s="544">
        <f>_xll.qlCalendarAdvance(Calendar,L276,"3M","mf",,Trigger)</f>
        <v>50494</v>
      </c>
      <c r="N276" s="546" t="str">
        <f>_xll.qlMakeDatedOIS(,L276,M276,"eonia",,,,,Trigger)</f>
        <v>obj_008c5#0002</v>
      </c>
      <c r="O276" s="545">
        <f>_xll.qlIndexFixing("euribor3m",_xll.qlInterestRateIndexFixingDate("Euribor3M",L276),TRUE)</f>
        <v>2.1813876567892798E-2</v>
      </c>
      <c r="P276" s="545">
        <f>_xll.qlOvernightIndexedSwapFairRate(N276,Trigger)</f>
        <v>2.1693077739304734E-2</v>
      </c>
      <c r="Q276" s="547">
        <f t="shared" si="6"/>
        <v>1.2079882858806457E-4</v>
      </c>
    </row>
    <row r="277" spans="5:17" x14ac:dyDescent="0.2">
      <c r="E277" s="538"/>
      <c r="F277" s="538"/>
      <c r="G277" s="537"/>
      <c r="I277" s="537"/>
      <c r="J277" s="537"/>
      <c r="L277" s="553">
        <f>_xll.qlCalendarAdvance(Calendar,L276,"1M","f",,Trigger)</f>
        <v>50437</v>
      </c>
      <c r="M277" s="544">
        <f>_xll.qlCalendarAdvance(Calendar,L277,"3M","mf",,Trigger)</f>
        <v>50528</v>
      </c>
      <c r="N277" s="546" t="str">
        <f>_xll.qlMakeDatedOIS(,L277,M277,"eonia",,,,,Trigger)</f>
        <v>obj_008c7#0002</v>
      </c>
      <c r="O277" s="545">
        <f>_xll.qlIndexFixing("euribor3m",_xll.qlInterestRateIndexFixingDate("Euribor3M",L277),TRUE)</f>
        <v>2.1767874528790688E-2</v>
      </c>
      <c r="P277" s="545">
        <f>_xll.qlOvernightIndexedSwapFairRate(N277,Trigger)</f>
        <v>2.1693730170726511E-2</v>
      </c>
      <c r="Q277" s="547">
        <f t="shared" si="6"/>
        <v>7.4144358064177213E-5</v>
      </c>
    </row>
    <row r="278" spans="5:17" x14ac:dyDescent="0.2">
      <c r="E278" s="538"/>
      <c r="F278" s="538"/>
      <c r="G278" s="537"/>
      <c r="I278" s="537"/>
      <c r="J278" s="537"/>
      <c r="L278" s="553">
        <f>_xll.qlCalendarAdvance(Calendar,L277,"1M","f",,Trigger)</f>
        <v>50465</v>
      </c>
      <c r="M278" s="544">
        <f>_xll.qlCalendarAdvance(Calendar,L278,"3M","mf",,Trigger)</f>
        <v>50557</v>
      </c>
      <c r="N278" s="546" t="str">
        <f>_xll.qlMakeDatedOIS(,L278,M278,"eonia",,,,,Trigger)</f>
        <v>obj_008c9#0002</v>
      </c>
      <c r="O278" s="545">
        <f>_xll.qlIndexFixing("euribor3m",_xll.qlInterestRateIndexFixingDate("Euribor3M",L278),TRUE)</f>
        <v>2.1728779446178025E-2</v>
      </c>
      <c r="P278" s="545">
        <f>_xll.qlOvernightIndexedSwapFairRate(N278,Trigger)</f>
        <v>2.1694382628300573E-2</v>
      </c>
      <c r="Q278" s="547">
        <f t="shared" si="6"/>
        <v>3.4396817877452301E-5</v>
      </c>
    </row>
    <row r="279" spans="5:17" x14ac:dyDescent="0.2">
      <c r="E279" s="538"/>
      <c r="F279" s="538"/>
      <c r="G279" s="537"/>
      <c r="I279" s="537"/>
      <c r="J279" s="537"/>
      <c r="L279" s="553">
        <f>_xll.qlCalendarAdvance(Calendar,L278,"1M","f",,Trigger)</f>
        <v>50496</v>
      </c>
      <c r="M279" s="544">
        <f>_xll.qlCalendarAdvance(Calendar,L279,"3M","mf",,Trigger)</f>
        <v>50587</v>
      </c>
      <c r="N279" s="546" t="str">
        <f>_xll.qlMakeDatedOIS(,L279,M279,"eonia",,,,,Trigger)</f>
        <v>obj_008cb#0002</v>
      </c>
      <c r="O279" s="545">
        <f>_xll.qlIndexFixing("euribor3m",_xll.qlInterestRateIndexFixingDate("Euribor3M",L279),TRUE)</f>
        <v>2.1685533620011872E-2</v>
      </c>
      <c r="P279" s="545">
        <f>_xll.qlOvernightIndexedSwapFairRate(N279,Trigger)</f>
        <v>2.1693730170726504E-2</v>
      </c>
      <c r="Q279" s="547">
        <f t="shared" si="6"/>
        <v>-8.1965507146321281E-6</v>
      </c>
    </row>
    <row r="280" spans="5:17" x14ac:dyDescent="0.2">
      <c r="E280" s="538"/>
      <c r="F280" s="538"/>
      <c r="G280" s="537"/>
      <c r="I280" s="537"/>
      <c r="J280" s="537"/>
      <c r="L280" s="553">
        <f>_xll.qlCalendarAdvance(Calendar,L279,"1M","f",,Trigger)</f>
        <v>50528</v>
      </c>
      <c r="M280" s="544">
        <f>_xll.qlCalendarAdvance(Calendar,L280,"3M","mf",,Trigger)</f>
        <v>50620</v>
      </c>
      <c r="N280" s="546" t="str">
        <f>_xll.qlMakeDatedOIS(,L280,M280,"eonia",,,,,Trigger)</f>
        <v>obj_008cd#0002</v>
      </c>
      <c r="O280" s="545">
        <f>_xll.qlIndexFixing("euribor3m",_xll.qlInterestRateIndexFixingDate("Euribor3M",L280),TRUE)</f>
        <v>2.1640737233530716E-2</v>
      </c>
      <c r="P280" s="545">
        <f>_xll.qlOvernightIndexedSwapFairRate(N280,Trigger)</f>
        <v>2.1694382628299699E-2</v>
      </c>
      <c r="Q280" s="547">
        <f t="shared" si="6"/>
        <v>-5.3645394768982863E-5</v>
      </c>
    </row>
    <row r="281" spans="5:17" x14ac:dyDescent="0.2">
      <c r="E281" s="538"/>
      <c r="F281" s="538"/>
      <c r="G281" s="537"/>
      <c r="I281" s="537"/>
      <c r="J281" s="537"/>
      <c r="L281" s="553">
        <f>_xll.qlCalendarAdvance(Calendar,L280,"1M","f",,Trigger)</f>
        <v>50559</v>
      </c>
      <c r="M281" s="544">
        <f>_xll.qlCalendarAdvance(Calendar,L281,"3M","mf",,Trigger)</f>
        <v>50651</v>
      </c>
      <c r="N281" s="546" t="str">
        <f>_xll.qlMakeDatedOIS(,L281,M281,"eonia",,,,,Trigger)</f>
        <v>obj_008cf#0002</v>
      </c>
      <c r="O281" s="545">
        <f>_xll.qlIndexFixing("euribor3m",_xll.qlInterestRateIndexFixingDate("Euribor3M",L281),TRUE)</f>
        <v>2.1597328756794987E-2</v>
      </c>
      <c r="P281" s="545">
        <f>_xll.qlOvernightIndexedSwapFairRate(N281,Trigger)</f>
        <v>2.1694382628300563E-2</v>
      </c>
      <c r="Q281" s="547">
        <f t="shared" si="6"/>
        <v>-9.7053871505575762E-5</v>
      </c>
    </row>
    <row r="282" spans="5:17" x14ac:dyDescent="0.2">
      <c r="E282" s="538"/>
      <c r="F282" s="538"/>
      <c r="G282" s="537"/>
      <c r="I282" s="537"/>
      <c r="J282" s="537"/>
      <c r="L282" s="553">
        <f>_xll.qlCalendarAdvance(Calendar,L281,"1M","f",,Trigger)</f>
        <v>50591</v>
      </c>
      <c r="M282" s="544">
        <f>_xll.qlCalendarAdvance(Calendar,L282,"3M","mf",,Trigger)</f>
        <v>50683</v>
      </c>
      <c r="N282" s="546" t="str">
        <f>_xll.qlMakeDatedOIS(,L282,M282,"eonia",,,,,Trigger)</f>
        <v>obj_008d1#0002</v>
      </c>
      <c r="O282" s="545">
        <f>_xll.qlIndexFixing("euribor3m",_xll.qlInterestRateIndexFixingDate("Euribor3M",L282),TRUE)</f>
        <v>2.1552460429975835E-2</v>
      </c>
      <c r="P282" s="545">
        <f>_xll.qlOvernightIndexedSwapFairRate(N282,Trigger)</f>
        <v>2.1694382628299695E-2</v>
      </c>
      <c r="Q282" s="547">
        <f t="shared" si="6"/>
        <v>-1.4192219832385999E-4</v>
      </c>
    </row>
    <row r="283" spans="5:17" x14ac:dyDescent="0.2">
      <c r="E283" s="538"/>
      <c r="F283" s="538"/>
      <c r="G283" s="537"/>
      <c r="I283" s="537"/>
      <c r="J283" s="537"/>
      <c r="L283" s="553">
        <f>_xll.qlCalendarAdvance(Calendar,L282,"1M","f",,Trigger)</f>
        <v>50622</v>
      </c>
      <c r="M283" s="544">
        <f>_xll.qlCalendarAdvance(Calendar,L283,"3M","mf",,Trigger)</f>
        <v>50714</v>
      </c>
      <c r="N283" s="546" t="str">
        <f>_xll.qlMakeDatedOIS(,L283,M283,"eonia",,,,,Trigger)</f>
        <v>obj_008d3#0002</v>
      </c>
      <c r="O283" s="545">
        <f>_xll.qlIndexFixing("euribor3m",_xll.qlInterestRateIndexFixingDate("Euribor3M",L283),TRUE)</f>
        <v>2.150893652544409E-2</v>
      </c>
      <c r="P283" s="545">
        <f>_xll.qlOvernightIndexedSwapFairRate(N283,Trigger)</f>
        <v>2.1694382628299699E-2</v>
      </c>
      <c r="Q283" s="547">
        <f t="shared" si="6"/>
        <v>-1.8544610285560828E-4</v>
      </c>
    </row>
    <row r="284" spans="5:17" x14ac:dyDescent="0.2">
      <c r="E284" s="538"/>
      <c r="F284" s="538"/>
      <c r="G284" s="537"/>
      <c r="I284" s="537"/>
      <c r="J284" s="537"/>
      <c r="L284" s="553">
        <f>_xll.qlCalendarAdvance(Calendar,L283,"1M","f",,Trigger)</f>
        <v>50654</v>
      </c>
      <c r="M284" s="544">
        <f>_xll.qlCalendarAdvance(Calendar,L284,"3M","mf",,Trigger)</f>
        <v>50745</v>
      </c>
      <c r="N284" s="546" t="str">
        <f>_xll.qlMakeDatedOIS(,L284,M284,"eonia",,,,,Trigger)</f>
        <v>obj_008d5#0002</v>
      </c>
      <c r="O284" s="545">
        <f>_xll.qlIndexFixing("euribor3m",_xll.qlInterestRateIndexFixingDate("Euribor3M",L284),TRUE)</f>
        <v>2.1464014175425598E-2</v>
      </c>
      <c r="P284" s="545">
        <f>_xll.qlOvernightIndexedSwapFairRate(N284,Trigger)</f>
        <v>2.1693730170726511E-2</v>
      </c>
      <c r="Q284" s="547">
        <f t="shared" si="6"/>
        <v>-2.29715995300913E-4</v>
      </c>
    </row>
    <row r="285" spans="5:17" x14ac:dyDescent="0.2">
      <c r="E285" s="538"/>
      <c r="F285" s="538"/>
      <c r="G285" s="537"/>
      <c r="I285" s="537"/>
      <c r="J285" s="537"/>
      <c r="L285" s="553">
        <f>_xll.qlCalendarAdvance(Calendar,L284,"1M","f",,Trigger)</f>
        <v>50684</v>
      </c>
      <c r="M285" s="544">
        <f>_xll.qlCalendarAdvance(Calendar,L285,"3M","mf",,Trigger)</f>
        <v>50776</v>
      </c>
      <c r="N285" s="546" t="str">
        <f>_xll.qlMakeDatedOIS(,L285,M285,"eonia",,,,,Trigger)</f>
        <v>obj_008d7#0002</v>
      </c>
      <c r="O285" s="545">
        <f>_xll.qlIndexFixing("euribor3m",_xll.qlInterestRateIndexFixingDate("Euribor3M",L285),TRUE)</f>
        <v>2.1421718333484985E-2</v>
      </c>
      <c r="P285" s="545">
        <f>_xll.qlOvernightIndexedSwapFairRate(N285,Trigger)</f>
        <v>2.1694382628300569E-2</v>
      </c>
      <c r="Q285" s="547">
        <f t="shared" si="6"/>
        <v>-2.7266429481558399E-4</v>
      </c>
    </row>
    <row r="286" spans="5:17" x14ac:dyDescent="0.2">
      <c r="E286" s="538"/>
      <c r="F286" s="538"/>
      <c r="G286" s="537"/>
      <c r="I286" s="537"/>
      <c r="J286" s="537"/>
      <c r="L286" s="553">
        <f>_xll.qlCalendarAdvance(Calendar,L285,"1M","f",,Trigger)</f>
        <v>50717</v>
      </c>
      <c r="M286" s="544">
        <f>_xll.qlCalendarAdvance(Calendar,L286,"3M","mf",,Trigger)</f>
        <v>50809</v>
      </c>
      <c r="N286" s="546" t="str">
        <f>_xll.qlMakeDatedOIS(,L286,M286,"eonia",,,,,Trigger)</f>
        <v>obj_008d9#0002</v>
      </c>
      <c r="O286" s="545">
        <f>_xll.qlIndexFixing("euribor3m",_xll.qlInterestRateIndexFixingDate("Euribor3M",L286),TRUE)</f>
        <v>2.1375203113696006E-2</v>
      </c>
      <c r="P286" s="545">
        <f>_xll.qlOvernightIndexedSwapFairRate(N286,Trigger)</f>
        <v>2.1694382628299699E-2</v>
      </c>
      <c r="Q286" s="547">
        <f t="shared" si="6"/>
        <v>-3.1917951460369229E-4</v>
      </c>
    </row>
    <row r="287" spans="5:17" x14ac:dyDescent="0.2">
      <c r="E287" s="538"/>
      <c r="F287" s="538"/>
      <c r="G287" s="537"/>
      <c r="I287" s="537"/>
      <c r="J287" s="537"/>
      <c r="L287" s="553">
        <f>_xll.qlCalendarAdvance(Calendar,L286,"1M","f",,Trigger)</f>
        <v>50747</v>
      </c>
      <c r="M287" s="544">
        <f>_xll.qlCalendarAdvance(Calendar,L287,"3M","mf",,Trigger)</f>
        <v>50837</v>
      </c>
      <c r="N287" s="546" t="str">
        <f>_xll.qlMakeDatedOIS(,L287,M287,"eonia",,,,,Trigger)</f>
        <v>obj_008db#0002</v>
      </c>
      <c r="O287" s="545">
        <f>_xll.qlIndexFixing("euribor3m",_xll.qlInterestRateIndexFixingDate("Euribor3M",L287),TRUE)</f>
        <v>2.1333011913117872E-2</v>
      </c>
      <c r="P287" s="545">
        <f>_xll.qlOvernightIndexedSwapFairRate(N287,Trigger)</f>
        <v>2.1693077739304737E-2</v>
      </c>
      <c r="Q287" s="547">
        <f t="shared" si="6"/>
        <v>-3.6006582618686514E-4</v>
      </c>
    </row>
    <row r="288" spans="5:17" x14ac:dyDescent="0.2">
      <c r="E288" s="538"/>
      <c r="F288" s="538"/>
      <c r="G288" s="537"/>
      <c r="I288" s="537"/>
      <c r="J288" s="537"/>
      <c r="L288" s="553">
        <f>_xll.qlCalendarAdvance(Calendar,L287,"1M","f",,Trigger)</f>
        <v>50780</v>
      </c>
      <c r="M288" s="544">
        <f>_xll.qlCalendarAdvance(Calendar,L288,"3M","mf",,Trigger)</f>
        <v>50872</v>
      </c>
      <c r="N288" s="546" t="str">
        <f>_xll.qlMakeDatedOIS(,L288,M288,"eonia",,,,,Trigger)</f>
        <v>obj_008dd#0002</v>
      </c>
      <c r="O288" s="545">
        <f>_xll.qlIndexFixing("euribor3m",_xll.qlInterestRateIndexFixingDate("Euribor3M",L288),TRUE)</f>
        <v>2.1286222632855123E-2</v>
      </c>
      <c r="P288" s="545">
        <f>_xll.qlOvernightIndexedSwapFairRate(N288,Trigger)</f>
        <v>2.1694382628300566E-2</v>
      </c>
      <c r="Q288" s="547">
        <f t="shared" si="6"/>
        <v>-4.0815999544544304E-4</v>
      </c>
    </row>
    <row r="289" spans="5:17" x14ac:dyDescent="0.2">
      <c r="E289" s="538"/>
      <c r="F289" s="538"/>
      <c r="G289" s="537"/>
      <c r="I289" s="537"/>
      <c r="J289" s="537"/>
      <c r="L289" s="553">
        <f>_xll.qlCalendarAdvance(Calendar,L288,"1M","f",,Trigger)</f>
        <v>50811</v>
      </c>
      <c r="M289" s="544">
        <f>_xll.qlCalendarAdvance(Calendar,L289,"3M","mf",,Trigger)</f>
        <v>50900</v>
      </c>
      <c r="N289" s="546" t="str">
        <f>_xll.qlMakeDatedOIS(,L289,M289,"eonia",,,,,Trigger)</f>
        <v>obj_008df#0002</v>
      </c>
      <c r="O289" s="545">
        <f>_xll.qlIndexFixing("euribor3m",_xll.qlInterestRateIndexFixingDate("Euribor3M",L289),TRUE)</f>
        <v>2.1242600868335553E-2</v>
      </c>
      <c r="P289" s="545">
        <f>_xll.qlOvernightIndexedSwapFairRate(N289,Trigger)</f>
        <v>2.1692425334032085E-2</v>
      </c>
      <c r="Q289" s="547">
        <f t="shared" si="6"/>
        <v>-4.4982446569653139E-4</v>
      </c>
    </row>
    <row r="290" spans="5:17" x14ac:dyDescent="0.2">
      <c r="E290" s="538"/>
      <c r="F290" s="538"/>
      <c r="G290" s="537"/>
      <c r="I290" s="537"/>
      <c r="J290" s="537"/>
      <c r="L290" s="553">
        <f>_xll.qlCalendarAdvance(Calendar,L289,"1M","f",,Trigger)</f>
        <v>50839</v>
      </c>
      <c r="M290" s="544">
        <f>_xll.qlCalendarAdvance(Calendar,L290,"3M","mf",,Trigger)</f>
        <v>50931</v>
      </c>
      <c r="N290" s="546" t="str">
        <f>_xll.qlMakeDatedOIS(,L290,M290,"eonia",,,,,Trigger)</f>
        <v>obj_008e1#0002</v>
      </c>
      <c r="O290" s="545">
        <f>_xll.qlIndexFixing("euribor3m",_xll.qlInterestRateIndexFixingDate("Euribor3M",L290),TRUE)</f>
        <v>2.1202679042101942E-2</v>
      </c>
      <c r="P290" s="545">
        <f>_xll.qlOvernightIndexedSwapFairRate(N290,Trigger)</f>
        <v>2.1694382628299695E-2</v>
      </c>
      <c r="Q290" s="547">
        <f t="shared" si="6"/>
        <v>-4.9170358619775312E-4</v>
      </c>
    </row>
    <row r="291" spans="5:17" x14ac:dyDescent="0.2">
      <c r="E291" s="538"/>
      <c r="F291" s="538"/>
      <c r="G291" s="537"/>
      <c r="I291" s="537"/>
      <c r="J291" s="537"/>
      <c r="L291" s="553">
        <f>_xll.qlCalendarAdvance(Calendar,L290,"1M","f",,Trigger)</f>
        <v>50872</v>
      </c>
      <c r="M291" s="544">
        <f>_xll.qlCalendarAdvance(Calendar,L291,"3M","mf",,Trigger)</f>
        <v>50963</v>
      </c>
      <c r="N291" s="546" t="str">
        <f>_xll.qlMakeDatedOIS(,L291,M291,"eonia",,,,,Trigger)</f>
        <v>obj_008e3#0002</v>
      </c>
      <c r="O291" s="545">
        <f>_xll.qlIndexFixing("euribor3m",_xll.qlInterestRateIndexFixingDate("Euribor3M",L291),TRUE)</f>
        <v>2.1155951329781941E-2</v>
      </c>
      <c r="P291" s="545">
        <f>_xll.qlOvernightIndexedSwapFairRate(N291,Trigger)</f>
        <v>2.1693730170726511E-2</v>
      </c>
      <c r="Q291" s="547">
        <f t="shared" si="6"/>
        <v>-5.377788409445701E-4</v>
      </c>
    </row>
    <row r="292" spans="5:17" x14ac:dyDescent="0.2">
      <c r="E292" s="538"/>
      <c r="F292" s="538"/>
      <c r="G292" s="537"/>
      <c r="I292" s="537"/>
      <c r="J292" s="537"/>
      <c r="L292" s="553">
        <f>_xll.qlCalendarAdvance(Calendar,L291,"1M","f",,Trigger)</f>
        <v>50902</v>
      </c>
      <c r="M292" s="544">
        <f>_xll.qlCalendarAdvance(Calendar,L292,"3M","mf",,Trigger)</f>
        <v>50994</v>
      </c>
      <c r="N292" s="546" t="str">
        <f>_xll.qlMakeDatedOIS(,L292,M292,"eonia",,,,,Trigger)</f>
        <v>obj_008e5#0002</v>
      </c>
      <c r="O292" s="545">
        <f>_xll.qlIndexFixing("euribor3m",_xll.qlInterestRateIndexFixingDate("Euribor3M",L292),TRUE)</f>
        <v>2.1113244412133185E-2</v>
      </c>
      <c r="P292" s="545">
        <f>_xll.qlOvernightIndexedSwapFairRate(N292,Trigger)</f>
        <v>2.1694382628300566E-2</v>
      </c>
      <c r="Q292" s="547">
        <f t="shared" si="6"/>
        <v>-5.8113821616738101E-4</v>
      </c>
    </row>
    <row r="293" spans="5:17" x14ac:dyDescent="0.2">
      <c r="E293" s="538"/>
      <c r="F293" s="538"/>
      <c r="G293" s="537"/>
      <c r="I293" s="537"/>
      <c r="J293" s="537"/>
      <c r="L293" s="553">
        <f>_xll.qlCalendarAdvance(Calendar,L292,"1M","f",,Trigger)</f>
        <v>50934</v>
      </c>
      <c r="M293" s="544">
        <f>_xll.qlCalendarAdvance(Calendar,L293,"3M","mf",,Trigger)</f>
        <v>51026</v>
      </c>
      <c r="N293" s="546" t="str">
        <f>_xll.qlMakeDatedOIS(,L293,M293,"eonia",,,,,Trigger)</f>
        <v>obj_008e7#0002</v>
      </c>
      <c r="O293" s="545">
        <f>_xll.qlIndexFixing("euribor3m",_xll.qlInterestRateIndexFixingDate("Euribor3M",L293),TRUE)</f>
        <v>2.1067788661253334E-2</v>
      </c>
      <c r="P293" s="545">
        <f>_xll.qlOvernightIndexedSwapFairRate(N293,Trigger)</f>
        <v>2.1189811867077347E-2</v>
      </c>
      <c r="Q293" s="547">
        <f t="shared" si="6"/>
        <v>-1.2202320582401296E-4</v>
      </c>
    </row>
    <row r="294" spans="5:17" x14ac:dyDescent="0.2">
      <c r="E294" s="538"/>
      <c r="F294" s="538"/>
      <c r="G294" s="537"/>
      <c r="I294" s="537"/>
      <c r="J294" s="537"/>
      <c r="L294" s="553">
        <f>_xll.qlCalendarAdvance(Calendar,L293,"1M","f",,Trigger)</f>
        <v>50964</v>
      </c>
      <c r="M294" s="544">
        <f>_xll.qlCalendarAdvance(Calendar,L294,"3M","mf",,Trigger)</f>
        <v>51056</v>
      </c>
      <c r="N294" s="546" t="str">
        <f>_xll.qlMakeDatedOIS(,L294,M294,"eonia",,,,,Trigger)</f>
        <v>obj_008e9#0002</v>
      </c>
      <c r="O294" s="545">
        <f>_xll.qlIndexFixing("euribor3m",_xll.qlInterestRateIndexFixingDate("Euribor3M",L294),TRUE)</f>
        <v>2.1025515527336495E-2</v>
      </c>
      <c r="P294" s="545">
        <f>_xll.qlOvernightIndexedSwapFairRate(N294,Trigger)</f>
        <v>2.0667910202780596E-2</v>
      </c>
      <c r="Q294" s="547">
        <f t="shared" si="6"/>
        <v>3.5760532455589994E-4</v>
      </c>
    </row>
    <row r="295" spans="5:17" x14ac:dyDescent="0.2">
      <c r="E295" s="538"/>
      <c r="F295" s="538"/>
      <c r="G295" s="537"/>
      <c r="I295" s="537"/>
      <c r="J295" s="537"/>
      <c r="L295" s="553">
        <f>_xll.qlCalendarAdvance(Calendar,L294,"1M","f",,Trigger)</f>
        <v>50997</v>
      </c>
      <c r="M295" s="544">
        <f>_xll.qlCalendarAdvance(Calendar,L295,"3M","mf",,Trigger)</f>
        <v>51089</v>
      </c>
      <c r="N295" s="546" t="str">
        <f>_xll.qlMakeDatedOIS(,L295,M295,"eonia",,,,,Trigger)</f>
        <v>obj_008eb#0002</v>
      </c>
      <c r="O295" s="545">
        <f>_xll.qlIndexFixing("euribor3m",_xll.qlInterestRateIndexFixingDate("Euribor3M",L295),TRUE)</f>
        <v>2.0979892189658293E-2</v>
      </c>
      <c r="P295" s="545">
        <f>_xll.qlOvernightIndexedSwapFairRate(N295,Trigger)</f>
        <v>2.0093898336570319E-2</v>
      </c>
      <c r="Q295" s="547">
        <f t="shared" si="6"/>
        <v>8.8599385308797338E-4</v>
      </c>
    </row>
    <row r="296" spans="5:17" x14ac:dyDescent="0.2">
      <c r="E296" s="538"/>
      <c r="F296" s="538"/>
      <c r="G296" s="537"/>
      <c r="I296" s="537"/>
      <c r="J296" s="537"/>
      <c r="L296" s="553">
        <f>_xll.qlCalendarAdvance(Calendar,L295,"1M","f",,Trigger)</f>
        <v>51028</v>
      </c>
      <c r="M296" s="544">
        <f>_xll.qlCalendarAdvance(Calendar,L296,"3M","mf",,Trigger)</f>
        <v>51119</v>
      </c>
      <c r="N296" s="546" t="str">
        <f>_xll.qlMakeDatedOIS(,L296,M296,"eonia",,,,,Trigger)</f>
        <v>obj_008ed#0002</v>
      </c>
      <c r="O296" s="545">
        <f>_xll.qlIndexFixing("euribor3m",_xll.qlInterestRateIndexFixingDate("Euribor3M",L296),TRUE)</f>
        <v>2.0938307282799367E-2</v>
      </c>
      <c r="P296" s="545">
        <f>_xll.qlOvernightIndexedSwapFairRate(N296,Trigger)</f>
        <v>2.0093338520027888E-2</v>
      </c>
      <c r="Q296" s="547">
        <f t="shared" si="6"/>
        <v>8.4496876277147942E-4</v>
      </c>
    </row>
    <row r="297" spans="5:17" x14ac:dyDescent="0.2">
      <c r="E297" s="538"/>
      <c r="F297" s="538"/>
      <c r="G297" s="537"/>
      <c r="I297" s="537"/>
      <c r="J297" s="537"/>
      <c r="L297" s="553">
        <f>_xll.qlCalendarAdvance(Calendar,L296,"1M","f",,Trigger)</f>
        <v>51060</v>
      </c>
      <c r="M297" s="544">
        <f>_xll.qlCalendarAdvance(Calendar,L297,"3M","mf",,Trigger)</f>
        <v>51152</v>
      </c>
      <c r="N297" s="546" t="str">
        <f>_xll.qlMakeDatedOIS(,L297,M297,"eonia",,,,,Trigger)</f>
        <v>obj_008ef#0002</v>
      </c>
      <c r="O297" s="545">
        <f>_xll.qlIndexFixing("euribor3m",_xll.qlInterestRateIndexFixingDate("Euribor3M",L297),TRUE)</f>
        <v>2.0896628625445328E-2</v>
      </c>
      <c r="P297" s="545">
        <f>_xll.qlOvernightIndexedSwapFairRate(N297,Trigger)</f>
        <v>2.0093898336569445E-2</v>
      </c>
      <c r="Q297" s="547">
        <f t="shared" si="6"/>
        <v>8.0273028887588305E-4</v>
      </c>
    </row>
    <row r="298" spans="5:17" x14ac:dyDescent="0.2">
      <c r="E298" s="538"/>
      <c r="F298" s="538"/>
      <c r="G298" s="537"/>
      <c r="I298" s="537"/>
      <c r="J298" s="537"/>
      <c r="L298" s="553">
        <f>_xll.qlCalendarAdvance(Calendar,L297,"1M","f",,Trigger)</f>
        <v>51091</v>
      </c>
      <c r="M298" s="544">
        <f>_xll.qlCalendarAdvance(Calendar,L298,"3M","mf",,Trigger)</f>
        <v>51183</v>
      </c>
      <c r="N298" s="546" t="str">
        <f>_xll.qlMakeDatedOIS(,L298,M298,"eonia",,,,,Trigger)</f>
        <v>obj_008f1#0002</v>
      </c>
      <c r="O298" s="545">
        <f>_xll.qlIndexFixing("euribor3m",_xll.qlInterestRateIndexFixingDate("Euribor3M",L298),TRUE)</f>
        <v>2.085758849393602E-2</v>
      </c>
      <c r="P298" s="545">
        <f>_xll.qlOvernightIndexedSwapFairRate(N298,Trigger)</f>
        <v>2.0093898336570316E-2</v>
      </c>
      <c r="Q298" s="547">
        <f t="shared" si="6"/>
        <v>7.636901573657047E-4</v>
      </c>
    </row>
    <row r="299" spans="5:17" x14ac:dyDescent="0.2">
      <c r="E299" s="538"/>
      <c r="F299" s="538"/>
      <c r="G299" s="537"/>
      <c r="I299" s="537"/>
      <c r="J299" s="537"/>
      <c r="L299" s="553">
        <f>_xll.qlCalendarAdvance(Calendar,L298,"1M","f",,Trigger)</f>
        <v>51123</v>
      </c>
      <c r="M299" s="544">
        <f>_xll.qlCalendarAdvance(Calendar,L299,"3M","mf",,Trigger)</f>
        <v>51214</v>
      </c>
      <c r="N299" s="546" t="str">
        <f>_xll.qlMakeDatedOIS(,L299,M299,"eonia",,,,,Trigger)</f>
        <v>obj_008f3#0002</v>
      </c>
      <c r="O299" s="545">
        <f>_xll.qlIndexFixing("euribor3m",_xll.qlInterestRateIndexFixingDate("Euribor3M",L299),TRUE)</f>
        <v>2.0818612107732053E-2</v>
      </c>
      <c r="P299" s="545">
        <f>_xll.qlOvernightIndexedSwapFairRate(N299,Trigger)</f>
        <v>2.0093338520027006E-2</v>
      </c>
      <c r="Q299" s="547">
        <f t="shared" si="6"/>
        <v>7.2527358770504632E-4</v>
      </c>
    </row>
    <row r="300" spans="5:17" x14ac:dyDescent="0.2">
      <c r="E300" s="538"/>
      <c r="F300" s="538"/>
      <c r="G300" s="537"/>
      <c r="I300" s="537"/>
      <c r="J300" s="537"/>
      <c r="L300" s="553">
        <f>_xll.qlCalendarAdvance(Calendar,L299,"1M","f",,Trigger)</f>
        <v>51154</v>
      </c>
      <c r="M300" s="544">
        <f>_xll.qlCalendarAdvance(Calendar,L300,"3M","mf",,Trigger)</f>
        <v>51245</v>
      </c>
      <c r="N300" s="546" t="str">
        <f>_xll.qlMakeDatedOIS(,L300,M300,"eonia",,,,,Trigger)</f>
        <v>obj_008f5#0002</v>
      </c>
      <c r="O300" s="545">
        <f>_xll.qlIndexFixing("euribor3m",_xll.qlInterestRateIndexFixingDate("Euribor3M",L300),TRUE)</f>
        <v>2.0782141528243772E-2</v>
      </c>
      <c r="P300" s="545">
        <f>_xll.qlOvernightIndexedSwapFairRate(N300,Trigger)</f>
        <v>2.0093338520027006E-2</v>
      </c>
      <c r="Q300" s="547">
        <f t="shared" si="6"/>
        <v>6.8880300821676579E-4</v>
      </c>
    </row>
    <row r="301" spans="5:17" x14ac:dyDescent="0.2">
      <c r="E301" s="538"/>
      <c r="F301" s="538"/>
      <c r="G301" s="537"/>
      <c r="I301" s="537"/>
      <c r="J301" s="537"/>
      <c r="L301" s="553">
        <f>_xll.qlCalendarAdvance(Calendar,L300,"1M","f",,Trigger)</f>
        <v>51186</v>
      </c>
      <c r="M301" s="544">
        <f>_xll.qlCalendarAdvance(Calendar,L301,"3M","mf",,Trigger)</f>
        <v>51277</v>
      </c>
      <c r="N301" s="546" t="str">
        <f>_xll.qlMakeDatedOIS(,L301,M301,"eonia",,,,,Trigger)</f>
        <v>obj_008f7#0002</v>
      </c>
      <c r="O301" s="545">
        <f>_xll.qlIndexFixing("euribor3m",_xll.qlInterestRateIndexFixingDate("Euribor3M",L301),TRUE)</f>
        <v>2.0745830077407726E-2</v>
      </c>
      <c r="P301" s="545">
        <f>_xll.qlOvernightIndexedSwapFairRate(N301,Trigger)</f>
        <v>2.0093338520027003E-2</v>
      </c>
      <c r="Q301" s="547">
        <f t="shared" si="6"/>
        <v>6.5249155738072301E-4</v>
      </c>
    </row>
    <row r="302" spans="5:17" x14ac:dyDescent="0.2">
      <c r="E302" s="538"/>
      <c r="F302" s="538"/>
      <c r="G302" s="537"/>
      <c r="I302" s="537"/>
      <c r="J302" s="537"/>
      <c r="L302" s="553">
        <f>_xll.qlCalendarAdvance(Calendar,L301,"1M","f",,Trigger)</f>
        <v>51215</v>
      </c>
      <c r="M302" s="544">
        <f>_xll.qlCalendarAdvance(Calendar,L302,"3M","mf",,Trigger)</f>
        <v>51307</v>
      </c>
      <c r="N302" s="546" t="str">
        <f>_xll.qlMakeDatedOIS(,L302,M302,"eonia",,,,,Trigger)</f>
        <v>obj_008f9#0002</v>
      </c>
      <c r="O302" s="545">
        <f>_xll.qlIndexFixing("euribor3m",_xll.qlInterestRateIndexFixingDate("Euribor3M",L302),TRUE)</f>
        <v>2.0714162346450425E-2</v>
      </c>
      <c r="P302" s="545">
        <f>_xll.qlOvernightIndexedSwapFairRate(N302,Trigger)</f>
        <v>2.0093898336570316E-2</v>
      </c>
      <c r="Q302" s="547">
        <f t="shared" si="6"/>
        <v>6.2026400988010946E-4</v>
      </c>
    </row>
    <row r="303" spans="5:17" x14ac:dyDescent="0.2">
      <c r="E303" s="538"/>
      <c r="F303" s="538"/>
      <c r="G303" s="537"/>
      <c r="I303" s="537"/>
      <c r="J303" s="537"/>
      <c r="L303" s="553">
        <f>_xll.qlCalendarAdvance(Calendar,L302,"1M","f",,Trigger)</f>
        <v>51246</v>
      </c>
      <c r="M303" s="544">
        <f>_xll.qlCalendarAdvance(Calendar,L303,"3M","mf",,Trigger)</f>
        <v>51337</v>
      </c>
      <c r="N303" s="546" t="str">
        <f>_xll.qlMakeDatedOIS(,L303,M303,"eonia",,,,,Trigger)</f>
        <v>obj_008fb#0002</v>
      </c>
      <c r="O303" s="545">
        <f>_xll.qlIndexFixing("euribor3m",_xll.qlInterestRateIndexFixingDate("Euribor3M",L303),TRUE)</f>
        <v>2.0681402976997023E-2</v>
      </c>
      <c r="P303" s="545">
        <f>_xll.qlOvernightIndexedSwapFairRate(N303,Trigger)</f>
        <v>2.0093338520027006E-2</v>
      </c>
      <c r="Q303" s="547">
        <f t="shared" si="6"/>
        <v>5.8806445697001664E-4</v>
      </c>
    </row>
    <row r="304" spans="5:17" x14ac:dyDescent="0.2">
      <c r="E304" s="538"/>
      <c r="F304" s="538"/>
      <c r="G304" s="537"/>
      <c r="I304" s="537"/>
      <c r="J304" s="537"/>
      <c r="L304" s="553">
        <f>_xll.qlCalendarAdvance(Calendar,L303,"1M","f",,Trigger)</f>
        <v>51277</v>
      </c>
      <c r="M304" s="544">
        <f>_xll.qlCalendarAdvance(Calendar,L304,"3M","mf",,Trigger)</f>
        <v>51369</v>
      </c>
      <c r="N304" s="546" t="str">
        <f>_xll.qlMakeDatedOIS(,L304,M304,"eonia",,,,,Trigger)</f>
        <v>obj_008fd#0002</v>
      </c>
      <c r="O304" s="545">
        <f>_xll.qlIndexFixing("euribor3m",_xll.qlInterestRateIndexFixingDate("Euribor3M",L304),TRUE)</f>
        <v>2.0650089416759825E-2</v>
      </c>
      <c r="P304" s="545">
        <f>_xll.qlOvernightIndexedSwapFairRate(N304,Trigger)</f>
        <v>2.0093898336570316E-2</v>
      </c>
      <c r="Q304" s="547">
        <f t="shared" si="6"/>
        <v>5.5619108018950883E-4</v>
      </c>
    </row>
    <row r="305" spans="5:17" x14ac:dyDescent="0.2">
      <c r="E305" s="538"/>
      <c r="F305" s="538"/>
      <c r="G305" s="537"/>
      <c r="I305" s="537"/>
      <c r="J305" s="537"/>
      <c r="L305" s="553">
        <f>_xll.qlCalendarAdvance(Calendar,L304,"1M","f",,Trigger)</f>
        <v>51308</v>
      </c>
      <c r="M305" s="544">
        <f>_xll.qlCalendarAdvance(Calendar,L305,"3M","mf",,Trigger)</f>
        <v>51400</v>
      </c>
      <c r="N305" s="546" t="str">
        <f>_xll.qlMakeDatedOIS(,L305,M305,"eonia",,,,,Trigger)</f>
        <v>obj_008ff#0002</v>
      </c>
      <c r="O305" s="545">
        <f>_xll.qlIndexFixing("euribor3m",_xll.qlInterestRateIndexFixingDate("Euribor3M",L305),TRUE)</f>
        <v>2.0619962875811821E-2</v>
      </c>
      <c r="P305" s="545">
        <f>_xll.qlOvernightIndexedSwapFairRate(N305,Trigger)</f>
        <v>2.0093898336570316E-2</v>
      </c>
      <c r="Q305" s="547">
        <f t="shared" si="6"/>
        <v>5.2606453924150531E-4</v>
      </c>
    </row>
    <row r="306" spans="5:17" x14ac:dyDescent="0.2">
      <c r="E306" s="538"/>
      <c r="F306" s="538"/>
      <c r="G306" s="537"/>
      <c r="I306" s="537"/>
      <c r="J306" s="537"/>
      <c r="L306" s="553">
        <f>_xll.qlCalendarAdvance(Calendar,L305,"1M","f",,Trigger)</f>
        <v>51340</v>
      </c>
      <c r="M306" s="544">
        <f>_xll.qlCalendarAdvance(Calendar,L306,"3M","mf",,Trigger)</f>
        <v>51432</v>
      </c>
      <c r="N306" s="546" t="str">
        <f>_xll.qlMakeDatedOIS(,L306,M306,"eonia",,,,,Trigger)</f>
        <v>obj_00901#0002</v>
      </c>
      <c r="O306" s="545">
        <f>_xll.qlIndexFixing("euribor3m",_xll.qlInterestRateIndexFixingDate("Euribor3M",L306),TRUE)</f>
        <v>2.0590200024828049E-2</v>
      </c>
      <c r="P306" s="545">
        <f>_xll.qlOvernightIndexedSwapFairRate(N306,Trigger)</f>
        <v>2.0093898336570316E-2</v>
      </c>
      <c r="Q306" s="547">
        <f t="shared" si="6"/>
        <v>4.9630168825773313E-4</v>
      </c>
    </row>
    <row r="307" spans="5:17" x14ac:dyDescent="0.2">
      <c r="E307" s="538"/>
      <c r="F307" s="538"/>
      <c r="G307" s="537"/>
      <c r="I307" s="537"/>
      <c r="J307" s="537"/>
      <c r="L307" s="553">
        <f>_xll.qlCalendarAdvance(Calendar,L306,"1M","f",,Trigger)</f>
        <v>51371</v>
      </c>
      <c r="M307" s="544">
        <f>_xll.qlCalendarAdvance(Calendar,L307,"3M","mf",,Trigger)</f>
        <v>51463</v>
      </c>
      <c r="N307" s="546" t="str">
        <f>_xll.qlMakeDatedOIS(,L307,M307,"eonia",,,,,Trigger)</f>
        <v>obj_00903#0002</v>
      </c>
      <c r="O307" s="545">
        <f>_xll.qlIndexFixing("euribor3m",_xll.qlInterestRateIndexFixingDate("Euribor3M",L307),TRUE)</f>
        <v>2.0562661013242122E-2</v>
      </c>
      <c r="P307" s="545">
        <f>_xll.qlOvernightIndexedSwapFairRate(N307,Trigger)</f>
        <v>2.0093898336570316E-2</v>
      </c>
      <c r="Q307" s="547">
        <f t="shared" si="6"/>
        <v>4.6876267667180643E-4</v>
      </c>
    </row>
    <row r="308" spans="5:17" x14ac:dyDescent="0.2">
      <c r="E308" s="538"/>
      <c r="F308" s="538"/>
      <c r="G308" s="537"/>
      <c r="I308" s="537"/>
      <c r="J308" s="537"/>
      <c r="L308" s="553">
        <f>_xll.qlCalendarAdvance(Calendar,L307,"1M","f",,Trigger)</f>
        <v>51403</v>
      </c>
      <c r="M308" s="544">
        <f>_xll.qlCalendarAdvance(Calendar,L308,"3M","mf",,Trigger)</f>
        <v>51494</v>
      </c>
      <c r="N308" s="546" t="str">
        <f>_xll.qlMakeDatedOIS(,L308,M308,"eonia",,,,,Trigger)</f>
        <v>obj_00905#0002</v>
      </c>
      <c r="O308" s="545">
        <f>_xll.qlIndexFixing("euribor3m",_xll.qlInterestRateIndexFixingDate("Euribor3M",L308),TRUE)</f>
        <v>2.0535387181801455E-2</v>
      </c>
      <c r="P308" s="545">
        <f>_xll.qlOvernightIndexedSwapFairRate(N308,Trigger)</f>
        <v>2.0093338520027006E-2</v>
      </c>
      <c r="Q308" s="547">
        <f t="shared" si="6"/>
        <v>4.4204866177444818E-4</v>
      </c>
    </row>
    <row r="309" spans="5:17" x14ac:dyDescent="0.2">
      <c r="E309" s="538"/>
      <c r="F309" s="538"/>
      <c r="G309" s="537"/>
      <c r="I309" s="537"/>
      <c r="J309" s="537"/>
      <c r="L309" s="553">
        <f>_xll.qlCalendarAdvance(Calendar,L308,"1M","f",,Trigger)</f>
        <v>51433</v>
      </c>
      <c r="M309" s="544">
        <f>_xll.qlCalendarAdvance(Calendar,L309,"3M","mf",,Trigger)</f>
        <v>51525</v>
      </c>
      <c r="N309" s="546" t="str">
        <f>_xll.qlMakeDatedOIS(,L309,M309,"eonia",,,,,Trigger)</f>
        <v>obj_00907#0002</v>
      </c>
      <c r="O309" s="545">
        <f>_xll.qlIndexFixing("euribor3m",_xll.qlInterestRateIndexFixingDate("Euribor3M",L309),TRUE)</f>
        <v>2.0511402527221185E-2</v>
      </c>
      <c r="P309" s="545">
        <f>_xll.qlOvernightIndexedSwapFairRate(N309,Trigger)</f>
        <v>2.0093898336570316E-2</v>
      </c>
      <c r="Q309" s="547">
        <f t="shared" si="6"/>
        <v>4.1750419065086919E-4</v>
      </c>
    </row>
    <row r="310" spans="5:17" x14ac:dyDescent="0.2">
      <c r="E310" s="538"/>
      <c r="F310" s="538"/>
      <c r="G310" s="537"/>
      <c r="I310" s="537"/>
      <c r="J310" s="537"/>
      <c r="L310" s="553">
        <f>_xll.qlCalendarAdvance(Calendar,L309,"1M","f",,Trigger)</f>
        <v>51466</v>
      </c>
      <c r="M310" s="544">
        <f>_xll.qlCalendarAdvance(Calendar,L310,"3M","mf",,Trigger)</f>
        <v>51558</v>
      </c>
      <c r="N310" s="546" t="str">
        <f>_xll.qlMakeDatedOIS(,L310,M310,"eonia",,,,,Trigger)</f>
        <v>obj_00909#0002</v>
      </c>
      <c r="O310" s="545">
        <f>_xll.qlIndexFixing("euribor3m",_xll.qlInterestRateIndexFixingDate("Euribor3M",L310),TRUE)</f>
        <v>2.0486196429153277E-2</v>
      </c>
      <c r="P310" s="545">
        <f>_xll.qlOvernightIndexedSwapFairRate(N310,Trigger)</f>
        <v>2.0093898336569448E-2</v>
      </c>
      <c r="Q310" s="547">
        <f t="shared" si="6"/>
        <v>3.9229809258382875E-4</v>
      </c>
    </row>
    <row r="311" spans="5:17" x14ac:dyDescent="0.2">
      <c r="E311" s="538"/>
      <c r="F311" s="538"/>
      <c r="G311" s="537"/>
      <c r="I311" s="537"/>
      <c r="J311" s="537"/>
      <c r="L311" s="553">
        <f>_xll.qlCalendarAdvance(Calendar,L310,"1M","f",,Trigger)</f>
        <v>51497</v>
      </c>
      <c r="M311" s="544">
        <f>_xll.qlCalendarAdvance(Calendar,L311,"3M","mf",,Trigger)</f>
        <v>51587</v>
      </c>
      <c r="N311" s="546" t="str">
        <f>_xll.qlMakeDatedOIS(,L311,M311,"eonia",,,,,Trigger)</f>
        <v>obj_0090b#0002</v>
      </c>
      <c r="O311" s="545">
        <f>_xll.qlIndexFixing("euribor3m",_xll.qlInterestRateIndexFixingDate("Euribor3M",L311),TRUE)</f>
        <v>2.0463352365347909E-2</v>
      </c>
      <c r="P311" s="545">
        <f>_xll.qlOvernightIndexedSwapFairRate(N311,Trigger)</f>
        <v>2.0092778724270843E-2</v>
      </c>
      <c r="Q311" s="547">
        <f t="shared" si="6"/>
        <v>3.7057364107706547E-4</v>
      </c>
    </row>
    <row r="312" spans="5:17" x14ac:dyDescent="0.2">
      <c r="E312" s="538"/>
      <c r="F312" s="538"/>
      <c r="G312" s="537"/>
      <c r="I312" s="537"/>
      <c r="J312" s="537"/>
      <c r="L312" s="553">
        <f>_xll.qlCalendarAdvance(Calendar,L311,"1M","f",,Trigger)</f>
        <v>51529</v>
      </c>
      <c r="M312" s="544">
        <f>_xll.qlCalendarAdvance(Calendar,L312,"3M","mf",,Trigger)</f>
        <v>51620</v>
      </c>
      <c r="N312" s="546" t="str">
        <f>_xll.qlMakeDatedOIS(,L312,M312,"eonia",,,,,Trigger)</f>
        <v>obj_0090d#0002</v>
      </c>
      <c r="O312" s="545">
        <f>_xll.qlIndexFixing("euribor3m",_xll.qlInterestRateIndexFixingDate("Euribor3M",L312),TRUE)</f>
        <v>2.0441821738719296E-2</v>
      </c>
      <c r="P312" s="545">
        <f>_xll.qlOvernightIndexedSwapFairRate(N312,Trigger)</f>
        <v>2.0093338520027006E-2</v>
      </c>
      <c r="Q312" s="547">
        <f t="shared" si="6"/>
        <v>3.484832186922901E-4</v>
      </c>
    </row>
    <row r="313" spans="5:17" x14ac:dyDescent="0.2">
      <c r="E313" s="538"/>
      <c r="F313" s="538"/>
      <c r="G313" s="537"/>
      <c r="I313" s="537"/>
      <c r="J313" s="537"/>
      <c r="L313" s="553">
        <f>_xll.qlCalendarAdvance(Calendar,L312,"1M","f",,Trigger)</f>
        <v>51560</v>
      </c>
      <c r="M313" s="544">
        <f>_xll.qlCalendarAdvance(Calendar,L313,"3M","mf",,Trigger)</f>
        <v>51649</v>
      </c>
      <c r="N313" s="546" t="str">
        <f>_xll.qlMakeDatedOIS(,L313,M313,"eonia",,,,,Trigger)</f>
        <v>obj_0090f#0002</v>
      </c>
      <c r="O313" s="545">
        <f>_xll.qlIndexFixing("euribor3m",_xll.qlInterestRateIndexFixingDate("Euribor3M",L313),TRUE)</f>
        <v>2.0422304763786227E-2</v>
      </c>
      <c r="P313" s="545">
        <f>_xll.qlOvernightIndexedSwapFairRate(N313,Trigger)</f>
        <v>2.0092218949299256E-2</v>
      </c>
      <c r="Q313" s="547">
        <f t="shared" si="6"/>
        <v>3.3008581448697172E-4</v>
      </c>
    </row>
    <row r="314" spans="5:17" x14ac:dyDescent="0.2">
      <c r="E314" s="538"/>
      <c r="F314" s="538"/>
      <c r="G314" s="537"/>
      <c r="I314" s="537"/>
      <c r="J314" s="537"/>
      <c r="L314" s="553">
        <f>_xll.qlCalendarAdvance(Calendar,L313,"1M","f",,Trigger)</f>
        <v>51588</v>
      </c>
      <c r="M314" s="544">
        <f>_xll.qlCalendarAdvance(Calendar,L314,"3M","mf",,Trigger)</f>
        <v>51680</v>
      </c>
      <c r="N314" s="546" t="str">
        <f>_xll.qlMakeDatedOIS(,L314,M314,"eonia",,,,,Trigger)</f>
        <v>obj_00911#0002</v>
      </c>
      <c r="O314" s="545">
        <f>_xll.qlIndexFixing("euribor3m",_xll.qlInterestRateIndexFixingDate("Euribor3M",L314),TRUE)</f>
        <v>2.0405535841988131E-2</v>
      </c>
      <c r="P314" s="545">
        <f>_xll.qlOvernightIndexedSwapFairRate(N314,Trigger)</f>
        <v>2.0093898336569448E-2</v>
      </c>
      <c r="Q314" s="547">
        <f t="shared" si="6"/>
        <v>3.1163750541868263E-4</v>
      </c>
    </row>
    <row r="315" spans="5:17" x14ac:dyDescent="0.2">
      <c r="E315" s="538"/>
      <c r="F315" s="538"/>
      <c r="G315" s="537"/>
      <c r="I315" s="537"/>
      <c r="J315" s="537"/>
      <c r="L315" s="553">
        <f>_xll.qlCalendarAdvance(Calendar,L314,"1M","f",,Trigger)</f>
        <v>51620</v>
      </c>
      <c r="M315" s="544">
        <f>_xll.qlCalendarAdvance(Calendar,L315,"3M","mf",,Trigger)</f>
        <v>51711</v>
      </c>
      <c r="N315" s="546" t="str">
        <f>_xll.qlMakeDatedOIS(,L315,M315,"eonia",,,,,Trigger)</f>
        <v>obj_00913#0002</v>
      </c>
      <c r="O315" s="545">
        <f>_xll.qlIndexFixing("euribor3m",_xll.qlInterestRateIndexFixingDate("Euribor3M",L315),TRUE)</f>
        <v>2.0387325808263568E-2</v>
      </c>
      <c r="P315" s="545">
        <f>_xll.qlOvernightIndexedSwapFairRate(N315,Trigger)</f>
        <v>2.0093338520027006E-2</v>
      </c>
      <c r="Q315" s="547">
        <f t="shared" si="6"/>
        <v>2.9398728823656212E-4</v>
      </c>
    </row>
    <row r="316" spans="5:17" x14ac:dyDescent="0.2">
      <c r="E316" s="538"/>
      <c r="F316" s="538"/>
      <c r="G316" s="537"/>
      <c r="I316" s="537"/>
      <c r="J316" s="537"/>
      <c r="L316" s="553">
        <f>_xll.qlCalendarAdvance(Calendar,L315,"1M","f",,Trigger)</f>
        <v>51650</v>
      </c>
      <c r="M316" s="544">
        <f>_xll.qlCalendarAdvance(Calendar,L316,"3M","mf",,Trigger)</f>
        <v>51742</v>
      </c>
      <c r="N316" s="546" t="str">
        <f>_xll.qlMakeDatedOIS(,L316,M316,"eonia",,,,,Trigger)</f>
        <v>obj_00915#0002</v>
      </c>
      <c r="O316" s="545">
        <f>_xll.qlIndexFixing("euribor3m",_xll.qlInterestRateIndexFixingDate("Euribor3M",L316),TRUE)</f>
        <v>2.0372100548123259E-2</v>
      </c>
      <c r="P316" s="545">
        <f>_xll.qlOvernightIndexedSwapFairRate(N316,Trigger)</f>
        <v>2.009389833657119E-2</v>
      </c>
      <c r="Q316" s="547">
        <f t="shared" si="6"/>
        <v>2.7820221155206923E-4</v>
      </c>
    </row>
    <row r="317" spans="5:17" x14ac:dyDescent="0.2">
      <c r="E317" s="538"/>
      <c r="F317" s="538"/>
      <c r="G317" s="537"/>
      <c r="I317" s="537"/>
      <c r="J317" s="537"/>
      <c r="L317" s="553">
        <f>_xll.qlCalendarAdvance(Calendar,L316,"1M","f",,Trigger)</f>
        <v>51683</v>
      </c>
      <c r="M317" s="544">
        <f>_xll.qlCalendarAdvance(Calendar,L317,"3M","mf",,Trigger)</f>
        <v>51775</v>
      </c>
      <c r="N317" s="546" t="str">
        <f>_xll.qlMakeDatedOIS(,L317,M317,"eonia",,,,,Trigger)</f>
        <v>obj_00917#0002</v>
      </c>
      <c r="O317" s="545">
        <f>_xll.qlIndexFixing("euribor3m",_xll.qlInterestRateIndexFixingDate("Euribor3M",L317),TRUE)</f>
        <v>2.0356380762811543E-2</v>
      </c>
      <c r="P317" s="545">
        <f>_xll.qlOvernightIndexedSwapFairRate(N317,Trigger)</f>
        <v>2.0093898336569445E-2</v>
      </c>
      <c r="Q317" s="547">
        <f t="shared" si="6"/>
        <v>2.6248242624209855E-4</v>
      </c>
    </row>
    <row r="318" spans="5:17" x14ac:dyDescent="0.2">
      <c r="E318" s="538"/>
      <c r="F318" s="538"/>
      <c r="G318" s="537"/>
      <c r="I318" s="537"/>
      <c r="J318" s="537"/>
      <c r="L318" s="553">
        <f>_xll.qlCalendarAdvance(Calendar,L317,"1M","f",,Trigger)</f>
        <v>51714</v>
      </c>
      <c r="M318" s="544">
        <f>_xll.qlCalendarAdvance(Calendar,L318,"3M","mf",,Trigger)</f>
        <v>51806</v>
      </c>
      <c r="N318" s="546" t="str">
        <f>_xll.qlMakeDatedOIS(,L318,M318,"eonia",,,,,Trigger)</f>
        <v>obj_00919#0002</v>
      </c>
      <c r="O318" s="545">
        <f>_xll.qlIndexFixing("euribor3m",_xll.qlInterestRateIndexFixingDate("Euribor3M",L318),TRUE)</f>
        <v>2.0342927743450426E-2</v>
      </c>
      <c r="P318" s="545">
        <f>_xll.qlOvernightIndexedSwapFairRate(N318,Trigger)</f>
        <v>2.0093898336570316E-2</v>
      </c>
      <c r="Q318" s="547">
        <f t="shared" si="6"/>
        <v>2.4902940688011077E-4</v>
      </c>
    </row>
    <row r="319" spans="5:17" x14ac:dyDescent="0.2">
      <c r="E319" s="538"/>
      <c r="F319" s="538"/>
      <c r="G319" s="537"/>
      <c r="I319" s="537"/>
      <c r="J319" s="537"/>
      <c r="L319" s="553">
        <f>_xll.qlCalendarAdvance(Calendar,L318,"1M","f",,Trigger)</f>
        <v>51746</v>
      </c>
      <c r="M319" s="544">
        <f>_xll.qlCalendarAdvance(Calendar,L319,"3M","mf",,Trigger)</f>
        <v>51837</v>
      </c>
      <c r="N319" s="546" t="str">
        <f>_xll.qlMakeDatedOIS(,L319,M319,"eonia",,,,,Trigger)</f>
        <v>obj_0091b#0002</v>
      </c>
      <c r="O319" s="545">
        <f>_xll.qlIndexFixing("euribor3m",_xll.qlInterestRateIndexFixingDate("Euribor3M",L319),TRUE)</f>
        <v>2.0329978508530886E-2</v>
      </c>
      <c r="P319" s="545">
        <f>_xll.qlOvernightIndexedSwapFairRate(N319,Trigger)</f>
        <v>2.0093338520026132E-2</v>
      </c>
      <c r="Q319" s="547">
        <f t="shared" si="6"/>
        <v>2.3663998850475404E-4</v>
      </c>
    </row>
    <row r="320" spans="5:17" x14ac:dyDescent="0.2">
      <c r="E320" s="538"/>
      <c r="F320" s="538"/>
      <c r="G320" s="537"/>
      <c r="I320" s="537"/>
      <c r="J320" s="537"/>
      <c r="L320" s="553">
        <f>_xll.qlCalendarAdvance(Calendar,L319,"1M","f",,Trigger)</f>
        <v>51776</v>
      </c>
      <c r="M320" s="544">
        <f>_xll.qlCalendarAdvance(Calendar,L320,"3M","mf",,Trigger)</f>
        <v>51868</v>
      </c>
      <c r="N320" s="546" t="str">
        <f>_xll.qlMakeDatedOIS(,L320,M320,"eonia",,,,,Trigger)</f>
        <v>obj_0091d#0002</v>
      </c>
      <c r="O320" s="545">
        <f>_xll.qlIndexFixing("euribor3m",_xll.qlInterestRateIndexFixingDate("Euribor3M",L320),TRUE)</f>
        <v>2.0319840615541859E-2</v>
      </c>
      <c r="P320" s="545">
        <f>_xll.qlOvernightIndexedSwapFairRate(N320,Trigger)</f>
        <v>2.0093898336569448E-2</v>
      </c>
      <c r="Q320" s="547">
        <f t="shared" si="6"/>
        <v>2.2594227897241095E-4</v>
      </c>
    </row>
    <row r="321" spans="5:17" x14ac:dyDescent="0.2">
      <c r="E321" s="538"/>
      <c r="F321" s="538"/>
      <c r="G321" s="537"/>
      <c r="I321" s="537"/>
      <c r="J321" s="537"/>
      <c r="L321" s="553">
        <f>_xll.qlCalendarAdvance(Calendar,L320,"1M","f",,Trigger)</f>
        <v>51809</v>
      </c>
      <c r="M321" s="544">
        <f>_xll.qlCalendarAdvance(Calendar,L321,"3M","mf",,Trigger)</f>
        <v>51901</v>
      </c>
      <c r="N321" s="546" t="str">
        <f>_xll.qlMakeDatedOIS(,L321,M321,"eonia",,,,,Trigger)</f>
        <v>obj_0091f#0002</v>
      </c>
      <c r="O321" s="545">
        <f>_xll.qlIndexFixing("euribor3m",_xll.qlInterestRateIndexFixingDate("Euribor3M",L321),TRUE)</f>
        <v>2.0309628639697784E-2</v>
      </c>
      <c r="P321" s="545">
        <f>_xll.qlOvernightIndexedSwapFairRate(N321,Trigger)</f>
        <v>2.0093898336570319E-2</v>
      </c>
      <c r="Q321" s="547">
        <f t="shared" si="6"/>
        <v>2.1573030312746488E-4</v>
      </c>
    </row>
    <row r="322" spans="5:17" x14ac:dyDescent="0.2">
      <c r="E322" s="538"/>
      <c r="F322" s="538"/>
      <c r="G322" s="537"/>
      <c r="I322" s="537"/>
      <c r="J322" s="537"/>
      <c r="L322" s="553">
        <f>_xll.qlCalendarAdvance(Calendar,L321,"1M","f",,Trigger)</f>
        <v>51839</v>
      </c>
      <c r="M322" s="544">
        <f>_xll.qlCalendarAdvance(Calendar,L322,"3M","mf",,Trigger)</f>
        <v>51929</v>
      </c>
      <c r="N322" s="546" t="str">
        <f>_xll.qlMakeDatedOIS(,L322,M322,"eonia",,,,,Trigger)</f>
        <v>obj_00921#0002</v>
      </c>
      <c r="O322" s="545">
        <f>_xll.qlIndexFixing("euribor3m",_xll.qlInterestRateIndexFixingDate("Euribor3M",L322),TRUE)</f>
        <v>2.0300682324096542E-2</v>
      </c>
      <c r="P322" s="545">
        <f>_xll.qlOvernightIndexedSwapFairRate(N322,Trigger)</f>
        <v>2.0092778724269955E-2</v>
      </c>
      <c r="Q322" s="547">
        <f t="shared" si="6"/>
        <v>2.0790359982658657E-4</v>
      </c>
    </row>
    <row r="323" spans="5:17" x14ac:dyDescent="0.2">
      <c r="E323" s="538"/>
      <c r="F323" s="538"/>
      <c r="G323" s="537"/>
      <c r="I323" s="537"/>
      <c r="J323" s="537"/>
      <c r="L323" s="553">
        <f>_xll.qlCalendarAdvance(Calendar,L322,"1M","f",,Trigger)</f>
        <v>51872</v>
      </c>
      <c r="M323" s="544">
        <f>_xll.qlCalendarAdvance(Calendar,L323,"3M","mf",,Trigger)</f>
        <v>51964</v>
      </c>
      <c r="N323" s="546" t="str">
        <f>_xll.qlMakeDatedOIS(,L323,M323,"eonia",,,,,Trigger)</f>
        <v>obj_00923#0002</v>
      </c>
      <c r="O323" s="545">
        <f>_xll.qlIndexFixing("euribor3m",_xll.qlInterestRateIndexFixingDate("Euribor3M",L323),TRUE)</f>
        <v>2.0294138635781722E-2</v>
      </c>
      <c r="P323" s="545">
        <f>_xll.qlOvernightIndexedSwapFairRate(N323,Trigger)</f>
        <v>2.0093898336569445E-2</v>
      </c>
      <c r="Q323" s="547">
        <f t="shared" ref="Q323:Q386" si="7">O323-P323</f>
        <v>2.0024029921227732E-4</v>
      </c>
    </row>
    <row r="324" spans="5:17" x14ac:dyDescent="0.2">
      <c r="E324" s="538"/>
      <c r="F324" s="538"/>
      <c r="G324" s="537"/>
      <c r="I324" s="537"/>
      <c r="J324" s="537"/>
      <c r="L324" s="553">
        <f>_xll.qlCalendarAdvance(Calendar,L323,"1M","f",,Trigger)</f>
        <v>51903</v>
      </c>
      <c r="M324" s="544">
        <f>_xll.qlCalendarAdvance(Calendar,L324,"3M","mf",,Trigger)</f>
        <v>51992</v>
      </c>
      <c r="N324" s="546" t="str">
        <f>_xll.qlMakeDatedOIS(,L324,M324,"eonia",,,,,Trigger)</f>
        <v>obj_00925#0002</v>
      </c>
      <c r="O324" s="545">
        <f>_xll.qlIndexFixing("euribor3m",_xll.qlInterestRateIndexFixingDate("Euribor3M",L324),TRUE)</f>
        <v>2.0286950575116019E-2</v>
      </c>
      <c r="P324" s="545">
        <f>_xll.qlOvernightIndexedSwapFairRate(N324,Trigger)</f>
        <v>2.0092218949299259E-2</v>
      </c>
      <c r="Q324" s="547">
        <f t="shared" si="7"/>
        <v>1.947316258167596E-4</v>
      </c>
    </row>
    <row r="325" spans="5:17" x14ac:dyDescent="0.2">
      <c r="E325" s="538"/>
      <c r="F325" s="538"/>
      <c r="G325" s="537"/>
      <c r="I325" s="537"/>
      <c r="J325" s="537"/>
      <c r="L325" s="553">
        <f>_xll.qlCalendarAdvance(Calendar,L324,"1M","f",,Trigger)</f>
        <v>51931</v>
      </c>
      <c r="M325" s="544">
        <f>_xll.qlCalendarAdvance(Calendar,L325,"3M","mf",,Trigger)</f>
        <v>52023</v>
      </c>
      <c r="N325" s="546" t="str">
        <f>_xll.qlMakeDatedOIS(,L325,M325,"eonia",,,,,Trigger)</f>
        <v>obj_00927#0002</v>
      </c>
      <c r="O325" s="545">
        <f>_xll.qlIndexFixing("euribor3m",_xll.qlInterestRateIndexFixingDate("Euribor3M",L325),TRUE)</f>
        <v>2.0284399310163563E-2</v>
      </c>
      <c r="P325" s="545">
        <f>_xll.qlOvernightIndexedSwapFairRate(N325,Trigger)</f>
        <v>2.0093898336570316E-2</v>
      </c>
      <c r="Q325" s="547">
        <f t="shared" si="7"/>
        <v>1.9050097359324739E-4</v>
      </c>
    </row>
    <row r="326" spans="5:17" x14ac:dyDescent="0.2">
      <c r="E326" s="538"/>
      <c r="F326" s="538"/>
      <c r="G326" s="537"/>
      <c r="I326" s="537"/>
      <c r="J326" s="537"/>
      <c r="L326" s="553">
        <f>_xll.qlCalendarAdvance(Calendar,L325,"1M","f",,Trigger)</f>
        <v>51964</v>
      </c>
      <c r="M326" s="544">
        <f>_xll.qlCalendarAdvance(Calendar,L326,"3M","mf",,Trigger)</f>
        <v>52055</v>
      </c>
      <c r="N326" s="546" t="str">
        <f>_xll.qlMakeDatedOIS(,L326,M326,"eonia",,,,,Trigger)</f>
        <v>obj_00929#0002</v>
      </c>
      <c r="O326" s="545">
        <f>_xll.qlIndexFixing("euribor3m",_xll.qlInterestRateIndexFixingDate("Euribor3M",L326),TRUE)</f>
        <v>2.0280423527325779E-2</v>
      </c>
      <c r="P326" s="545">
        <f>_xll.qlOvernightIndexedSwapFairRate(N326,Trigger)</f>
        <v>2.0093338520027006E-2</v>
      </c>
      <c r="Q326" s="547">
        <f t="shared" si="7"/>
        <v>1.8708500729877273E-4</v>
      </c>
    </row>
    <row r="327" spans="5:17" x14ac:dyDescent="0.2">
      <c r="E327" s="538"/>
      <c r="F327" s="538"/>
      <c r="G327" s="537"/>
      <c r="I327" s="537"/>
      <c r="J327" s="537"/>
      <c r="L327" s="553">
        <f>_xll.qlCalendarAdvance(Calendar,L326,"1M","f",,Trigger)</f>
        <v>51994</v>
      </c>
      <c r="M327" s="544">
        <f>_xll.qlCalendarAdvance(Calendar,L327,"3M","mf",,Trigger)</f>
        <v>52086</v>
      </c>
      <c r="N327" s="546" t="str">
        <f>_xll.qlMakeDatedOIS(,L327,M327,"eonia",,,,,Trigger)</f>
        <v>obj_0092b#0002</v>
      </c>
      <c r="O327" s="545">
        <f>_xll.qlIndexFixing("euribor3m",_xll.qlInterestRateIndexFixingDate("Euribor3M",L327),TRUE)</f>
        <v>2.0279090036796527E-2</v>
      </c>
      <c r="P327" s="545">
        <f>_xll.qlOvernightIndexedSwapFairRate(N327,Trigger)</f>
        <v>2.0093898336570316E-2</v>
      </c>
      <c r="Q327" s="547">
        <f t="shared" si="7"/>
        <v>1.8519170022621156E-4</v>
      </c>
    </row>
    <row r="328" spans="5:17" x14ac:dyDescent="0.2">
      <c r="E328" s="538"/>
      <c r="F328" s="538"/>
      <c r="G328" s="537"/>
      <c r="I328" s="537"/>
      <c r="J328" s="537"/>
      <c r="L328" s="553">
        <f>_xll.qlCalendarAdvance(Calendar,L327,"1M","f",,Trigger)</f>
        <v>52026</v>
      </c>
      <c r="M328" s="544">
        <f>_xll.qlCalendarAdvance(Calendar,L328,"3M","mf",,Trigger)</f>
        <v>52118</v>
      </c>
      <c r="N328" s="546" t="str">
        <f>_xll.qlMakeDatedOIS(,L328,M328,"eonia",,,,,Trigger)</f>
        <v>obj_0092d#0002</v>
      </c>
      <c r="O328" s="545">
        <f>_xll.qlIndexFixing("euribor3m",_xll.qlInterestRateIndexFixingDate("Euribor3M",L328),TRUE)</f>
        <v>2.0278406611173475E-2</v>
      </c>
      <c r="P328" s="545">
        <f>_xll.qlOvernightIndexedSwapFairRate(N328,Trigger)</f>
        <v>2.0093898336569448E-2</v>
      </c>
      <c r="Q328" s="547">
        <f t="shared" si="7"/>
        <v>1.8450827460402691E-4</v>
      </c>
    </row>
    <row r="329" spans="5:17" x14ac:dyDescent="0.2">
      <c r="E329" s="538"/>
      <c r="F329" s="538"/>
      <c r="G329" s="537"/>
      <c r="I329" s="537"/>
      <c r="J329" s="537"/>
      <c r="L329" s="553">
        <f>_xll.qlCalendarAdvance(Calendar,L328,"1M","f",,Trigger)</f>
        <v>52056</v>
      </c>
      <c r="M329" s="544">
        <f>_xll.qlCalendarAdvance(Calendar,L329,"3M","mf",,Trigger)</f>
        <v>52148</v>
      </c>
      <c r="N329" s="546" t="str">
        <f>_xll.qlMakeDatedOIS(,L329,M329,"eonia",,,,,Trigger)</f>
        <v>obj_0092f#0002</v>
      </c>
      <c r="O329" s="545">
        <f>_xll.qlIndexFixing("euribor3m",_xll.qlInterestRateIndexFixingDate("Euribor3M",L329),TRUE)</f>
        <v>2.0278997749559543E-2</v>
      </c>
      <c r="P329" s="545">
        <f>_xll.qlOvernightIndexedSwapFairRate(N329,Trigger)</f>
        <v>2.0093898336570319E-2</v>
      </c>
      <c r="Q329" s="547">
        <f t="shared" si="7"/>
        <v>1.8509941298922375E-4</v>
      </c>
    </row>
    <row r="330" spans="5:17" x14ac:dyDescent="0.2">
      <c r="E330" s="538"/>
      <c r="F330" s="538"/>
      <c r="G330" s="537"/>
      <c r="I330" s="537"/>
      <c r="J330" s="537"/>
      <c r="L330" s="553">
        <f>_xll.qlCalendarAdvance(Calendar,L329,"1M","f",,Trigger)</f>
        <v>52089</v>
      </c>
      <c r="M330" s="544">
        <f>_xll.qlCalendarAdvance(Calendar,L330,"3M","mf",,Trigger)</f>
        <v>52181</v>
      </c>
      <c r="N330" s="546" t="str">
        <f>_xll.qlMakeDatedOIS(,L330,M330,"eonia",,,,,Trigger)</f>
        <v>obj_00931#0002</v>
      </c>
      <c r="O330" s="545">
        <f>_xll.qlIndexFixing("euribor3m",_xll.qlInterestRateIndexFixingDate("Euribor3M",L330),TRUE)</f>
        <v>2.0281024892749373E-2</v>
      </c>
      <c r="P330" s="545">
        <f>_xll.qlOvernightIndexedSwapFairRate(N330,Trigger)</f>
        <v>2.0093898336570316E-2</v>
      </c>
      <c r="Q330" s="547">
        <f t="shared" si="7"/>
        <v>1.8712655617905694E-4</v>
      </c>
    </row>
    <row r="331" spans="5:17" x14ac:dyDescent="0.2">
      <c r="E331" s="538"/>
      <c r="F331" s="538"/>
      <c r="G331" s="537"/>
      <c r="I331" s="537"/>
      <c r="J331" s="537"/>
      <c r="L331" s="553">
        <f>_xll.qlCalendarAdvance(Calendar,L330,"1M","f",,Trigger)</f>
        <v>52120</v>
      </c>
      <c r="M331" s="544">
        <f>_xll.qlCalendarAdvance(Calendar,L331,"3M","mf",,Trigger)</f>
        <v>52211</v>
      </c>
      <c r="N331" s="546" t="str">
        <f>_xll.qlMakeDatedOIS(,L331,M331,"eonia",,,,,Trigger)</f>
        <v>obj_00933#0002</v>
      </c>
      <c r="O331" s="545">
        <f>_xll.qlIndexFixing("euribor3m",_xll.qlInterestRateIndexFixingDate("Euribor3M",L331),TRUE)</f>
        <v>2.0283600587968478E-2</v>
      </c>
      <c r="P331" s="545">
        <f>_xll.qlOvernightIndexedSwapFairRate(N331,Trigger)</f>
        <v>2.0093338520027006E-2</v>
      </c>
      <c r="Q331" s="547">
        <f t="shared" si="7"/>
        <v>1.9026206794147196E-4</v>
      </c>
    </row>
    <row r="332" spans="5:17" x14ac:dyDescent="0.2">
      <c r="E332" s="538"/>
      <c r="F332" s="538"/>
      <c r="G332" s="537"/>
      <c r="I332" s="537"/>
      <c r="J332" s="537"/>
      <c r="L332" s="553">
        <f>_xll.qlCalendarAdvance(Calendar,L331,"1M","f",,Trigger)</f>
        <v>52152</v>
      </c>
      <c r="M332" s="544">
        <f>_xll.qlCalendarAdvance(Calendar,L332,"3M","mf",,Trigger)</f>
        <v>52244</v>
      </c>
      <c r="N332" s="546" t="str">
        <f>_xll.qlMakeDatedOIS(,L332,M332,"eonia",,,,,Trigger)</f>
        <v>obj_00935#0002</v>
      </c>
      <c r="O332" s="545">
        <f>_xll.qlIndexFixing("euribor3m",_xll.qlInterestRateIndexFixingDate("Euribor3M",L332),TRUE)</f>
        <v>2.0288900403660614E-2</v>
      </c>
      <c r="P332" s="545">
        <f>_xll.qlOvernightIndexedSwapFairRate(N332,Trigger)</f>
        <v>2.0093898336569448E-2</v>
      </c>
      <c r="Q332" s="547">
        <f t="shared" si="7"/>
        <v>1.9500206709116563E-4</v>
      </c>
    </row>
    <row r="333" spans="5:17" x14ac:dyDescent="0.2">
      <c r="E333" s="538"/>
      <c r="F333" s="538"/>
      <c r="G333" s="537"/>
      <c r="I333" s="537"/>
      <c r="J333" s="537"/>
      <c r="L333" s="553">
        <f>_xll.qlCalendarAdvance(Calendar,L332,"1M","f",,Trigger)</f>
        <v>52183</v>
      </c>
      <c r="M333" s="544">
        <f>_xll.qlCalendarAdvance(Calendar,L333,"3M","mf",,Trigger)</f>
        <v>52275</v>
      </c>
      <c r="N333" s="546" t="str">
        <f>_xll.qlMakeDatedOIS(,L333,M333,"eonia",,,,,Trigger)</f>
        <v>obj_00937#0002</v>
      </c>
      <c r="O333" s="545">
        <f>_xll.qlIndexFixing("euribor3m",_xll.qlInterestRateIndexFixingDate("Euribor3M",L333),TRUE)</f>
        <v>2.029470556640417E-2</v>
      </c>
      <c r="P333" s="545">
        <f>_xll.qlOvernightIndexedSwapFairRate(N333,Trigger)</f>
        <v>2.0093898336569445E-2</v>
      </c>
      <c r="Q333" s="547">
        <f t="shared" si="7"/>
        <v>2.0080722983472493E-4</v>
      </c>
    </row>
    <row r="334" spans="5:17" x14ac:dyDescent="0.2">
      <c r="E334" s="538"/>
      <c r="F334" s="538"/>
      <c r="G334" s="537"/>
      <c r="I334" s="537"/>
      <c r="J334" s="537"/>
      <c r="L334" s="553">
        <f>_xll.qlCalendarAdvance(Calendar,L333,"1M","f",,Trigger)</f>
        <v>52215</v>
      </c>
      <c r="M334" s="544">
        <f>_xll.qlCalendarAdvance(Calendar,L334,"3M","mf",,Trigger)</f>
        <v>52306</v>
      </c>
      <c r="N334" s="546" t="str">
        <f>_xll.qlMakeDatedOIS(,L334,M334,"eonia",,,,,Trigger)</f>
        <v>obj_00939#0002</v>
      </c>
      <c r="O334" s="545">
        <f>_xll.qlIndexFixing("euribor3m",_xll.qlInterestRateIndexFixingDate("Euribor3M",L334),TRUE)</f>
        <v>2.0301326694447397E-2</v>
      </c>
      <c r="P334" s="545">
        <f>_xll.qlOvernightIndexedSwapFairRate(N334,Trigger)</f>
        <v>2.0093338520027006E-2</v>
      </c>
      <c r="Q334" s="547">
        <f t="shared" si="7"/>
        <v>2.0798817442039055E-4</v>
      </c>
    </row>
    <row r="335" spans="5:17" x14ac:dyDescent="0.2">
      <c r="E335" s="538"/>
      <c r="F335" s="538"/>
      <c r="G335" s="537"/>
      <c r="I335" s="537"/>
      <c r="J335" s="537"/>
      <c r="L335" s="553">
        <f>_xll.qlCalendarAdvance(Calendar,L334,"1M","f",,Trigger)</f>
        <v>52246</v>
      </c>
      <c r="M335" s="544">
        <f>_xll.qlCalendarAdvance(Calendar,L335,"3M","mf",,Trigger)</f>
        <v>52336</v>
      </c>
      <c r="N335" s="546" t="str">
        <f>_xll.qlMakeDatedOIS(,L335,M335,"eonia",,,,,Trigger)</f>
        <v>obj_0093b#0002</v>
      </c>
      <c r="O335" s="545">
        <f>_xll.qlIndexFixing("euribor3m",_xll.qlInterestRateIndexFixingDate("Euribor3M",L335),TRUE)</f>
        <v>2.0308970776282464E-2</v>
      </c>
      <c r="P335" s="545">
        <f>_xll.qlOvernightIndexedSwapFairRate(N335,Trigger)</f>
        <v>2.0092778724270843E-2</v>
      </c>
      <c r="Q335" s="547">
        <f t="shared" si="7"/>
        <v>2.1619205201162117E-4</v>
      </c>
    </row>
    <row r="336" spans="5:17" x14ac:dyDescent="0.2">
      <c r="E336" s="538"/>
      <c r="F336" s="538"/>
      <c r="G336" s="537"/>
      <c r="I336" s="537"/>
      <c r="J336" s="537"/>
      <c r="L336" s="553">
        <f>_xll.qlCalendarAdvance(Calendar,L335,"1M","f",,Trigger)</f>
        <v>52278</v>
      </c>
      <c r="M336" s="544">
        <f>_xll.qlCalendarAdvance(Calendar,L336,"3M","mf",,Trigger)</f>
        <v>52369</v>
      </c>
      <c r="N336" s="546" t="str">
        <f>_xll.qlMakeDatedOIS(,L336,M336,"eonia",,,,,Trigger)</f>
        <v>obj_0093d#0002</v>
      </c>
      <c r="O336" s="545">
        <f>_xll.qlIndexFixing("euribor3m",_xll.qlInterestRateIndexFixingDate("Euribor3M",L336),TRUE)</f>
        <v>2.0319674022325034E-2</v>
      </c>
      <c r="P336" s="545">
        <f>_xll.qlOvernightIndexedSwapFairRate(N336,Trigger)</f>
        <v>2.009333852002701E-2</v>
      </c>
      <c r="Q336" s="547">
        <f t="shared" si="7"/>
        <v>2.2633550229802374E-4</v>
      </c>
    </row>
    <row r="337" spans="5:17" x14ac:dyDescent="0.2">
      <c r="E337" s="538"/>
      <c r="F337" s="538"/>
      <c r="G337" s="537"/>
      <c r="I337" s="537"/>
      <c r="J337" s="537"/>
      <c r="L337" s="553">
        <f>_xll.qlCalendarAdvance(Calendar,L336,"1M","f",,Trigger)</f>
        <v>52306</v>
      </c>
      <c r="M337" s="544">
        <f>_xll.qlCalendarAdvance(Calendar,L337,"3M","mf",,Trigger)</f>
        <v>52398</v>
      </c>
      <c r="N337" s="546" t="str">
        <f>_xll.qlMakeDatedOIS(,L337,M337,"eonia",,,,,Trigger)</f>
        <v>obj_0093f#0002</v>
      </c>
      <c r="O337" s="545">
        <f>_xll.qlIndexFixing("euribor3m",_xll.qlInterestRateIndexFixingDate("Euribor3M",L337),TRUE)</f>
        <v>2.0330284183446245E-2</v>
      </c>
      <c r="P337" s="545">
        <f>_xll.qlOvernightIndexedSwapFairRate(N337,Trigger)</f>
        <v>2.0093898336570316E-2</v>
      </c>
      <c r="Q337" s="547">
        <f t="shared" si="7"/>
        <v>2.3638584687592917E-4</v>
      </c>
    </row>
    <row r="338" spans="5:17" x14ac:dyDescent="0.2">
      <c r="E338" s="538"/>
      <c r="F338" s="538"/>
      <c r="G338" s="537"/>
      <c r="I338" s="537"/>
      <c r="J338" s="537"/>
      <c r="L338" s="553">
        <f>_xll.qlCalendarAdvance(Calendar,L337,"1M","f",,Trigger)</f>
        <v>52337</v>
      </c>
      <c r="M338" s="544">
        <f>_xll.qlCalendarAdvance(Calendar,L338,"3M","mf",,Trigger)</f>
        <v>52428</v>
      </c>
      <c r="N338" s="546" t="str">
        <f>_xll.qlMakeDatedOIS(,L338,M338,"eonia",,,,,Trigger)</f>
        <v>obj_00941#0002</v>
      </c>
      <c r="O338" s="545">
        <f>_xll.qlIndexFixing("euribor3m",_xll.qlInterestRateIndexFixingDate("Euribor3M",L338),TRUE)</f>
        <v>2.0341623449341196E-2</v>
      </c>
      <c r="P338" s="545">
        <f>_xll.qlOvernightIndexedSwapFairRate(N338,Trigger)</f>
        <v>2.0093338520027006E-2</v>
      </c>
      <c r="Q338" s="547">
        <f t="shared" si="7"/>
        <v>2.482849293141895E-4</v>
      </c>
    </row>
    <row r="339" spans="5:17" x14ac:dyDescent="0.2">
      <c r="E339" s="538"/>
      <c r="F339" s="538"/>
      <c r="G339" s="537"/>
      <c r="I339" s="537"/>
      <c r="J339" s="537"/>
      <c r="L339" s="553">
        <f>_xll.qlCalendarAdvance(Calendar,L338,"1M","f",,Trigger)</f>
        <v>52369</v>
      </c>
      <c r="M339" s="544">
        <f>_xll.qlCalendarAdvance(Calendar,L339,"3M","mf",,Trigger)</f>
        <v>52461</v>
      </c>
      <c r="N339" s="546" t="str">
        <f>_xll.qlMakeDatedOIS(,L339,M339,"eonia",,,,,Trigger)</f>
        <v>obj_00943#0002</v>
      </c>
      <c r="O339" s="545">
        <f>_xll.qlIndexFixing("euribor3m",_xll.qlInterestRateIndexFixingDate("Euribor3M",L339),TRUE)</f>
        <v>2.0356268301924853E-2</v>
      </c>
      <c r="P339" s="545">
        <f>_xll.qlOvernightIndexedSwapFairRate(N339,Trigger)</f>
        <v>2.0093898336570319E-2</v>
      </c>
      <c r="Q339" s="547">
        <f t="shared" si="7"/>
        <v>2.623699653545343E-4</v>
      </c>
    </row>
    <row r="340" spans="5:17" x14ac:dyDescent="0.2">
      <c r="E340" s="538"/>
      <c r="F340" s="538"/>
      <c r="G340" s="537"/>
      <c r="I340" s="537"/>
      <c r="J340" s="537"/>
      <c r="L340" s="553">
        <f>_xll.qlCalendarAdvance(Calendar,L339,"1M","f",,Trigger)</f>
        <v>52400</v>
      </c>
      <c r="M340" s="544">
        <f>_xll.qlCalendarAdvance(Calendar,L340,"3M","mf",,Trigger)</f>
        <v>52492</v>
      </c>
      <c r="N340" s="546" t="str">
        <f>_xll.qlMakeDatedOIS(,L340,M340,"eonia",,,,,Trigger)</f>
        <v>obj_00945#0002</v>
      </c>
      <c r="O340" s="545">
        <f>_xll.qlIndexFixing("euribor3m",_xll.qlInterestRateIndexFixingDate("Euribor3M",L340),TRUE)</f>
        <v>2.0370984143996722E-2</v>
      </c>
      <c r="P340" s="545">
        <f>_xll.qlOvernightIndexedSwapFairRate(N340,Trigger)</f>
        <v>2.0093898336570316E-2</v>
      </c>
      <c r="Q340" s="547">
        <f t="shared" si="7"/>
        <v>2.7708580742640682E-4</v>
      </c>
    </row>
    <row r="341" spans="5:17" x14ac:dyDescent="0.2">
      <c r="E341" s="538"/>
      <c r="F341" s="538"/>
      <c r="G341" s="537"/>
      <c r="I341" s="537"/>
      <c r="J341" s="537"/>
      <c r="L341" s="553">
        <f>_xll.qlCalendarAdvance(Calendar,L340,"1M","f",,Trigger)</f>
        <v>52432</v>
      </c>
      <c r="M341" s="544">
        <f>_xll.qlCalendarAdvance(Calendar,L341,"3M","mf",,Trigger)</f>
        <v>52524</v>
      </c>
      <c r="N341" s="546" t="str">
        <f>_xll.qlMakeDatedOIS(,L341,M341,"eonia",,,,,Trigger)</f>
        <v>obj_00947#0002</v>
      </c>
      <c r="O341" s="545">
        <f>_xll.qlIndexFixing("euribor3m",_xll.qlInterestRateIndexFixingDate("Euribor3M",L341),TRUE)</f>
        <v>2.038750995145051E-2</v>
      </c>
      <c r="P341" s="545">
        <f>_xll.qlOvernightIndexedSwapFairRate(N341,Trigger)</f>
        <v>2.0093898336570316E-2</v>
      </c>
      <c r="Q341" s="547">
        <f t="shared" si="7"/>
        <v>2.9361161488019455E-4</v>
      </c>
    </row>
    <row r="342" spans="5:17" x14ac:dyDescent="0.2">
      <c r="E342" s="538"/>
      <c r="F342" s="538"/>
      <c r="G342" s="537"/>
      <c r="I342" s="537"/>
      <c r="J342" s="537"/>
      <c r="L342" s="553">
        <f>_xll.qlCalendarAdvance(Calendar,L341,"1M","f",,Trigger)</f>
        <v>52463</v>
      </c>
      <c r="M342" s="544">
        <f>_xll.qlCalendarAdvance(Calendar,L342,"3M","mf",,Trigger)</f>
        <v>52555</v>
      </c>
      <c r="N342" s="546" t="str">
        <f>_xll.qlMakeDatedOIS(,L342,M342,"eonia",,,,,Trigger)</f>
        <v>obj_00949#0002</v>
      </c>
      <c r="O342" s="545">
        <f>_xll.qlIndexFixing("euribor3m",_xll.qlInterestRateIndexFixingDate("Euribor3M",L342),TRUE)</f>
        <v>2.0404812877285246E-2</v>
      </c>
      <c r="P342" s="545">
        <f>_xll.qlOvernightIndexedSwapFairRate(N342,Trigger)</f>
        <v>2.0093898336570316E-2</v>
      </c>
      <c r="Q342" s="547">
        <f t="shared" si="7"/>
        <v>3.109145407149301E-4</v>
      </c>
    </row>
    <row r="343" spans="5:17" x14ac:dyDescent="0.2">
      <c r="E343" s="538"/>
      <c r="F343" s="538"/>
      <c r="G343" s="537"/>
      <c r="I343" s="537"/>
      <c r="J343" s="537"/>
      <c r="L343" s="553">
        <f>_xll.qlCalendarAdvance(Calendar,L342,"1M","f",,Trigger)</f>
        <v>52495</v>
      </c>
      <c r="M343" s="544">
        <f>_xll.qlCalendarAdvance(Calendar,L343,"3M","mf",,Trigger)</f>
        <v>52586</v>
      </c>
      <c r="N343" s="546" t="str">
        <f>_xll.qlMakeDatedOIS(,L343,M343,"eonia",,,,,Trigger)</f>
        <v>obj_0094b#0002</v>
      </c>
      <c r="O343" s="545">
        <f>_xll.qlIndexFixing("euribor3m",_xll.qlInterestRateIndexFixingDate("Euribor3M",L343),TRUE)</f>
        <v>2.0423110454634071E-2</v>
      </c>
      <c r="P343" s="545">
        <f>_xll.qlOvernightIndexedSwapFairRate(N343,Trigger)</f>
        <v>2.0093338520027006E-2</v>
      </c>
      <c r="Q343" s="547">
        <f t="shared" si="7"/>
        <v>3.2977193460706489E-4</v>
      </c>
    </row>
    <row r="344" spans="5:17" x14ac:dyDescent="0.2">
      <c r="E344" s="538"/>
      <c r="F344" s="538"/>
      <c r="G344" s="537"/>
      <c r="I344" s="537"/>
      <c r="J344" s="537"/>
      <c r="L344" s="553">
        <f>_xll.qlCalendarAdvance(Calendar,L343,"1M","f",,Trigger)</f>
        <v>52525</v>
      </c>
      <c r="M344" s="544">
        <f>_xll.qlCalendarAdvance(Calendar,L344,"3M","mf",,Trigger)</f>
        <v>52617</v>
      </c>
      <c r="N344" s="546" t="str">
        <f>_xll.qlMakeDatedOIS(,L344,M344,"eonia",,,,,Trigger)</f>
        <v>obj_0094d#0002</v>
      </c>
      <c r="O344" s="545">
        <f>_xll.qlIndexFixing("euribor3m",_xll.qlInterestRateIndexFixingDate("Euribor3M",L344),TRUE)</f>
        <v>2.044323784987423E-2</v>
      </c>
      <c r="P344" s="545">
        <f>_xll.qlOvernightIndexedSwapFairRate(N344,Trigger)</f>
        <v>2.0093898336569448E-2</v>
      </c>
      <c r="Q344" s="547">
        <f t="shared" si="7"/>
        <v>3.4933951330478122E-4</v>
      </c>
    </row>
    <row r="345" spans="5:17" x14ac:dyDescent="0.2">
      <c r="E345" s="538"/>
      <c r="F345" s="538"/>
      <c r="G345" s="537"/>
      <c r="I345" s="537"/>
      <c r="J345" s="537"/>
      <c r="L345" s="553">
        <f>_xll.qlCalendarAdvance(Calendar,L344,"1M","f",,Trigger)</f>
        <v>52558</v>
      </c>
      <c r="M345" s="544">
        <f>_xll.qlCalendarAdvance(Calendar,L345,"3M","mf",,Trigger)</f>
        <v>52650</v>
      </c>
      <c r="N345" s="546" t="str">
        <f>_xll.qlMakeDatedOIS(,L345,M345,"eonia",,,,,Trigger)</f>
        <v>obj_0094f#0002</v>
      </c>
      <c r="O345" s="545">
        <f>_xll.qlIndexFixing("euribor3m",_xll.qlInterestRateIndexFixingDate("Euribor3M",L345),TRUE)</f>
        <v>2.0465766365813074E-2</v>
      </c>
      <c r="P345" s="545">
        <f>_xll.qlOvernightIndexedSwapFairRate(N345,Trigger)</f>
        <v>2.0093898336571183E-2</v>
      </c>
      <c r="Q345" s="547">
        <f t="shared" si="7"/>
        <v>3.7186802924189105E-4</v>
      </c>
    </row>
    <row r="346" spans="5:17" x14ac:dyDescent="0.2">
      <c r="E346" s="538"/>
      <c r="F346" s="538"/>
      <c r="G346" s="537"/>
      <c r="I346" s="537"/>
      <c r="J346" s="537"/>
      <c r="L346" s="553">
        <f>_xll.qlCalendarAdvance(Calendar,L345,"1M","f",,Trigger)</f>
        <v>52588</v>
      </c>
      <c r="M346" s="544">
        <f>_xll.qlCalendarAdvance(Calendar,L346,"3M","mf",,Trigger)</f>
        <v>52679</v>
      </c>
      <c r="N346" s="546" t="str">
        <f>_xll.qlMakeDatedOIS(,L346,M346,"eonia",,,,,Trigger)</f>
        <v>obj_00951#0002</v>
      </c>
      <c r="O346" s="545">
        <f>_xll.qlIndexFixing("euribor3m",_xll.qlInterestRateIndexFixingDate("Euribor3M",L346),TRUE)</f>
        <v>2.0486534733399269E-2</v>
      </c>
      <c r="P346" s="545">
        <f>_xll.qlOvernightIndexedSwapFairRate(N346,Trigger)</f>
        <v>2.0093338520027003E-2</v>
      </c>
      <c r="Q346" s="547">
        <f t="shared" si="7"/>
        <v>3.9319621337226621E-4</v>
      </c>
    </row>
    <row r="347" spans="5:17" x14ac:dyDescent="0.2">
      <c r="E347" s="538"/>
      <c r="F347" s="538"/>
      <c r="G347" s="537"/>
      <c r="I347" s="537"/>
      <c r="J347" s="537"/>
      <c r="L347" s="553">
        <f>_xll.qlCalendarAdvance(Calendar,L346,"1M","f",,Trigger)</f>
        <v>52621</v>
      </c>
      <c r="M347" s="544">
        <f>_xll.qlCalendarAdvance(Calendar,L347,"3M","mf",,Trigger)</f>
        <v>52712</v>
      </c>
      <c r="N347" s="546" t="str">
        <f>_xll.qlMakeDatedOIS(,L347,M347,"eonia",,,,,Trigger)</f>
        <v>obj_00953#0002</v>
      </c>
      <c r="O347" s="545">
        <f>_xll.qlIndexFixing("euribor3m",_xll.qlInterestRateIndexFixingDate("Euribor3M",L347),TRUE)</f>
        <v>2.0511794152528798E-2</v>
      </c>
      <c r="P347" s="545">
        <f>_xll.qlOvernightIndexedSwapFairRate(N347,Trigger)</f>
        <v>2.009333852002701E-2</v>
      </c>
      <c r="Q347" s="547">
        <f t="shared" si="7"/>
        <v>4.1845563250178866E-4</v>
      </c>
    </row>
    <row r="348" spans="5:17" x14ac:dyDescent="0.2">
      <c r="E348" s="538"/>
      <c r="F348" s="538"/>
      <c r="G348" s="537"/>
      <c r="I348" s="537"/>
      <c r="J348" s="537"/>
      <c r="L348" s="553">
        <f>_xll.qlCalendarAdvance(Calendar,L347,"1M","f",,Trigger)</f>
        <v>52652</v>
      </c>
      <c r="M348" s="544">
        <f>_xll.qlCalendarAdvance(Calendar,L348,"3M","mf",,Trigger)</f>
        <v>52742</v>
      </c>
      <c r="N348" s="546" t="str">
        <f>_xll.qlMakeDatedOIS(,L348,M348,"eonia",,,,,Trigger)</f>
        <v>obj_00955#0002</v>
      </c>
      <c r="O348" s="545">
        <f>_xll.qlIndexFixing("euribor3m",_xll.qlInterestRateIndexFixingDate("Euribor3M",L348),TRUE)</f>
        <v>2.0535828089886188E-2</v>
      </c>
      <c r="P348" s="545">
        <f>_xll.qlOvernightIndexedSwapFairRate(N348,Trigger)</f>
        <v>2.0092778724270843E-2</v>
      </c>
      <c r="Q348" s="547">
        <f t="shared" si="7"/>
        <v>4.4304936561534447E-4</v>
      </c>
    </row>
    <row r="349" spans="5:17" x14ac:dyDescent="0.2">
      <c r="E349" s="538"/>
      <c r="F349" s="538"/>
      <c r="G349" s="537"/>
      <c r="I349" s="537"/>
      <c r="J349" s="537"/>
      <c r="L349" s="553">
        <f>_xll.qlCalendarAdvance(Calendar,L348,"1M","f",,Trigger)</f>
        <v>52681</v>
      </c>
      <c r="M349" s="544">
        <f>_xll.qlCalendarAdvance(Calendar,L349,"3M","mf",,Trigger)</f>
        <v>52775</v>
      </c>
      <c r="N349" s="546" t="str">
        <f>_xll.qlMakeDatedOIS(,L349,M349,"eonia",,,,,Trigger)</f>
        <v>obj_00957#0002</v>
      </c>
      <c r="O349" s="545">
        <f>_xll.qlIndexFixing("euribor3m",_xll.qlInterestRateIndexFixingDate("Euribor3M",L349),TRUE)</f>
        <v>2.0564507508740549E-2</v>
      </c>
      <c r="P349" s="545">
        <f>_xll.qlOvernightIndexedSwapFairRate(N349,Trigger)</f>
        <v>2.0095018032019588E-2</v>
      </c>
      <c r="Q349" s="547">
        <f t="shared" si="7"/>
        <v>4.6948947672096134E-4</v>
      </c>
    </row>
    <row r="350" spans="5:17" x14ac:dyDescent="0.2">
      <c r="E350" s="538"/>
      <c r="F350" s="538"/>
      <c r="G350" s="537"/>
      <c r="I350" s="537"/>
      <c r="J350" s="537"/>
      <c r="L350" s="553">
        <f>_xll.qlCalendarAdvance(Calendar,L349,"1M","f",,Trigger)</f>
        <v>52712</v>
      </c>
      <c r="M350" s="544">
        <f>_xll.qlCalendarAdvance(Calendar,L350,"3M","mf",,Trigger)</f>
        <v>52803</v>
      </c>
      <c r="N350" s="546" t="str">
        <f>_xll.qlMakeDatedOIS(,L350,M350,"eonia",,,,,Trigger)</f>
        <v>obj_00959#0002</v>
      </c>
      <c r="O350" s="545">
        <f>_xll.qlIndexFixing("euribor3m",_xll.qlInterestRateIndexFixingDate("Euribor3M",L350),TRUE)</f>
        <v>2.0588923125570997E-2</v>
      </c>
      <c r="P350" s="545">
        <f>_xll.qlOvernightIndexedSwapFairRate(N350,Trigger)</f>
        <v>2.0093338520027006E-2</v>
      </c>
      <c r="Q350" s="547">
        <f t="shared" si="7"/>
        <v>4.9558460554399025E-4</v>
      </c>
    </row>
    <row r="351" spans="5:17" x14ac:dyDescent="0.2">
      <c r="E351" s="538"/>
      <c r="F351" s="538"/>
      <c r="G351" s="537"/>
      <c r="I351" s="537"/>
      <c r="J351" s="537"/>
      <c r="L351" s="553">
        <f>_xll.qlCalendarAdvance(Calendar,L350,"1M","f",,Trigger)</f>
        <v>52742</v>
      </c>
      <c r="M351" s="544">
        <f>_xll.qlCalendarAdvance(Calendar,L351,"3M","mf",,Trigger)</f>
        <v>52834</v>
      </c>
      <c r="N351" s="546" t="str">
        <f>_xll.qlMakeDatedOIS(,L351,M351,"eonia",,,,,Trigger)</f>
        <v>obj_0095b#0002</v>
      </c>
      <c r="O351" s="545">
        <f>_xll.qlIndexFixing("euribor3m",_xll.qlInterestRateIndexFixingDate("Euribor3M",L351),TRUE)</f>
        <v>2.0617824863599331E-2</v>
      </c>
      <c r="P351" s="545">
        <f>_xll.qlOvernightIndexedSwapFairRate(N351,Trigger)</f>
        <v>2.0195200066178556E-2</v>
      </c>
      <c r="Q351" s="547">
        <f t="shared" si="7"/>
        <v>4.2262479742077516E-4</v>
      </c>
    </row>
    <row r="352" spans="5:17" x14ac:dyDescent="0.2">
      <c r="E352" s="538"/>
      <c r="F352" s="538"/>
      <c r="G352" s="537"/>
      <c r="I352" s="537"/>
      <c r="J352" s="537"/>
      <c r="L352" s="553">
        <f>_xll.qlCalendarAdvance(Calendar,L351,"1M","f",,Trigger)</f>
        <v>52775</v>
      </c>
      <c r="M352" s="544">
        <f>_xll.qlCalendarAdvance(Calendar,L352,"3M","mf",,Trigger)</f>
        <v>52867</v>
      </c>
      <c r="N352" s="546" t="str">
        <f>_xll.qlMakeDatedOIS(,L352,M352,"eonia",,,,,Trigger)</f>
        <v>obj_0095d#0002</v>
      </c>
      <c r="O352" s="545">
        <f>_xll.qlIndexFixing("euribor3m",_xll.qlInterestRateIndexFixingDate("Euribor3M",L352),TRUE)</f>
        <v>2.0649580388654939E-2</v>
      </c>
      <c r="P352" s="545">
        <f>_xll.qlOvernightIndexedSwapFairRate(N352,Trigger)</f>
        <v>2.0529514285984377E-2</v>
      </c>
      <c r="Q352" s="547">
        <f t="shared" si="7"/>
        <v>1.2006610267056156E-4</v>
      </c>
    </row>
    <row r="353" spans="5:17" x14ac:dyDescent="0.2">
      <c r="E353" s="538"/>
      <c r="F353" s="538"/>
      <c r="G353" s="537"/>
      <c r="I353" s="537"/>
      <c r="J353" s="537"/>
      <c r="L353" s="553">
        <f>_xll.qlCalendarAdvance(Calendar,L352,"1M","f",,Trigger)</f>
        <v>52805</v>
      </c>
      <c r="M353" s="544">
        <f>_xll.qlCalendarAdvance(Calendar,L353,"3M","mf",,Trigger)</f>
        <v>52897</v>
      </c>
      <c r="N353" s="546" t="str">
        <f>_xll.qlMakeDatedOIS(,L353,M353,"eonia",,,,,Trigger)</f>
        <v>obj_0095f#0002</v>
      </c>
      <c r="O353" s="545">
        <f>_xll.qlIndexFixing("euribor3m",_xll.qlInterestRateIndexFixingDate("Euribor3M",L353),TRUE)</f>
        <v>2.0678912076790679E-2</v>
      </c>
      <c r="P353" s="545">
        <f>_xll.qlOvernightIndexedSwapFairRate(N353,Trigger)</f>
        <v>2.0833460962237375E-2</v>
      </c>
      <c r="Q353" s="547">
        <f t="shared" si="7"/>
        <v>-1.5454888544669601E-4</v>
      </c>
    </row>
    <row r="354" spans="5:17" x14ac:dyDescent="0.2">
      <c r="E354" s="538"/>
      <c r="F354" s="538"/>
      <c r="G354" s="537"/>
      <c r="I354" s="537"/>
      <c r="J354" s="537"/>
      <c r="L354" s="553">
        <f>_xll.qlCalendarAdvance(Calendar,L353,"1M","f",,Trigger)</f>
        <v>52838</v>
      </c>
      <c r="M354" s="544">
        <f>_xll.qlCalendarAdvance(Calendar,L354,"3M","mf",,Trigger)</f>
        <v>52930</v>
      </c>
      <c r="N354" s="546" t="str">
        <f>_xll.qlMakeDatedOIS(,L354,M354,"eonia",,,,,Trigger)</f>
        <v>obj_00961#0002</v>
      </c>
      <c r="O354" s="545">
        <f>_xll.qlIndexFixing("euribor3m",_xll.qlInterestRateIndexFixingDate("Euribor3M",L354),TRUE)</f>
        <v>2.0711034074188325E-2</v>
      </c>
      <c r="P354" s="545">
        <f>_xll.qlOvernightIndexedSwapFairRate(N354,Trigger)</f>
        <v>2.1025972671188834E-2</v>
      </c>
      <c r="Q354" s="547">
        <f t="shared" si="7"/>
        <v>-3.1493859700050877E-4</v>
      </c>
    </row>
    <row r="355" spans="5:17" x14ac:dyDescent="0.2">
      <c r="E355" s="538"/>
      <c r="F355" s="538"/>
      <c r="G355" s="537"/>
      <c r="I355" s="537"/>
      <c r="J355" s="537"/>
      <c r="L355" s="553">
        <f>_xll.qlCalendarAdvance(Calendar,L354,"1M","f",,Trigger)</f>
        <v>52869</v>
      </c>
      <c r="M355" s="544">
        <f>_xll.qlCalendarAdvance(Calendar,L355,"3M","mf",,Trigger)</f>
        <v>52960</v>
      </c>
      <c r="N355" s="546" t="str">
        <f>_xll.qlMakeDatedOIS(,L355,M355,"eonia",,,,,Trigger)</f>
        <v>obj_00963#0002</v>
      </c>
      <c r="O355" s="545">
        <f>_xll.qlIndexFixing("euribor3m",_xll.qlInterestRateIndexFixingDate("Euribor3M",L355),TRUE)</f>
        <v>2.0739662971510118E-2</v>
      </c>
      <c r="P355" s="545">
        <f>_xll.qlOvernightIndexedSwapFairRate(N355,Trigger)</f>
        <v>2.1025359763904319E-2</v>
      </c>
      <c r="Q355" s="547">
        <f t="shared" si="7"/>
        <v>-2.8569679239420082E-4</v>
      </c>
    </row>
    <row r="356" spans="5:17" x14ac:dyDescent="0.2">
      <c r="E356" s="538"/>
      <c r="F356" s="538"/>
      <c r="G356" s="537"/>
      <c r="I356" s="537"/>
      <c r="J356" s="537"/>
      <c r="L356" s="553">
        <f>_xll.qlCalendarAdvance(Calendar,L355,"1M","f",,Trigger)</f>
        <v>52901</v>
      </c>
      <c r="M356" s="544">
        <f>_xll.qlCalendarAdvance(Calendar,L356,"3M","mf",,Trigger)</f>
        <v>52993</v>
      </c>
      <c r="N356" s="546" t="str">
        <f>_xll.qlMakeDatedOIS(,L356,M356,"eonia",,,,,Trigger)</f>
        <v>obj_00965#0002</v>
      </c>
      <c r="O356" s="545">
        <f>_xll.qlIndexFixing("euribor3m",_xll.qlInterestRateIndexFixingDate("Euribor3M",L356),TRUE)</f>
        <v>2.077087708451111E-2</v>
      </c>
      <c r="P356" s="545">
        <f>_xll.qlOvernightIndexedSwapFairRate(N356,Trigger)</f>
        <v>2.1025972671189705E-2</v>
      </c>
      <c r="Q356" s="547">
        <f t="shared" si="7"/>
        <v>-2.5509558667859492E-4</v>
      </c>
    </row>
    <row r="357" spans="5:17" x14ac:dyDescent="0.2">
      <c r="E357" s="538"/>
      <c r="F357" s="538"/>
      <c r="G357" s="537"/>
      <c r="I357" s="537"/>
      <c r="J357" s="537"/>
      <c r="L357" s="553">
        <f>_xll.qlCalendarAdvance(Calendar,L356,"1M","f",,Trigger)</f>
        <v>52931</v>
      </c>
      <c r="M357" s="544">
        <f>_xll.qlCalendarAdvance(Calendar,L357,"3M","mf",,Trigger)</f>
        <v>53021</v>
      </c>
      <c r="N357" s="546" t="str">
        <f>_xll.qlMakeDatedOIS(,L357,M357,"eonia",,,,,Trigger)</f>
        <v>obj_00967#0002</v>
      </c>
      <c r="O357" s="545">
        <f>_xll.qlIndexFixing("euribor3m",_xll.qlInterestRateIndexFixingDate("Euribor3M",L357),TRUE)</f>
        <v>2.0796559768039735E-2</v>
      </c>
      <c r="P357" s="545">
        <f>_xll.qlOvernightIndexedSwapFairRate(N357,Trigger)</f>
        <v>2.1024746880431877E-2</v>
      </c>
      <c r="Q357" s="547">
        <f t="shared" si="7"/>
        <v>-2.2818711239214196E-4</v>
      </c>
    </row>
    <row r="358" spans="5:17" x14ac:dyDescent="0.2">
      <c r="E358" s="538"/>
      <c r="F358" s="538"/>
      <c r="G358" s="537"/>
      <c r="I358" s="537"/>
      <c r="J358" s="537"/>
      <c r="L358" s="553">
        <f>_xll.qlCalendarAdvance(Calendar,L357,"1M","f",,Trigger)</f>
        <v>52961</v>
      </c>
      <c r="M358" s="544">
        <f>_xll.qlCalendarAdvance(Calendar,L358,"3M","mf",,Trigger)</f>
        <v>53051</v>
      </c>
      <c r="N358" s="546" t="str">
        <f>_xll.qlMakeDatedOIS(,L358,M358,"eonia",,,,,Trigger)</f>
        <v>obj_00969#0002</v>
      </c>
      <c r="O358" s="545">
        <f>_xll.qlIndexFixing("euribor3m",_xll.qlInterestRateIndexFixingDate("Euribor3M",L358),TRUE)</f>
        <v>2.0824961092707612E-2</v>
      </c>
      <c r="P358" s="545">
        <f>_xll.qlOvernightIndexedSwapFairRate(N358,Trigger)</f>
        <v>2.1024746880430989E-2</v>
      </c>
      <c r="Q358" s="547">
        <f t="shared" si="7"/>
        <v>-1.9978578772337705E-4</v>
      </c>
    </row>
    <row r="359" spans="5:17" x14ac:dyDescent="0.2">
      <c r="E359" s="538"/>
      <c r="F359" s="538"/>
      <c r="G359" s="537"/>
      <c r="I359" s="537"/>
      <c r="J359" s="537"/>
      <c r="L359" s="553">
        <f>_xll.qlCalendarAdvance(Calendar,L358,"1M","f",,Trigger)</f>
        <v>52992</v>
      </c>
      <c r="M359" s="544">
        <f>_xll.qlCalendarAdvance(Calendar,L359,"3M","mf",,Trigger)</f>
        <v>53080</v>
      </c>
      <c r="N359" s="546" t="str">
        <f>_xll.qlMakeDatedOIS(,L359,M359,"eonia",,,,,Trigger)</f>
        <v>obj_0096b#0002</v>
      </c>
      <c r="O359" s="545">
        <f>_xll.qlIndexFixing("euribor3m",_xll.qlInterestRateIndexFixingDate("Euribor3M",L359),TRUE)</f>
        <v>2.0849611794301844E-2</v>
      </c>
      <c r="P359" s="545">
        <f>_xll.qlOvernightIndexedSwapFairRate(N359,Trigger)</f>
        <v>2.1023521184914736E-2</v>
      </c>
      <c r="Q359" s="547">
        <f t="shared" si="7"/>
        <v>-1.7390939061289259E-4</v>
      </c>
    </row>
    <row r="360" spans="5:17" x14ac:dyDescent="0.2">
      <c r="E360" s="538"/>
      <c r="F360" s="538"/>
      <c r="G360" s="537"/>
      <c r="I360" s="537"/>
      <c r="J360" s="537"/>
      <c r="L360" s="553">
        <f>_xll.qlCalendarAdvance(Calendar,L359,"1M","f",,Trigger)</f>
        <v>53021</v>
      </c>
      <c r="M360" s="544">
        <f>_xll.qlCalendarAdvance(Calendar,L360,"3M","mf",,Trigger)</f>
        <v>53111</v>
      </c>
      <c r="N360" s="546" t="str">
        <f>_xll.qlMakeDatedOIS(,L360,M360,"eonia",,,,,Trigger)</f>
        <v>obj_0096d#0002</v>
      </c>
      <c r="O360" s="545">
        <f>_xll.qlIndexFixing("euribor3m",_xll.qlInterestRateIndexFixingDate("Euribor3M",L360),TRUE)</f>
        <v>2.0879329226682272E-2</v>
      </c>
      <c r="P360" s="545">
        <f>_xll.qlOvernightIndexedSwapFairRate(N360,Trigger)</f>
        <v>2.1024746880431877E-2</v>
      </c>
      <c r="Q360" s="547">
        <f t="shared" si="7"/>
        <v>-1.4541765374960491E-4</v>
      </c>
    </row>
    <row r="361" spans="5:17" x14ac:dyDescent="0.2">
      <c r="E361" s="538"/>
      <c r="F361" s="538"/>
      <c r="G361" s="537"/>
      <c r="I361" s="537"/>
      <c r="J361" s="537"/>
      <c r="L361" s="553">
        <f>_xll.qlCalendarAdvance(Calendar,L360,"1M","f",,Trigger)</f>
        <v>53049</v>
      </c>
      <c r="M361" s="544">
        <f>_xll.qlCalendarAdvance(Calendar,L361,"3M","mf",,Trigger)</f>
        <v>53141</v>
      </c>
      <c r="N361" s="546" t="str">
        <f>_xll.qlMakeDatedOIS(,L361,M361,"eonia",,,,,Trigger)</f>
        <v>obj_0096f#0002</v>
      </c>
      <c r="O361" s="545">
        <f>_xll.qlIndexFixing("euribor3m",_xll.qlInterestRateIndexFixingDate("Euribor3M",L361),TRUE)</f>
        <v>2.0903590269848015E-2</v>
      </c>
      <c r="P361" s="545">
        <f>_xll.qlOvernightIndexedSwapFairRate(N361,Trigger)</f>
        <v>2.1025972671188834E-2</v>
      </c>
      <c r="Q361" s="547">
        <f t="shared" si="7"/>
        <v>-1.2238240134081896E-4</v>
      </c>
    </row>
    <row r="362" spans="5:17" x14ac:dyDescent="0.2">
      <c r="E362" s="538"/>
      <c r="F362" s="538"/>
      <c r="G362" s="537"/>
      <c r="I362" s="537"/>
      <c r="J362" s="537"/>
      <c r="L362" s="553">
        <f>_xll.qlCalendarAdvance(Calendar,L361,"1M","f",,Trigger)</f>
        <v>53080</v>
      </c>
      <c r="M362" s="544">
        <f>_xll.qlCalendarAdvance(Calendar,L362,"3M","mf",,Trigger)</f>
        <v>53171</v>
      </c>
      <c r="N362" s="546" t="str">
        <f>_xll.qlMakeDatedOIS(,L362,M362,"eonia",,,,,Trigger)</f>
        <v>obj_00971#0002</v>
      </c>
      <c r="O362" s="545">
        <f>_xll.qlIndexFixing("euribor3m",_xll.qlInterestRateIndexFixingDate("Euribor3M",L362),TRUE)</f>
        <v>2.0932040248092122E-2</v>
      </c>
      <c r="P362" s="545">
        <f>_xll.qlOvernightIndexedSwapFairRate(N362,Trigger)</f>
        <v>2.1025359763905196E-2</v>
      </c>
      <c r="Q362" s="547">
        <f t="shared" si="7"/>
        <v>-9.3319515813074239E-5</v>
      </c>
    </row>
    <row r="363" spans="5:17" x14ac:dyDescent="0.2">
      <c r="E363" s="538"/>
      <c r="F363" s="538"/>
      <c r="G363" s="537"/>
      <c r="I363" s="537"/>
      <c r="J363" s="537"/>
      <c r="L363" s="553">
        <f>_xll.qlCalendarAdvance(Calendar,L362,"1M","f",,Trigger)</f>
        <v>53111</v>
      </c>
      <c r="M363" s="544">
        <f>_xll.qlCalendarAdvance(Calendar,L363,"3M","mf",,Trigger)</f>
        <v>53203</v>
      </c>
      <c r="N363" s="546" t="str">
        <f>_xll.qlMakeDatedOIS(,L363,M363,"eonia",,,,,Trigger)</f>
        <v>obj_00973#0002</v>
      </c>
      <c r="O363" s="545">
        <f>_xll.qlIndexFixing("euribor3m",_xll.qlInterestRateIndexFixingDate("Euribor3M",L363),TRUE)</f>
        <v>2.0955904698406712E-2</v>
      </c>
      <c r="P363" s="545">
        <f>_xll.qlOvernightIndexedSwapFairRate(N363,Trigger)</f>
        <v>2.1025972671187967E-2</v>
      </c>
      <c r="Q363" s="547">
        <f t="shared" si="7"/>
        <v>-7.00679727812549E-5</v>
      </c>
    </row>
    <row r="364" spans="5:17" x14ac:dyDescent="0.2">
      <c r="E364" s="538"/>
      <c r="F364" s="538"/>
      <c r="G364" s="537"/>
      <c r="I364" s="537"/>
      <c r="J364" s="537"/>
      <c r="L364" s="553">
        <f>_xll.qlCalendarAdvance(Calendar,L363,"1M","f",,Trigger)</f>
        <v>53142</v>
      </c>
      <c r="M364" s="544">
        <f>_xll.qlCalendarAdvance(Calendar,L364,"3M","mf",,Trigger)</f>
        <v>53234</v>
      </c>
      <c r="N364" s="546" t="str">
        <f>_xll.qlMakeDatedOIS(,L364,M364,"eonia",,,,,Trigger)</f>
        <v>obj_00975#0002</v>
      </c>
      <c r="O364" s="545">
        <f>_xll.qlIndexFixing("euribor3m",_xll.qlInterestRateIndexFixingDate("Euribor3M",L364),TRUE)</f>
        <v>2.0981335226581292E-2</v>
      </c>
      <c r="P364" s="545">
        <f>_xll.qlOvernightIndexedSwapFairRate(N364,Trigger)</f>
        <v>2.1025972671187963E-2</v>
      </c>
      <c r="Q364" s="547">
        <f t="shared" si="7"/>
        <v>-4.4637444606671073E-5</v>
      </c>
    </row>
    <row r="365" spans="5:17" x14ac:dyDescent="0.2">
      <c r="E365" s="538"/>
      <c r="F365" s="538"/>
      <c r="G365" s="537"/>
      <c r="I365" s="537"/>
      <c r="J365" s="537"/>
      <c r="L365" s="553">
        <f>_xll.qlCalendarAdvance(Calendar,L364,"1M","f",,Trigger)</f>
        <v>53174</v>
      </c>
      <c r="M365" s="544">
        <f>_xll.qlCalendarAdvance(Calendar,L365,"3M","mf",,Trigger)</f>
        <v>53266</v>
      </c>
      <c r="N365" s="546" t="str">
        <f>_xll.qlMakeDatedOIS(,L365,M365,"eonia",,,,,Trigger)</f>
        <v>obj_00977#0002</v>
      </c>
      <c r="O365" s="545">
        <f>_xll.qlIndexFixing("euribor3m",_xll.qlInterestRateIndexFixingDate("Euribor3M",L365),TRUE)</f>
        <v>2.1007077930116216E-2</v>
      </c>
      <c r="P365" s="545">
        <f>_xll.qlOvernightIndexedSwapFairRate(N365,Trigger)</f>
        <v>2.1025972671187963E-2</v>
      </c>
      <c r="Q365" s="547">
        <f t="shared" si="7"/>
        <v>-1.8894741071747573E-5</v>
      </c>
    </row>
    <row r="366" spans="5:17" x14ac:dyDescent="0.2">
      <c r="E366" s="538"/>
      <c r="F366" s="538"/>
      <c r="G366" s="537"/>
      <c r="I366" s="537"/>
      <c r="J366" s="537"/>
      <c r="L366" s="553">
        <f>_xll.qlCalendarAdvance(Calendar,L365,"1M","f",,Trigger)</f>
        <v>53205</v>
      </c>
      <c r="M366" s="544">
        <f>_xll.qlCalendarAdvance(Calendar,L366,"3M","mf",,Trigger)</f>
        <v>53296</v>
      </c>
      <c r="N366" s="546" t="str">
        <f>_xll.qlMakeDatedOIS(,L366,M366,"eonia",,,,,Trigger)</f>
        <v>obj_00979#0002</v>
      </c>
      <c r="O366" s="545">
        <f>_xll.qlIndexFixing("euribor3m",_xll.qlInterestRateIndexFixingDate("Euribor3M",L366),TRUE)</f>
        <v>2.1030524072356845E-2</v>
      </c>
      <c r="P366" s="545">
        <f>_xll.qlOvernightIndexedSwapFairRate(N366,Trigger)</f>
        <v>2.1025359763904319E-2</v>
      </c>
      <c r="Q366" s="547">
        <f t="shared" si="7"/>
        <v>5.1643084525258842E-6</v>
      </c>
    </row>
    <row r="367" spans="5:17" x14ac:dyDescent="0.2">
      <c r="E367" s="538"/>
      <c r="F367" s="538"/>
      <c r="G367" s="537"/>
      <c r="I367" s="537"/>
      <c r="J367" s="537"/>
      <c r="L367" s="553">
        <f>_xll.qlCalendarAdvance(Calendar,L366,"1M","f",,Trigger)</f>
        <v>53237</v>
      </c>
      <c r="M367" s="544">
        <f>_xll.qlCalendarAdvance(Calendar,L367,"3M","mf",,Trigger)</f>
        <v>53329</v>
      </c>
      <c r="N367" s="546" t="str">
        <f>_xll.qlMakeDatedOIS(,L367,M367,"eonia",,,,,Trigger)</f>
        <v>obj_0097b#0002</v>
      </c>
      <c r="O367" s="545">
        <f>_xll.qlIndexFixing("euribor3m",_xll.qlInterestRateIndexFixingDate("Euribor3M",L367),TRUE)</f>
        <v>2.1056250226373606E-2</v>
      </c>
      <c r="P367" s="545">
        <f>_xll.qlOvernightIndexedSwapFairRate(N367,Trigger)</f>
        <v>2.1025972671188834E-2</v>
      </c>
      <c r="Q367" s="547">
        <f t="shared" si="7"/>
        <v>3.0277555184771848E-5</v>
      </c>
    </row>
    <row r="368" spans="5:17" x14ac:dyDescent="0.2">
      <c r="E368" s="538"/>
      <c r="F368" s="538"/>
      <c r="G368" s="537"/>
      <c r="I368" s="537"/>
      <c r="J368" s="537"/>
      <c r="L368" s="553">
        <f>_xll.qlCalendarAdvance(Calendar,L367,"1M","f",,Trigger)</f>
        <v>53268</v>
      </c>
      <c r="M368" s="544">
        <f>_xll.qlCalendarAdvance(Calendar,L368,"3M","mf",,Trigger)</f>
        <v>53360</v>
      </c>
      <c r="N368" s="546" t="str">
        <f>_xll.qlMakeDatedOIS(,L368,M368,"eonia",,,,,Trigger)</f>
        <v>obj_0097d#0002</v>
      </c>
      <c r="O368" s="545">
        <f>_xll.qlIndexFixing("euribor3m",_xll.qlInterestRateIndexFixingDate("Euribor3M",L368),TRUE)</f>
        <v>2.1079711561808878E-2</v>
      </c>
      <c r="P368" s="545">
        <f>_xll.qlOvernightIndexedSwapFairRate(N368,Trigger)</f>
        <v>2.1025972671187967E-2</v>
      </c>
      <c r="Q368" s="547">
        <f t="shared" si="7"/>
        <v>5.3738890620911445E-5</v>
      </c>
    </row>
    <row r="369" spans="5:17" x14ac:dyDescent="0.2">
      <c r="E369" s="538"/>
      <c r="F369" s="538"/>
      <c r="G369" s="537"/>
      <c r="I369" s="537"/>
      <c r="J369" s="537"/>
      <c r="L369" s="553">
        <f>_xll.qlCalendarAdvance(Calendar,L368,"1M","f",,Trigger)</f>
        <v>53300</v>
      </c>
      <c r="M369" s="544">
        <f>_xll.qlCalendarAdvance(Calendar,L369,"3M","mf",,Trigger)</f>
        <v>53391</v>
      </c>
      <c r="N369" s="546" t="str">
        <f>_xll.qlMakeDatedOIS(,L369,M369,"eonia",,,,,Trigger)</f>
        <v>obj_0097f#0002</v>
      </c>
      <c r="O369" s="545">
        <f>_xll.qlIndexFixing("euribor3m",_xll.qlInterestRateIndexFixingDate("Euribor3M",L369),TRUE)</f>
        <v>2.1102441454371301E-2</v>
      </c>
      <c r="P369" s="545">
        <f>_xll.qlOvernightIndexedSwapFairRate(N369,Trigger)</f>
        <v>2.1025359763905196E-2</v>
      </c>
      <c r="Q369" s="547">
        <f t="shared" si="7"/>
        <v>7.7081690466104108E-5</v>
      </c>
    </row>
    <row r="370" spans="5:17" x14ac:dyDescent="0.2">
      <c r="E370" s="538"/>
      <c r="F370" s="538"/>
      <c r="G370" s="537"/>
      <c r="I370" s="537"/>
      <c r="J370" s="537"/>
      <c r="L370" s="553">
        <f>_xll.qlCalendarAdvance(Calendar,L369,"1M","f",,Trigger)</f>
        <v>53331</v>
      </c>
      <c r="M370" s="544">
        <f>_xll.qlCalendarAdvance(Calendar,L370,"3M","mf",,Trigger)</f>
        <v>53421</v>
      </c>
      <c r="N370" s="546" t="str">
        <f>_xll.qlMakeDatedOIS(,L370,M370,"eonia",,,,,Trigger)</f>
        <v>obj_00981#0002</v>
      </c>
      <c r="O370" s="545">
        <f>_xll.qlIndexFixing("euribor3m",_xll.qlInterestRateIndexFixingDate("Euribor3M",L370),TRUE)</f>
        <v>2.1123950978232386E-2</v>
      </c>
      <c r="P370" s="545">
        <f>_xll.qlOvernightIndexedSwapFairRate(N370,Trigger)</f>
        <v>2.1024746880432765E-2</v>
      </c>
      <c r="Q370" s="547">
        <f t="shared" si="7"/>
        <v>9.9204097799621138E-5</v>
      </c>
    </row>
    <row r="371" spans="5:17" x14ac:dyDescent="0.2">
      <c r="E371" s="538"/>
      <c r="F371" s="538"/>
      <c r="G371" s="537"/>
      <c r="I371" s="537"/>
      <c r="J371" s="537"/>
      <c r="L371" s="553">
        <f>_xll.qlCalendarAdvance(Calendar,L370,"1M","f",,Trigger)</f>
        <v>53363</v>
      </c>
      <c r="M371" s="544">
        <f>_xll.qlCalendarAdvance(Calendar,L371,"3M","mf",,Trigger)</f>
        <v>53454</v>
      </c>
      <c r="N371" s="546" t="str">
        <f>_xll.qlMakeDatedOIS(,L371,M371,"eonia",,,,,Trigger)</f>
        <v>obj_00983#0002</v>
      </c>
      <c r="O371" s="545">
        <f>_xll.qlIndexFixing("euribor3m",_xll.qlInterestRateIndexFixingDate("Euribor3M",L371),TRUE)</f>
        <v>2.1147624895149174E-2</v>
      </c>
      <c r="P371" s="545">
        <f>_xll.qlOvernightIndexedSwapFairRate(N371,Trigger)</f>
        <v>2.1025359763904319E-2</v>
      </c>
      <c r="Q371" s="547">
        <f t="shared" si="7"/>
        <v>1.2226513124485514E-4</v>
      </c>
    </row>
    <row r="372" spans="5:17" x14ac:dyDescent="0.2">
      <c r="E372" s="538"/>
      <c r="F372" s="538"/>
      <c r="G372" s="537"/>
      <c r="I372" s="537"/>
      <c r="J372" s="537"/>
      <c r="L372" s="553">
        <f>_xll.qlCalendarAdvance(Calendar,L371,"1M","f",,Trigger)</f>
        <v>53391</v>
      </c>
      <c r="M372" s="544">
        <f>_xll.qlCalendarAdvance(Calendar,L372,"3M","mf",,Trigger)</f>
        <v>53483</v>
      </c>
      <c r="N372" s="546" t="str">
        <f>_xll.qlMakeDatedOIS(,L372,M372,"eonia",,,,,Trigger)</f>
        <v>obj_00985#0002</v>
      </c>
      <c r="O372" s="545">
        <f>_xll.qlIndexFixing("euribor3m",_xll.qlInterestRateIndexFixingDate("Euribor3M",L372),TRUE)</f>
        <v>2.1168025020381044E-2</v>
      </c>
      <c r="P372" s="545">
        <f>_xll.qlOvernightIndexedSwapFairRate(N372,Trigger)</f>
        <v>2.1025972671187967E-2</v>
      </c>
      <c r="Q372" s="547">
        <f t="shared" si="7"/>
        <v>1.4205234919307738E-4</v>
      </c>
    </row>
    <row r="373" spans="5:17" x14ac:dyDescent="0.2">
      <c r="E373" s="538"/>
      <c r="F373" s="538"/>
      <c r="G373" s="537"/>
      <c r="I373" s="537"/>
      <c r="J373" s="537"/>
      <c r="L373" s="553">
        <f>_xll.qlCalendarAdvance(Calendar,L372,"1M","f",,Trigger)</f>
        <v>53422</v>
      </c>
      <c r="M373" s="544">
        <f>_xll.qlCalendarAdvance(Calendar,L373,"3M","mf",,Trigger)</f>
        <v>53513</v>
      </c>
      <c r="N373" s="546" t="str">
        <f>_xll.qlMakeDatedOIS(,L373,M373,"eonia",,,,,Trigger)</f>
        <v>obj_00987#0002</v>
      </c>
      <c r="O373" s="545">
        <f>_xll.qlIndexFixing("euribor3m",_xll.qlInterestRateIndexFixingDate("Euribor3M",L373),TRUE)</f>
        <v>2.1188125050058047E-2</v>
      </c>
      <c r="P373" s="545">
        <f>_xll.qlOvernightIndexedSwapFairRate(N373,Trigger)</f>
        <v>2.1025359763904319E-2</v>
      </c>
      <c r="Q373" s="547">
        <f t="shared" si="7"/>
        <v>1.6276528615372793E-4</v>
      </c>
    </row>
    <row r="374" spans="5:17" x14ac:dyDescent="0.2">
      <c r="E374" s="538"/>
      <c r="F374" s="538"/>
      <c r="G374" s="537"/>
      <c r="I374" s="537"/>
      <c r="J374" s="537"/>
      <c r="L374" s="553">
        <f>_xll.qlCalendarAdvance(Calendar,L373,"1M","f",,Trigger)</f>
        <v>53454</v>
      </c>
      <c r="M374" s="544">
        <f>_xll.qlCalendarAdvance(Calendar,L374,"3M","mf",,Trigger)</f>
        <v>53546</v>
      </c>
      <c r="N374" s="546" t="str">
        <f>_xll.qlMakeDatedOIS(,L374,M374,"eonia",,,,,Trigger)</f>
        <v>obj_00989#0002</v>
      </c>
      <c r="O374" s="545">
        <f>_xll.qlIndexFixing("euribor3m",_xll.qlInterestRateIndexFixingDate("Euribor3M",L374),TRUE)</f>
        <v>2.1210304650252088E-2</v>
      </c>
      <c r="P374" s="545">
        <f>_xll.qlOvernightIndexedSwapFairRate(N374,Trigger)</f>
        <v>2.1025972671187967E-2</v>
      </c>
      <c r="Q374" s="547">
        <f t="shared" si="7"/>
        <v>1.8433197906412083E-4</v>
      </c>
    </row>
    <row r="375" spans="5:17" x14ac:dyDescent="0.2">
      <c r="E375" s="538"/>
      <c r="F375" s="538"/>
      <c r="G375" s="537"/>
      <c r="I375" s="537"/>
      <c r="J375" s="537"/>
      <c r="L375" s="553">
        <f>_xll.qlCalendarAdvance(Calendar,L374,"1M","f",,Trigger)</f>
        <v>53485</v>
      </c>
      <c r="M375" s="544">
        <f>_xll.qlCalendarAdvance(Calendar,L375,"3M","mf",,Trigger)</f>
        <v>53577</v>
      </c>
      <c r="N375" s="546" t="str">
        <f>_xll.qlMakeDatedOIS(,L375,M375,"eonia",,,,,Trigger)</f>
        <v>obj_0098b#0002</v>
      </c>
      <c r="O375" s="545">
        <f>_xll.qlIndexFixing("euribor3m",_xll.qlInterestRateIndexFixingDate("Euribor3M",L375),TRUE)</f>
        <v>2.1230374269230107E-2</v>
      </c>
      <c r="P375" s="545">
        <f>_xll.qlOvernightIndexedSwapFairRate(N375,Trigger)</f>
        <v>2.1025972671187967E-2</v>
      </c>
      <c r="Q375" s="547">
        <f t="shared" si="7"/>
        <v>2.0440159804214E-4</v>
      </c>
    </row>
    <row r="376" spans="5:17" x14ac:dyDescent="0.2">
      <c r="E376" s="538"/>
      <c r="F376" s="538"/>
      <c r="G376" s="537"/>
      <c r="I376" s="537"/>
      <c r="J376" s="537"/>
      <c r="L376" s="553">
        <f>_xll.qlCalendarAdvance(Calendar,L375,"1M","f",,Trigger)</f>
        <v>53517</v>
      </c>
      <c r="M376" s="544">
        <f>_xll.qlCalendarAdvance(Calendar,L376,"3M","mf",,Trigger)</f>
        <v>53609</v>
      </c>
      <c r="N376" s="546" t="str">
        <f>_xll.qlMakeDatedOIS(,L376,M376,"eonia",,,,,Trigger)</f>
        <v>obj_0098d#0002</v>
      </c>
      <c r="O376" s="545">
        <f>_xll.qlIndexFixing("euribor3m",_xll.qlInterestRateIndexFixingDate("Euribor3M",L376),TRUE)</f>
        <v>2.1250583034504351E-2</v>
      </c>
      <c r="P376" s="545">
        <f>_xll.qlOvernightIndexedSwapFairRate(N376,Trigger)</f>
        <v>2.1025972671188834E-2</v>
      </c>
      <c r="Q376" s="547">
        <f t="shared" si="7"/>
        <v>2.2461036331551665E-4</v>
      </c>
    </row>
    <row r="377" spans="5:17" x14ac:dyDescent="0.2">
      <c r="E377" s="538"/>
      <c r="F377" s="538"/>
      <c r="G377" s="537"/>
      <c r="I377" s="537"/>
      <c r="J377" s="537"/>
      <c r="L377" s="553">
        <f>_xll.qlCalendarAdvance(Calendar,L376,"1M","f",,Trigger)</f>
        <v>53548</v>
      </c>
      <c r="M377" s="544">
        <f>_xll.qlCalendarAdvance(Calendar,L377,"3M","mf",,Trigger)</f>
        <v>53640</v>
      </c>
      <c r="N377" s="546" t="str">
        <f>_xll.qlMakeDatedOIS(,L377,M377,"eonia",,,,,Trigger)</f>
        <v>obj_0098f#0002</v>
      </c>
      <c r="O377" s="545">
        <f>_xll.qlIndexFixing("euribor3m",_xll.qlInterestRateIndexFixingDate("Euribor3M",L377),TRUE)</f>
        <v>2.1269667890817912E-2</v>
      </c>
      <c r="P377" s="545">
        <f>_xll.qlOvernightIndexedSwapFairRate(N377,Trigger)</f>
        <v>2.1025972671189701E-2</v>
      </c>
      <c r="Q377" s="547">
        <f t="shared" si="7"/>
        <v>2.4369521962821009E-4</v>
      </c>
    </row>
    <row r="378" spans="5:17" x14ac:dyDescent="0.2">
      <c r="E378" s="538"/>
      <c r="F378" s="538"/>
      <c r="G378" s="537"/>
      <c r="I378" s="537"/>
      <c r="J378" s="537"/>
      <c r="L378" s="553">
        <f>_xll.qlCalendarAdvance(Calendar,L377,"1M","f",,Trigger)</f>
        <v>53580</v>
      </c>
      <c r="M378" s="544">
        <f>_xll.qlCalendarAdvance(Calendar,L378,"3M","mf",,Trigger)</f>
        <v>53671</v>
      </c>
      <c r="N378" s="546" t="str">
        <f>_xll.qlMakeDatedOIS(,L378,M378,"eonia",,,,,Trigger)</f>
        <v>obj_00991#0002</v>
      </c>
      <c r="O378" s="545">
        <f>_xll.qlIndexFixing("euribor3m",_xll.qlInterestRateIndexFixingDate("Euribor3M",L378),TRUE)</f>
        <v>2.1287939751695233E-2</v>
      </c>
      <c r="P378" s="545">
        <f>_xll.qlOvernightIndexedSwapFairRate(N378,Trigger)</f>
        <v>2.1025359763905196E-2</v>
      </c>
      <c r="Q378" s="547">
        <f t="shared" si="7"/>
        <v>2.6257998779003616E-4</v>
      </c>
    </row>
    <row r="379" spans="5:17" x14ac:dyDescent="0.2">
      <c r="E379" s="538"/>
      <c r="F379" s="538"/>
      <c r="G379" s="537"/>
      <c r="I379" s="537"/>
      <c r="J379" s="537"/>
      <c r="L379" s="553">
        <f>_xll.qlCalendarAdvance(Calendar,L378,"1M","f",,Trigger)</f>
        <v>53610</v>
      </c>
      <c r="M379" s="544">
        <f>_xll.qlCalendarAdvance(Calendar,L379,"3M","mf",,Trigger)</f>
        <v>53702</v>
      </c>
      <c r="N379" s="546" t="str">
        <f>_xll.qlMakeDatedOIS(,L379,M379,"eonia",,,,,Trigger)</f>
        <v>obj_00993#0002</v>
      </c>
      <c r="O379" s="545">
        <f>_xll.qlIndexFixing("euribor3m",_xll.qlInterestRateIndexFixingDate("Euribor3M",L379),TRUE)</f>
        <v>2.1306383866944289E-2</v>
      </c>
      <c r="P379" s="545">
        <f>_xll.qlOvernightIndexedSwapFairRate(N379,Trigger)</f>
        <v>2.1025972671188834E-2</v>
      </c>
      <c r="Q379" s="547">
        <f t="shared" si="7"/>
        <v>2.8041119575545476E-4</v>
      </c>
    </row>
    <row r="380" spans="5:17" x14ac:dyDescent="0.2">
      <c r="E380" s="538"/>
      <c r="F380" s="538"/>
      <c r="G380" s="537"/>
      <c r="I380" s="537"/>
      <c r="J380" s="537"/>
      <c r="L380" s="553">
        <f>_xll.qlCalendarAdvance(Calendar,L379,"1M","f",,Trigger)</f>
        <v>53643</v>
      </c>
      <c r="M380" s="544">
        <f>_xll.qlCalendarAdvance(Calendar,L380,"3M","mf",,Trigger)</f>
        <v>53735</v>
      </c>
      <c r="N380" s="546" t="str">
        <f>_xll.qlMakeDatedOIS(,L380,M380,"eonia",,,,,Trigger)</f>
        <v>obj_00995#0002</v>
      </c>
      <c r="O380" s="545">
        <f>_xll.qlIndexFixing("euribor3m",_xll.qlInterestRateIndexFixingDate("Euribor3M",L380),TRUE)</f>
        <v>2.1325135823309374E-2</v>
      </c>
      <c r="P380" s="545">
        <f>_xll.qlOvernightIndexedSwapFairRate(N380,Trigger)</f>
        <v>2.1025972671189705E-2</v>
      </c>
      <c r="Q380" s="547">
        <f t="shared" si="7"/>
        <v>2.9916315211966915E-4</v>
      </c>
    </row>
    <row r="381" spans="5:17" x14ac:dyDescent="0.2">
      <c r="E381" s="538"/>
      <c r="F381" s="538"/>
      <c r="G381" s="537"/>
      <c r="I381" s="537"/>
      <c r="J381" s="537"/>
      <c r="L381" s="553">
        <f>_xll.qlCalendarAdvance(Calendar,L380,"1M","f",,Trigger)</f>
        <v>53673</v>
      </c>
      <c r="M381" s="544">
        <f>_xll.qlCalendarAdvance(Calendar,L381,"3M","mf",,Trigger)</f>
        <v>53763</v>
      </c>
      <c r="N381" s="546" t="str">
        <f>_xll.qlMakeDatedOIS(,L381,M381,"eonia",,,,,Trigger)</f>
        <v>obj_00997#0002</v>
      </c>
      <c r="O381" s="545">
        <f>_xll.qlIndexFixing("euribor3m",_xll.qlInterestRateIndexFixingDate("Euribor3M",L381),TRUE)</f>
        <v>2.1339906349136406E-2</v>
      </c>
      <c r="P381" s="545">
        <f>_xll.qlOvernightIndexedSwapFairRate(N381,Trigger)</f>
        <v>2.1024746880431877E-2</v>
      </c>
      <c r="Q381" s="547">
        <f t="shared" si="7"/>
        <v>3.1515946870452893E-4</v>
      </c>
    </row>
    <row r="382" spans="5:17" x14ac:dyDescent="0.2">
      <c r="E382" s="538"/>
      <c r="F382" s="538"/>
      <c r="G382" s="537"/>
      <c r="I382" s="537"/>
      <c r="J382" s="537"/>
      <c r="L382" s="553">
        <f>_xll.qlCalendarAdvance(Calendar,L381,"1M","f",,Trigger)</f>
        <v>53706</v>
      </c>
      <c r="M382" s="544">
        <f>_xll.qlCalendarAdvance(Calendar,L382,"3M","mf",,Trigger)</f>
        <v>53798</v>
      </c>
      <c r="N382" s="546" t="str">
        <f>_xll.qlMakeDatedOIS(,L382,M382,"eonia",,,,,Trigger)</f>
        <v>obj_00999#0002</v>
      </c>
      <c r="O382" s="545">
        <f>_xll.qlIndexFixing("euribor3m",_xll.qlInterestRateIndexFixingDate("Euribor3M",L382),TRUE)</f>
        <v>2.1359410114074898E-2</v>
      </c>
      <c r="P382" s="545">
        <f>_xll.qlOvernightIndexedSwapFairRate(N382,Trigger)</f>
        <v>2.1025972671187967E-2</v>
      </c>
      <c r="Q382" s="547">
        <f t="shared" si="7"/>
        <v>3.3343744288693092E-4</v>
      </c>
    </row>
    <row r="383" spans="5:17" x14ac:dyDescent="0.2">
      <c r="E383" s="538"/>
      <c r="F383" s="538"/>
      <c r="G383" s="537"/>
      <c r="I383" s="537"/>
      <c r="J383" s="537"/>
      <c r="L383" s="553">
        <f>_xll.qlCalendarAdvance(Calendar,L382,"1M","f",,Trigger)</f>
        <v>53737</v>
      </c>
      <c r="M383" s="544">
        <f>_xll.qlCalendarAdvance(Calendar,L383,"3M","mf",,Trigger)</f>
        <v>53826</v>
      </c>
      <c r="N383" s="546" t="str">
        <f>_xll.qlMakeDatedOIS(,L383,M383,"eonia",,,,,Trigger)</f>
        <v>obj_0099b#0002</v>
      </c>
      <c r="O383" s="545">
        <f>_xll.qlIndexFixing("euribor3m",_xll.qlInterestRateIndexFixingDate("Euribor3M",L383),TRUE)</f>
        <v>2.1372882475694917E-2</v>
      </c>
      <c r="P383" s="545">
        <f>_xll.qlOvernightIndexedSwapFairRate(N383,Trigger)</f>
        <v>2.1024134020768515E-2</v>
      </c>
      <c r="Q383" s="547">
        <f t="shared" si="7"/>
        <v>3.4874845492640152E-4</v>
      </c>
    </row>
    <row r="384" spans="5:17" x14ac:dyDescent="0.2">
      <c r="E384" s="538"/>
      <c r="F384" s="538"/>
      <c r="G384" s="537"/>
      <c r="I384" s="537"/>
      <c r="J384" s="537"/>
      <c r="L384" s="553">
        <f>_xll.qlCalendarAdvance(Calendar,L383,"1M","f",,Trigger)</f>
        <v>53765</v>
      </c>
      <c r="M384" s="544">
        <f>_xll.qlCalendarAdvance(Calendar,L384,"3M","mf",,Trigger)</f>
        <v>53857</v>
      </c>
      <c r="N384" s="546" t="str">
        <f>_xll.qlMakeDatedOIS(,L384,M384,"eonia",,,,,Trigger)</f>
        <v>obj_0099d#0002</v>
      </c>
      <c r="O384" s="545">
        <f>_xll.qlIndexFixing("euribor3m",_xll.qlInterestRateIndexFixingDate("Euribor3M",L384),TRUE)</f>
        <v>2.1389693369446947E-2</v>
      </c>
      <c r="P384" s="545">
        <f>_xll.qlOvernightIndexedSwapFairRate(N384,Trigger)</f>
        <v>2.1025972671187963E-2</v>
      </c>
      <c r="Q384" s="547">
        <f t="shared" si="7"/>
        <v>3.6372069825898329E-4</v>
      </c>
    </row>
    <row r="385" spans="5:17" x14ac:dyDescent="0.2">
      <c r="E385" s="538"/>
      <c r="F385" s="538"/>
      <c r="G385" s="537"/>
      <c r="I385" s="537"/>
      <c r="J385" s="537"/>
      <c r="L385" s="553">
        <f>_xll.qlCalendarAdvance(Calendar,L384,"1M","f",,Trigger)</f>
        <v>53798</v>
      </c>
      <c r="M385" s="544">
        <f>_xll.qlCalendarAdvance(Calendar,L385,"3M","mf",,Trigger)</f>
        <v>53889</v>
      </c>
      <c r="N385" s="546" t="str">
        <f>_xll.qlMakeDatedOIS(,L385,M385,"eonia",,,,,Trigger)</f>
        <v>obj_0099f#0002</v>
      </c>
      <c r="O385" s="545">
        <f>_xll.qlIndexFixing("euribor3m",_xll.qlInterestRateIndexFixingDate("Euribor3M",L385),TRUE)</f>
        <v>2.1404993638123315E-2</v>
      </c>
      <c r="P385" s="545">
        <f>_xll.qlOvernightIndexedSwapFairRate(N385,Trigger)</f>
        <v>2.1025359763904319E-2</v>
      </c>
      <c r="Q385" s="547">
        <f t="shared" si="7"/>
        <v>3.7963387421899655E-4</v>
      </c>
    </row>
    <row r="386" spans="5:17" x14ac:dyDescent="0.2">
      <c r="E386" s="538"/>
      <c r="F386" s="538"/>
      <c r="G386" s="537"/>
      <c r="I386" s="537"/>
      <c r="J386" s="537"/>
      <c r="L386" s="553">
        <f>_xll.qlCalendarAdvance(Calendar,L385,"1M","f",,Trigger)</f>
        <v>53828</v>
      </c>
      <c r="M386" s="544">
        <f>_xll.qlCalendarAdvance(Calendar,L386,"3M","mf",,Trigger)</f>
        <v>53920</v>
      </c>
      <c r="N386" s="546" t="str">
        <f>_xll.qlMakeDatedOIS(,L386,M386,"eonia",,,,,Trigger)</f>
        <v>obj_009a1#0002</v>
      </c>
      <c r="O386" s="545">
        <f>_xll.qlIndexFixing("euribor3m",_xll.qlInterestRateIndexFixingDate("Euribor3M",L386),TRUE)</f>
        <v>2.1420091746766623E-2</v>
      </c>
      <c r="P386" s="545">
        <f>_xll.qlOvernightIndexedSwapFairRate(N386,Trigger)</f>
        <v>2.1025972671188838E-2</v>
      </c>
      <c r="Q386" s="547">
        <f t="shared" si="7"/>
        <v>3.9411907557778542E-4</v>
      </c>
    </row>
    <row r="387" spans="5:17" x14ac:dyDescent="0.2">
      <c r="E387" s="538"/>
      <c r="F387" s="538"/>
      <c r="G387" s="537"/>
      <c r="I387" s="537"/>
      <c r="J387" s="537"/>
      <c r="L387" s="553">
        <f>_xll.qlCalendarAdvance(Calendar,L386,"1M","f",,Trigger)</f>
        <v>53860</v>
      </c>
      <c r="M387" s="544">
        <f>_xll.qlCalendarAdvance(Calendar,L387,"3M","mf",,Trigger)</f>
        <v>53952</v>
      </c>
      <c r="N387" s="546" t="str">
        <f>_xll.qlMakeDatedOIS(,L387,M387,"eonia",,,,,Trigger)</f>
        <v>obj_009a3#0002</v>
      </c>
      <c r="O387" s="545">
        <f>_xll.qlIndexFixing("euribor3m",_xll.qlInterestRateIndexFixingDate("Euribor3M",L387),TRUE)</f>
        <v>2.1434765659524558E-2</v>
      </c>
      <c r="P387" s="545">
        <f>_xll.qlOvernightIndexedSwapFairRate(N387,Trigger)</f>
        <v>2.1025972671187963E-2</v>
      </c>
      <c r="Q387" s="547">
        <f t="shared" ref="Q387:Q450" si="8">O387-P387</f>
        <v>4.0879298833659469E-4</v>
      </c>
    </row>
    <row r="388" spans="5:17" x14ac:dyDescent="0.2">
      <c r="E388" s="538"/>
      <c r="F388" s="538"/>
      <c r="G388" s="537"/>
      <c r="I388" s="537"/>
      <c r="J388" s="537"/>
      <c r="L388" s="553">
        <f>_xll.qlCalendarAdvance(Calendar,L387,"1M","f",,Trigger)</f>
        <v>53890</v>
      </c>
      <c r="M388" s="544">
        <f>_xll.qlCalendarAdvance(Calendar,L388,"3M","mf",,Trigger)</f>
        <v>53982</v>
      </c>
      <c r="N388" s="546" t="str">
        <f>_xll.qlMakeDatedOIS(,L388,M388,"eonia",,,,,Trigger)</f>
        <v>obj_009a5#0002</v>
      </c>
      <c r="O388" s="545">
        <f>_xll.qlIndexFixing("euribor3m",_xll.qlInterestRateIndexFixingDate("Euribor3M",L388),TRUE)</f>
        <v>2.1448053448759573E-2</v>
      </c>
      <c r="P388" s="545">
        <f>_xll.qlOvernightIndexedSwapFairRate(N388,Trigger)</f>
        <v>2.1025972671188834E-2</v>
      </c>
      <c r="Q388" s="547">
        <f t="shared" si="8"/>
        <v>4.2208077757073872E-4</v>
      </c>
    </row>
    <row r="389" spans="5:17" x14ac:dyDescent="0.2">
      <c r="E389" s="538"/>
      <c r="F389" s="538"/>
      <c r="G389" s="537"/>
      <c r="I389" s="537"/>
      <c r="J389" s="537"/>
      <c r="L389" s="553">
        <f>_xll.qlCalendarAdvance(Calendar,L388,"1M","f",,Trigger)</f>
        <v>53923</v>
      </c>
      <c r="M389" s="544">
        <f>_xll.qlCalendarAdvance(Calendar,L389,"3M","mf",,Trigger)</f>
        <v>54015</v>
      </c>
      <c r="N389" s="546" t="str">
        <f>_xll.qlMakeDatedOIS(,L389,M389,"eonia",,,,,Trigger)</f>
        <v>obj_009a7#0002</v>
      </c>
      <c r="O389" s="545">
        <f>_xll.qlIndexFixing("euribor3m",_xll.qlInterestRateIndexFixingDate("Euribor3M",L389),TRUE)</f>
        <v>2.1462145785899406E-2</v>
      </c>
      <c r="P389" s="545">
        <f>_xll.qlOvernightIndexedSwapFairRate(N389,Trigger)</f>
        <v>2.1025972671187967E-2</v>
      </c>
      <c r="Q389" s="547">
        <f t="shared" si="8"/>
        <v>4.3617311471143977E-4</v>
      </c>
    </row>
    <row r="390" spans="5:17" x14ac:dyDescent="0.2">
      <c r="E390" s="538"/>
      <c r="F390" s="538"/>
      <c r="G390" s="537"/>
      <c r="I390" s="537"/>
      <c r="J390" s="537"/>
      <c r="L390" s="553">
        <f>_xll.qlCalendarAdvance(Calendar,L389,"1M","f",,Trigger)</f>
        <v>53954</v>
      </c>
      <c r="M390" s="544">
        <f>_xll.qlCalendarAdvance(Calendar,L390,"3M","mf",,Trigger)</f>
        <v>54045</v>
      </c>
      <c r="N390" s="546" t="str">
        <f>_xll.qlMakeDatedOIS(,L390,M390,"eonia",,,,,Trigger)</f>
        <v>obj_009a9#0002</v>
      </c>
      <c r="O390" s="545">
        <f>_xll.qlIndexFixing("euribor3m",_xll.qlInterestRateIndexFixingDate("Euribor3M",L390),TRUE)</f>
        <v>2.1474046678825062E-2</v>
      </c>
      <c r="P390" s="545">
        <f>_xll.qlOvernightIndexedSwapFairRate(N390,Trigger)</f>
        <v>2.1025359763904322E-2</v>
      </c>
      <c r="Q390" s="547">
        <f t="shared" si="8"/>
        <v>4.4868691492074009E-4</v>
      </c>
    </row>
    <row r="391" spans="5:17" x14ac:dyDescent="0.2">
      <c r="E391" s="538"/>
      <c r="F391" s="538"/>
      <c r="G391" s="537"/>
      <c r="I391" s="537"/>
      <c r="J391" s="537"/>
      <c r="L391" s="553">
        <f>_xll.qlCalendarAdvance(Calendar,L390,"1M","f",,Trigger)</f>
        <v>53986</v>
      </c>
      <c r="M391" s="544">
        <f>_xll.qlCalendarAdvance(Calendar,L391,"3M","mf",,Trigger)</f>
        <v>54078</v>
      </c>
      <c r="N391" s="546" t="str">
        <f>_xll.qlMakeDatedOIS(,L391,M391,"eonia",,,,,Trigger)</f>
        <v>obj_009ab#0002</v>
      </c>
      <c r="O391" s="545">
        <f>_xll.qlIndexFixing("euribor3m",_xll.qlInterestRateIndexFixingDate("Euribor3M",L391),TRUE)</f>
        <v>2.1487524282275985E-2</v>
      </c>
      <c r="P391" s="545">
        <f>_xll.qlOvernightIndexedSwapFairRate(N391,Trigger)</f>
        <v>2.1025972671187967E-2</v>
      </c>
      <c r="Q391" s="547">
        <f t="shared" si="8"/>
        <v>4.6155161108801801E-4</v>
      </c>
    </row>
    <row r="392" spans="5:17" x14ac:dyDescent="0.2">
      <c r="E392" s="538"/>
      <c r="F392" s="538"/>
      <c r="G392" s="537"/>
      <c r="I392" s="537"/>
      <c r="J392" s="537"/>
      <c r="L392" s="553">
        <f>_xll.qlCalendarAdvance(Calendar,L391,"1M","f",,Trigger)</f>
        <v>54017</v>
      </c>
      <c r="M392" s="544">
        <f>_xll.qlCalendarAdvance(Calendar,L392,"3M","mf",,Trigger)</f>
        <v>54109</v>
      </c>
      <c r="N392" s="546" t="str">
        <f>_xll.qlMakeDatedOIS(,L392,M392,"eonia",,,,,Trigger)</f>
        <v>obj_009ad#0002</v>
      </c>
      <c r="O392" s="545">
        <f>_xll.qlIndexFixing("euribor3m",_xll.qlInterestRateIndexFixingDate("Euribor3M",L392),TRUE)</f>
        <v>2.1499277313560709E-2</v>
      </c>
      <c r="P392" s="545">
        <f>_xll.qlOvernightIndexedSwapFairRate(N392,Trigger)</f>
        <v>2.1025972671188834E-2</v>
      </c>
      <c r="Q392" s="547">
        <f t="shared" si="8"/>
        <v>4.7330464237187522E-4</v>
      </c>
    </row>
    <row r="393" spans="5:17" x14ac:dyDescent="0.2">
      <c r="E393" s="538"/>
      <c r="F393" s="538"/>
      <c r="G393" s="537"/>
      <c r="I393" s="537"/>
      <c r="J393" s="537"/>
      <c r="L393" s="553">
        <f>_xll.qlCalendarAdvance(Calendar,L392,"1M","f",,Trigger)</f>
        <v>54049</v>
      </c>
      <c r="M393" s="544">
        <f>_xll.qlCalendarAdvance(Calendar,L393,"3M","mf",,Trigger)</f>
        <v>54140</v>
      </c>
      <c r="N393" s="546" t="str">
        <f>_xll.qlMakeDatedOIS(,L393,M393,"eonia",,,,,Trigger)</f>
        <v>obj_009af#0002</v>
      </c>
      <c r="O393" s="545">
        <f>_xll.qlIndexFixing("euribor3m",_xll.qlInterestRateIndexFixingDate("Euribor3M",L393),TRUE)</f>
        <v>2.1510085837936118E-2</v>
      </c>
      <c r="P393" s="545">
        <f>_xll.qlOvernightIndexedSwapFairRate(N393,Trigger)</f>
        <v>2.1025359763903441E-2</v>
      </c>
      <c r="Q393" s="547">
        <f t="shared" si="8"/>
        <v>4.8472607403267712E-4</v>
      </c>
    </row>
    <row r="394" spans="5:17" x14ac:dyDescent="0.2">
      <c r="E394" s="538"/>
      <c r="F394" s="538"/>
      <c r="G394" s="537"/>
      <c r="I394" s="537"/>
      <c r="J394" s="537"/>
      <c r="L394" s="553">
        <f>_xll.qlCalendarAdvance(Calendar,L393,"1M","f",,Trigger)</f>
        <v>54080</v>
      </c>
      <c r="M394" s="544">
        <f>_xll.qlCalendarAdvance(Calendar,L394,"3M","mf",,Trigger)</f>
        <v>54171</v>
      </c>
      <c r="N394" s="546" t="str">
        <f>_xll.qlMakeDatedOIS(,L394,M394,"eonia",,,,,Trigger)</f>
        <v>obj_009b1#0002</v>
      </c>
      <c r="O394" s="545">
        <f>_xll.qlIndexFixing("euribor3m",_xll.qlInterestRateIndexFixingDate("Euribor3M",L394),TRUE)</f>
        <v>2.1520861082797764E-2</v>
      </c>
      <c r="P394" s="545">
        <f>_xll.qlOvernightIndexedSwapFairRate(N394,Trigger)</f>
        <v>2.10253597639052E-2</v>
      </c>
      <c r="Q394" s="547">
        <f t="shared" si="8"/>
        <v>4.9550131889256402E-4</v>
      </c>
    </row>
    <row r="395" spans="5:17" x14ac:dyDescent="0.2">
      <c r="E395" s="538"/>
      <c r="F395" s="538"/>
      <c r="G395" s="537"/>
      <c r="I395" s="537"/>
      <c r="J395" s="537"/>
      <c r="L395" s="553">
        <f>_xll.qlCalendarAdvance(Calendar,L394,"1M","f",,Trigger)</f>
        <v>54112</v>
      </c>
      <c r="M395" s="544">
        <f>_xll.qlCalendarAdvance(Calendar,L395,"3M","mf",,Trigger)</f>
        <v>54203</v>
      </c>
      <c r="N395" s="546" t="str">
        <f>_xll.qlMakeDatedOIS(,L395,M395,"eonia",,,,,Trigger)</f>
        <v>obj_009b3#0002</v>
      </c>
      <c r="O395" s="545">
        <f>_xll.qlIndexFixing("euribor3m",_xll.qlInterestRateIndexFixingDate("Euribor3M",L395),TRUE)</f>
        <v>2.1531475572614971E-2</v>
      </c>
      <c r="P395" s="545">
        <f>_xll.qlOvernightIndexedSwapFairRate(N395,Trigger)</f>
        <v>2.10253597639052E-2</v>
      </c>
      <c r="Q395" s="547">
        <f t="shared" si="8"/>
        <v>5.0611580870977071E-4</v>
      </c>
    </row>
    <row r="396" spans="5:17" x14ac:dyDescent="0.2">
      <c r="E396" s="538"/>
      <c r="F396" s="538"/>
      <c r="G396" s="537"/>
      <c r="I396" s="537"/>
      <c r="J396" s="537"/>
      <c r="L396" s="553">
        <f>_xll.qlCalendarAdvance(Calendar,L395,"1M","f",,Trigger)</f>
        <v>54141</v>
      </c>
      <c r="M396" s="544">
        <f>_xll.qlCalendarAdvance(Calendar,L396,"3M","mf",,Trigger)</f>
        <v>54233</v>
      </c>
      <c r="N396" s="546" t="str">
        <f>_xll.qlMakeDatedOIS(,L396,M396,"eonia",,,,,Trigger)</f>
        <v>obj_009b5#0002</v>
      </c>
      <c r="O396" s="545">
        <f>_xll.qlIndexFixing("euribor3m",_xll.qlInterestRateIndexFixingDate("Euribor3M",L396),TRUE)</f>
        <v>2.1541442784003759E-2</v>
      </c>
      <c r="P396" s="545">
        <f>_xll.qlOvernightIndexedSwapFairRate(N396,Trigger)</f>
        <v>2.1025972671188834E-2</v>
      </c>
      <c r="Q396" s="547">
        <f t="shared" si="8"/>
        <v>5.1547011281492458E-4</v>
      </c>
    </row>
    <row r="397" spans="5:17" x14ac:dyDescent="0.2">
      <c r="E397" s="538"/>
      <c r="F397" s="538"/>
      <c r="G397" s="537"/>
      <c r="I397" s="537"/>
      <c r="J397" s="537"/>
      <c r="L397" s="553">
        <f>_xll.qlCalendarAdvance(Calendar,L396,"1M","f",,Trigger)</f>
        <v>54172</v>
      </c>
      <c r="M397" s="544">
        <f>_xll.qlCalendarAdvance(Calendar,L397,"3M","mf",,Trigger)</f>
        <v>54263</v>
      </c>
      <c r="N397" s="546" t="str">
        <f>_xll.qlMakeDatedOIS(,L397,M397,"eonia",,,,,Trigger)</f>
        <v>obj_009b7#0002</v>
      </c>
      <c r="O397" s="545">
        <f>_xll.qlIndexFixing("euribor3m",_xll.qlInterestRateIndexFixingDate("Euribor3M",L397),TRUE)</f>
        <v>2.1549985833742794E-2</v>
      </c>
      <c r="P397" s="545">
        <f>_xll.qlOvernightIndexedSwapFairRate(N397,Trigger)</f>
        <v>2.1025359763903437E-2</v>
      </c>
      <c r="Q397" s="547">
        <f t="shared" si="8"/>
        <v>5.2462606983935678E-4</v>
      </c>
    </row>
    <row r="398" spans="5:17" x14ac:dyDescent="0.2">
      <c r="E398" s="538"/>
      <c r="F398" s="538"/>
      <c r="G398" s="537"/>
      <c r="I398" s="537"/>
      <c r="J398" s="537"/>
      <c r="L398" s="553">
        <f>_xll.qlCalendarAdvance(Calendar,L397,"1M","f",,Trigger)</f>
        <v>54203</v>
      </c>
      <c r="M398" s="544">
        <f>_xll.qlCalendarAdvance(Calendar,L398,"3M","mf",,Trigger)</f>
        <v>54295</v>
      </c>
      <c r="N398" s="546" t="str">
        <f>_xll.qlMakeDatedOIS(,L398,M398,"eonia",,,,,Trigger)</f>
        <v>obj_009b9#0002</v>
      </c>
      <c r="O398" s="545">
        <f>_xll.qlIndexFixing("euribor3m",_xll.qlInterestRateIndexFixingDate("Euribor3M",L398),TRUE)</f>
        <v>2.1559617472496208E-2</v>
      </c>
      <c r="P398" s="545">
        <f>_xll.qlOvernightIndexedSwapFairRate(N398,Trigger)</f>
        <v>2.1025972671188838E-2</v>
      </c>
      <c r="Q398" s="547">
        <f t="shared" si="8"/>
        <v>5.3364480130737094E-4</v>
      </c>
    </row>
    <row r="399" spans="5:17" x14ac:dyDescent="0.2">
      <c r="E399" s="538"/>
      <c r="F399" s="538"/>
      <c r="G399" s="537"/>
      <c r="I399" s="537"/>
      <c r="J399" s="537"/>
      <c r="L399" s="553">
        <f>_xll.qlCalendarAdvance(Calendar,L398,"1M","f",,Trigger)</f>
        <v>54234</v>
      </c>
      <c r="M399" s="544">
        <f>_xll.qlCalendarAdvance(Calendar,L399,"3M","mf",,Trigger)</f>
        <v>54326</v>
      </c>
      <c r="N399" s="546" t="str">
        <f>_xll.qlMakeDatedOIS(,L399,M399,"eonia",,,,,Trigger)</f>
        <v>obj_009bb#0002</v>
      </c>
      <c r="O399" s="545">
        <f>_xll.qlIndexFixing("euribor3m",_xll.qlInterestRateIndexFixingDate("Euribor3M",L399),TRUE)</f>
        <v>2.1567977792834835E-2</v>
      </c>
      <c r="P399" s="545">
        <f>_xll.qlOvernightIndexedSwapFairRate(N399,Trigger)</f>
        <v>2.1025972671187963E-2</v>
      </c>
      <c r="Q399" s="547">
        <f t="shared" si="8"/>
        <v>5.4200512164687131E-4</v>
      </c>
    </row>
    <row r="400" spans="5:17" x14ac:dyDescent="0.2">
      <c r="E400" s="538"/>
      <c r="F400" s="538"/>
      <c r="G400" s="537"/>
      <c r="I400" s="537"/>
      <c r="J400" s="537"/>
      <c r="L400" s="553">
        <f>_xll.qlCalendarAdvance(Calendar,L399,"1M","f",,Trigger)</f>
        <v>54266</v>
      </c>
      <c r="M400" s="544">
        <f>_xll.qlCalendarAdvance(Calendar,L400,"3M","mf",,Trigger)</f>
        <v>54358</v>
      </c>
      <c r="N400" s="546" t="str">
        <f>_xll.qlMakeDatedOIS(,L400,M400,"eonia",,,,,Trigger)</f>
        <v>obj_009bd#0002</v>
      </c>
      <c r="O400" s="545">
        <f>_xll.qlIndexFixing("euribor3m",_xll.qlInterestRateIndexFixingDate("Euribor3M",L400),TRUE)</f>
        <v>2.1576099409345455E-2</v>
      </c>
      <c r="P400" s="545">
        <f>_xll.qlOvernightIndexedSwapFairRate(N400,Trigger)</f>
        <v>2.1025972671188838E-2</v>
      </c>
      <c r="Q400" s="547">
        <f t="shared" si="8"/>
        <v>5.5012673815661717E-4</v>
      </c>
    </row>
    <row r="401" spans="5:17" x14ac:dyDescent="0.2">
      <c r="E401" s="538"/>
      <c r="F401" s="538"/>
      <c r="G401" s="537"/>
      <c r="I401" s="537"/>
      <c r="J401" s="537"/>
      <c r="L401" s="553">
        <f>_xll.qlCalendarAdvance(Calendar,L400,"1M","f",,Trigger)</f>
        <v>54297</v>
      </c>
      <c r="M401" s="544">
        <f>_xll.qlCalendarAdvance(Calendar,L401,"3M","mf",,Trigger)</f>
        <v>54389</v>
      </c>
      <c r="N401" s="546" t="str">
        <f>_xll.qlMakeDatedOIS(,L401,M401,"eonia",,,,,Trigger)</f>
        <v>obj_009bf#0002</v>
      </c>
      <c r="O401" s="545">
        <f>_xll.qlIndexFixing("euribor3m",_xll.qlInterestRateIndexFixingDate("Euribor3M",L401),TRUE)</f>
        <v>2.1583474718007509E-2</v>
      </c>
      <c r="P401" s="545">
        <f>_xll.qlOvernightIndexedSwapFairRate(N401,Trigger)</f>
        <v>2.1025972671188838E-2</v>
      </c>
      <c r="Q401" s="547">
        <f t="shared" si="8"/>
        <v>5.5750204681867185E-4</v>
      </c>
    </row>
    <row r="402" spans="5:17" x14ac:dyDescent="0.2">
      <c r="E402" s="538"/>
      <c r="F402" s="538"/>
      <c r="G402" s="537"/>
      <c r="I402" s="537"/>
      <c r="J402" s="537"/>
      <c r="L402" s="553">
        <f>_xll.qlCalendarAdvance(Calendar,L401,"1M","f",,Trigger)</f>
        <v>54329</v>
      </c>
      <c r="M402" s="544">
        <f>_xll.qlCalendarAdvance(Calendar,L402,"3M","mf",,Trigger)</f>
        <v>54420</v>
      </c>
      <c r="N402" s="546" t="str">
        <f>_xll.qlMakeDatedOIS(,L402,M402,"eonia",,,,,Trigger)</f>
        <v>obj_009c1#0002</v>
      </c>
      <c r="O402" s="545">
        <f>_xll.qlIndexFixing("euribor3m",_xll.qlInterestRateIndexFixingDate("Euribor3M",L402),TRUE)</f>
        <v>2.1589830118787755E-2</v>
      </c>
      <c r="P402" s="545">
        <f>_xll.qlOvernightIndexedSwapFairRate(N402,Trigger)</f>
        <v>2.1025359763904319E-2</v>
      </c>
      <c r="Q402" s="547">
        <f t="shared" si="8"/>
        <v>5.6447035488343608E-4</v>
      </c>
    </row>
    <row r="403" spans="5:17" x14ac:dyDescent="0.2">
      <c r="E403" s="538"/>
      <c r="F403" s="538"/>
      <c r="G403" s="537"/>
      <c r="I403" s="537"/>
      <c r="J403" s="537"/>
      <c r="L403" s="553">
        <f>_xll.qlCalendarAdvance(Calendar,L402,"1M","f",,Trigger)</f>
        <v>54359</v>
      </c>
      <c r="M403" s="544">
        <f>_xll.qlCalendarAdvance(Calendar,L403,"3M","mf",,Trigger)</f>
        <v>54451</v>
      </c>
      <c r="N403" s="546" t="str">
        <f>_xll.qlMakeDatedOIS(,L403,M403,"eonia",,,,,Trigger)</f>
        <v>obj_009c3#0002</v>
      </c>
      <c r="O403" s="545">
        <f>_xll.qlIndexFixing("euribor3m",_xll.qlInterestRateIndexFixingDate("Euribor3M",L403),TRUE)</f>
        <v>2.1596771255255272E-2</v>
      </c>
      <c r="P403" s="545">
        <f>_xll.qlOvernightIndexedSwapFairRate(N403,Trigger)</f>
        <v>2.1025972671187963E-2</v>
      </c>
      <c r="Q403" s="547">
        <f t="shared" si="8"/>
        <v>5.7079858406730924E-4</v>
      </c>
    </row>
    <row r="404" spans="5:17" x14ac:dyDescent="0.2">
      <c r="E404" s="538"/>
      <c r="F404" s="538"/>
      <c r="G404" s="537"/>
      <c r="I404" s="537"/>
      <c r="J404" s="537"/>
      <c r="L404" s="553">
        <f>_xll.qlCalendarAdvance(Calendar,L403,"1M","f",,Trigger)</f>
        <v>54392</v>
      </c>
      <c r="M404" s="544">
        <f>_xll.qlCalendarAdvance(Calendar,L404,"3M","mf",,Trigger)</f>
        <v>54480</v>
      </c>
      <c r="N404" s="546" t="str">
        <f>_xll.qlMakeDatedOIS(,L404,M404,"eonia",,,,,Trigger)</f>
        <v>obj_009c5#0002</v>
      </c>
      <c r="O404" s="545">
        <f>_xll.qlIndexFixing("euribor3m",_xll.qlInterestRateIndexFixingDate("Euribor3M",L404),TRUE)</f>
        <v>2.1600119924933422E-2</v>
      </c>
      <c r="P404" s="545">
        <f>_xll.qlOvernightIndexedSwapFairRate(N404,Trigger)</f>
        <v>2.1023521184914736E-2</v>
      </c>
      <c r="Q404" s="547">
        <f t="shared" si="8"/>
        <v>5.765987400186863E-4</v>
      </c>
    </row>
    <row r="405" spans="5:17" x14ac:dyDescent="0.2">
      <c r="E405" s="538"/>
      <c r="F405" s="538"/>
      <c r="G405" s="537"/>
      <c r="I405" s="537"/>
      <c r="J405" s="537"/>
      <c r="L405" s="553">
        <f>_xll.qlCalendarAdvance(Calendar,L404,"1M","f",,Trigger)</f>
        <v>54422</v>
      </c>
      <c r="M405" s="544">
        <f>_xll.qlCalendarAdvance(Calendar,L405,"3M","mf",,Trigger)</f>
        <v>54512</v>
      </c>
      <c r="N405" s="546" t="str">
        <f>_xll.qlMakeDatedOIS(,L405,M405,"eonia",,,,,Trigger)</f>
        <v>obj_009c7#0002</v>
      </c>
      <c r="O405" s="545">
        <f>_xll.qlIndexFixing("euribor3m",_xll.qlInterestRateIndexFixingDate("Euribor3M",L405),TRUE)</f>
        <v>2.1606842108599977E-2</v>
      </c>
      <c r="P405" s="545">
        <f>_xll.qlOvernightIndexedSwapFairRate(N405,Trigger)</f>
        <v>2.1024746880431877E-2</v>
      </c>
      <c r="Q405" s="547">
        <f t="shared" si="8"/>
        <v>5.8209522816810022E-4</v>
      </c>
    </row>
    <row r="406" spans="5:17" x14ac:dyDescent="0.2">
      <c r="E406" s="538"/>
      <c r="F406" s="538"/>
      <c r="G406" s="537"/>
      <c r="I406" s="537"/>
      <c r="J406" s="537"/>
      <c r="L406" s="553">
        <f>_xll.qlCalendarAdvance(Calendar,L405,"1M","f",,Trigger)</f>
        <v>54455</v>
      </c>
      <c r="M406" s="544">
        <f>_xll.qlCalendarAdvance(Calendar,L406,"3M","mf",,Trigger)</f>
        <v>54546</v>
      </c>
      <c r="N406" s="546" t="str">
        <f>_xll.qlMakeDatedOIS(,L406,M406,"eonia",,,,,Trigger)</f>
        <v>obj_009c9#0002</v>
      </c>
      <c r="O406" s="545">
        <f>_xll.qlIndexFixing("euribor3m",_xll.qlInterestRateIndexFixingDate("Euribor3M",L406),TRUE)</f>
        <v>2.1612815287359734E-2</v>
      </c>
      <c r="P406" s="545">
        <f>_xll.qlOvernightIndexedSwapFairRate(N406,Trigger)</f>
        <v>2.1025359763904319E-2</v>
      </c>
      <c r="Q406" s="547">
        <f t="shared" si="8"/>
        <v>5.8745552345541505E-4</v>
      </c>
    </row>
    <row r="407" spans="5:17" x14ac:dyDescent="0.2">
      <c r="E407" s="538"/>
      <c r="F407" s="538"/>
      <c r="G407" s="537"/>
      <c r="I407" s="537"/>
      <c r="J407" s="537"/>
      <c r="L407" s="553">
        <f>_xll.qlCalendarAdvance(Calendar,L406,"1M","f",,Trigger)</f>
        <v>54483</v>
      </c>
      <c r="M407" s="544">
        <f>_xll.qlCalendarAdvance(Calendar,L407,"3M","mf",,Trigger)</f>
        <v>54575</v>
      </c>
      <c r="N407" s="546" t="str">
        <f>_xll.qlMakeDatedOIS(,L407,M407,"eonia",,,,,Trigger)</f>
        <v>obj_009cb#0002</v>
      </c>
      <c r="O407" s="545">
        <f>_xll.qlIndexFixing("euribor3m",_xll.qlInterestRateIndexFixingDate("Euribor3M",L407),TRUE)</f>
        <v>2.161754794439745E-2</v>
      </c>
      <c r="P407" s="545">
        <f>_xll.qlOvernightIndexedSwapFairRate(N407,Trigger)</f>
        <v>2.1025972671187967E-2</v>
      </c>
      <c r="Q407" s="547">
        <f t="shared" si="8"/>
        <v>5.9157527320948325E-4</v>
      </c>
    </row>
    <row r="408" spans="5:17" x14ac:dyDescent="0.2">
      <c r="E408" s="538"/>
      <c r="F408" s="538"/>
      <c r="G408" s="537"/>
      <c r="I408" s="537"/>
      <c r="J408" s="537"/>
      <c r="L408" s="553">
        <f>_xll.qlCalendarAdvance(Calendar,L407,"1M","f",,Trigger)</f>
        <v>54514</v>
      </c>
      <c r="M408" s="544">
        <f>_xll.qlCalendarAdvance(Calendar,L408,"3M","mf",,Trigger)</f>
        <v>54605</v>
      </c>
      <c r="N408" s="546" t="str">
        <f>_xll.qlMakeDatedOIS(,L408,M408,"eonia",,,,,Trigger)</f>
        <v>obj_009cd#0002</v>
      </c>
      <c r="O408" s="545">
        <f>_xll.qlIndexFixing("euribor3m",_xll.qlInterestRateIndexFixingDate("Euribor3M",L408),TRUE)</f>
        <v>2.1620825734034066E-2</v>
      </c>
      <c r="P408" s="545">
        <f>_xll.qlOvernightIndexedSwapFairRate(N408,Trigger)</f>
        <v>2.1025359763904319E-2</v>
      </c>
      <c r="Q408" s="547">
        <f t="shared" si="8"/>
        <v>5.9546597012974725E-4</v>
      </c>
    </row>
    <row r="409" spans="5:17" x14ac:dyDescent="0.2">
      <c r="E409" s="538"/>
      <c r="F409" s="538"/>
      <c r="G409" s="537"/>
      <c r="I409" s="537"/>
      <c r="J409" s="537"/>
      <c r="L409" s="553">
        <f>_xll.qlCalendarAdvance(Calendar,L408,"1M","f",,Trigger)</f>
        <v>54546</v>
      </c>
      <c r="M409" s="544">
        <f>_xll.qlCalendarAdvance(Calendar,L409,"3M","mf",,Trigger)</f>
        <v>54638</v>
      </c>
      <c r="N409" s="546" t="str">
        <f>_xll.qlMakeDatedOIS(,L409,M409,"eonia",,,,,Trigger)</f>
        <v>obj_009cf#0002</v>
      </c>
      <c r="O409" s="545">
        <f>_xll.qlIndexFixing("euribor3m",_xll.qlInterestRateIndexFixingDate("Euribor3M",L409),TRUE)</f>
        <v>2.162513282479599E-2</v>
      </c>
      <c r="P409" s="545">
        <f>_xll.qlOvernightIndexedSwapFairRate(N409,Trigger)</f>
        <v>2.1025972671188838E-2</v>
      </c>
      <c r="Q409" s="547">
        <f t="shared" si="8"/>
        <v>5.9916015360715266E-4</v>
      </c>
    </row>
    <row r="410" spans="5:17" x14ac:dyDescent="0.2">
      <c r="E410" s="538"/>
      <c r="F410" s="538"/>
      <c r="G410" s="537"/>
      <c r="I410" s="537"/>
      <c r="J410" s="537"/>
      <c r="L410" s="553">
        <f>_xll.qlCalendarAdvance(Calendar,L409,"1M","f",,Trigger)</f>
        <v>54577</v>
      </c>
      <c r="M410" s="544">
        <f>_xll.qlCalendarAdvance(Calendar,L410,"3M","mf",,Trigger)</f>
        <v>54669</v>
      </c>
      <c r="N410" s="546" t="str">
        <f>_xll.qlMakeDatedOIS(,L410,M410,"eonia",,,,,Trigger)</f>
        <v>obj_009d1#0002</v>
      </c>
      <c r="O410" s="545">
        <f>_xll.qlIndexFixing("euribor3m",_xll.qlInterestRateIndexFixingDate("Euribor3M",L410),TRUE)</f>
        <v>2.1628130188474117E-2</v>
      </c>
      <c r="P410" s="545">
        <f>_xll.qlOvernightIndexedSwapFairRate(N410,Trigger)</f>
        <v>2.1025972671187963E-2</v>
      </c>
      <c r="Q410" s="547">
        <f t="shared" si="8"/>
        <v>6.0215751728615388E-4</v>
      </c>
    </row>
    <row r="411" spans="5:17" x14ac:dyDescent="0.2">
      <c r="E411" s="538"/>
      <c r="F411" s="538"/>
      <c r="G411" s="537"/>
      <c r="I411" s="537"/>
      <c r="J411" s="537"/>
      <c r="L411" s="553">
        <f>_xll.qlCalendarAdvance(Calendar,L410,"1M","f",,Trigger)</f>
        <v>54609</v>
      </c>
      <c r="M411" s="544">
        <f>_xll.qlCalendarAdvance(Calendar,L411,"3M","mf",,Trigger)</f>
        <v>54701</v>
      </c>
      <c r="N411" s="546" t="str">
        <f>_xll.qlMakeDatedOIS(,L411,M411,"eonia",,,,,Trigger)</f>
        <v>obj_009d3#0002</v>
      </c>
      <c r="O411" s="545">
        <f>_xll.qlIndexFixing("euribor3m",_xll.qlInterestRateIndexFixingDate("Euribor3M",L411),TRUE)</f>
        <v>2.1630715826426561E-2</v>
      </c>
      <c r="P411" s="545">
        <f>_xll.qlOvernightIndexedSwapFairRate(N411,Trigger)</f>
        <v>2.1025972671187963E-2</v>
      </c>
      <c r="Q411" s="547">
        <f t="shared" si="8"/>
        <v>6.0474315523859762E-4</v>
      </c>
    </row>
    <row r="412" spans="5:17" x14ac:dyDescent="0.2">
      <c r="E412" s="538"/>
      <c r="F412" s="538"/>
      <c r="G412" s="537"/>
      <c r="I412" s="537"/>
      <c r="J412" s="537"/>
      <c r="L412" s="553">
        <f>_xll.qlCalendarAdvance(Calendar,L411,"1M","f",,Trigger)</f>
        <v>54640</v>
      </c>
      <c r="M412" s="544">
        <f>_xll.qlCalendarAdvance(Calendar,L412,"3M","mf",,Trigger)</f>
        <v>54732</v>
      </c>
      <c r="N412" s="546" t="str">
        <f>_xll.qlMakeDatedOIS(,L412,M412,"eonia",,,,,Trigger)</f>
        <v>obj_009d5#0002</v>
      </c>
      <c r="O412" s="545">
        <f>_xll.qlIndexFixing("euribor3m",_xll.qlInterestRateIndexFixingDate("Euribor3M",L412),TRUE)</f>
        <v>2.1632728135331285E-2</v>
      </c>
      <c r="P412" s="545">
        <f>_xll.qlOvernightIndexedSwapFairRate(N412,Trigger)</f>
        <v>2.1025972671188834E-2</v>
      </c>
      <c r="Q412" s="547">
        <f t="shared" si="8"/>
        <v>6.0675546414245066E-4</v>
      </c>
    </row>
    <row r="413" spans="5:17" x14ac:dyDescent="0.2">
      <c r="E413" s="538"/>
      <c r="F413" s="538"/>
      <c r="G413" s="537"/>
      <c r="I413" s="537"/>
      <c r="J413" s="537"/>
      <c r="L413" s="553">
        <f>_xll.qlCalendarAdvance(Calendar,L412,"1M","f",,Trigger)</f>
        <v>54672</v>
      </c>
      <c r="M413" s="544">
        <f>_xll.qlCalendarAdvance(Calendar,L413,"3M","mf",,Trigger)</f>
        <v>54763</v>
      </c>
      <c r="N413" s="546" t="str">
        <f>_xll.qlMakeDatedOIS(,L413,M413,"eonia",,,,,Trigger)</f>
        <v>obj_009d7#0002</v>
      </c>
      <c r="O413" s="545">
        <f>_xll.qlIndexFixing("euribor3m",_xll.qlInterestRateIndexFixingDate("Euribor3M",L413),TRUE)</f>
        <v>2.1633631395337284E-2</v>
      </c>
      <c r="P413" s="545">
        <f>_xll.qlOvernightIndexedSwapFairRate(N413,Trigger)</f>
        <v>2.1025359763904319E-2</v>
      </c>
      <c r="Q413" s="547">
        <f t="shared" si="8"/>
        <v>6.0827163143296545E-4</v>
      </c>
    </row>
    <row r="414" spans="5:17" x14ac:dyDescent="0.2">
      <c r="E414" s="538"/>
      <c r="F414" s="538"/>
      <c r="G414" s="537"/>
      <c r="I414" s="537"/>
      <c r="J414" s="537"/>
      <c r="L414" s="553">
        <f>_xll.qlCalendarAdvance(Calendar,L413,"1M","f",,Trigger)</f>
        <v>54702</v>
      </c>
      <c r="M414" s="544">
        <f>_xll.qlCalendarAdvance(Calendar,L414,"3M","mf",,Trigger)</f>
        <v>54794</v>
      </c>
      <c r="N414" s="546" t="str">
        <f>_xll.qlMakeDatedOIS(,L414,M414,"eonia",,,,,Trigger)</f>
        <v>obj_009d9#0002</v>
      </c>
      <c r="O414" s="545">
        <f>_xll.qlIndexFixing("euribor3m",_xll.qlInterestRateIndexFixingDate("Euribor3M",L414),TRUE)</f>
        <v>2.1635298620432581E-2</v>
      </c>
      <c r="P414" s="545">
        <f>_xll.qlOvernightIndexedSwapFairRate(N414,Trigger)</f>
        <v>2.1025972671188834E-2</v>
      </c>
      <c r="Q414" s="547">
        <f t="shared" si="8"/>
        <v>6.0932594924374694E-4</v>
      </c>
    </row>
    <row r="415" spans="5:17" x14ac:dyDescent="0.2">
      <c r="E415" s="538"/>
      <c r="F415" s="538"/>
      <c r="G415" s="537"/>
      <c r="I415" s="537"/>
      <c r="J415" s="537"/>
      <c r="L415" s="553">
        <f>_xll.qlCalendarAdvance(Calendar,L414,"1M","f",,Trigger)</f>
        <v>54735</v>
      </c>
      <c r="M415" s="544">
        <f>_xll.qlCalendarAdvance(Calendar,L415,"3M","mf",,Trigger)</f>
        <v>54827</v>
      </c>
      <c r="N415" s="546" t="str">
        <f>_xll.qlMakeDatedOIS(,L415,M415,"eonia",,,,,Trigger)</f>
        <v>obj_009db#0002</v>
      </c>
      <c r="O415" s="545">
        <f>_xll.qlIndexFixing("euribor3m",_xll.qlInterestRateIndexFixingDate("Euribor3M",L415),TRUE)</f>
        <v>2.16358761623573E-2</v>
      </c>
      <c r="P415" s="545">
        <f>_xll.qlOvernightIndexedSwapFairRate(N415,Trigger)</f>
        <v>2.1025972671187963E-2</v>
      </c>
      <c r="Q415" s="547">
        <f t="shared" si="8"/>
        <v>6.0990349116933629E-4</v>
      </c>
    </row>
    <row r="416" spans="5:17" x14ac:dyDescent="0.2">
      <c r="E416" s="538"/>
      <c r="F416" s="538"/>
      <c r="G416" s="537"/>
      <c r="I416" s="537"/>
      <c r="J416" s="537"/>
      <c r="L416" s="553">
        <f>_xll.qlCalendarAdvance(Calendar,L415,"1M","f",,Trigger)</f>
        <v>54765</v>
      </c>
      <c r="M416" s="544">
        <f>_xll.qlCalendarAdvance(Calendar,L416,"3M","mf",,Trigger)</f>
        <v>54855</v>
      </c>
      <c r="N416" s="546" t="str">
        <f>_xll.qlMakeDatedOIS(,L416,M416,"eonia",,,,,Trigger)</f>
        <v>obj_009dd#0002</v>
      </c>
      <c r="O416" s="545">
        <f>_xll.qlIndexFixing("euribor3m",_xll.qlInterestRateIndexFixingDate("Euribor3M",L416),TRUE)</f>
        <v>2.1634640034572605E-2</v>
      </c>
      <c r="P416" s="545">
        <f>_xll.qlOvernightIndexedSwapFairRate(N416,Trigger)</f>
        <v>2.1024746880430989E-2</v>
      </c>
      <c r="Q416" s="547">
        <f t="shared" si="8"/>
        <v>6.0989315414161638E-4</v>
      </c>
    </row>
    <row r="417" spans="5:17" x14ac:dyDescent="0.2">
      <c r="E417" s="538"/>
      <c r="F417" s="538"/>
      <c r="G417" s="537"/>
      <c r="I417" s="537"/>
      <c r="J417" s="537"/>
      <c r="L417" s="553">
        <f>_xll.qlCalendarAdvance(Calendar,L416,"1M","f",,Trigger)</f>
        <v>54798</v>
      </c>
      <c r="M417" s="544">
        <f>_xll.qlCalendarAdvance(Calendar,L417,"3M","mf",,Trigger)</f>
        <v>54890</v>
      </c>
      <c r="N417" s="546" t="str">
        <f>_xll.qlMakeDatedOIS(,L417,M417,"eonia",,,,,Trigger)</f>
        <v>obj_009df#0002</v>
      </c>
      <c r="O417" s="545">
        <f>_xll.qlIndexFixing("euribor3m",_xll.qlInterestRateIndexFixingDate("Euribor3M",L417),TRUE)</f>
        <v>2.1635453488780289E-2</v>
      </c>
      <c r="P417" s="545">
        <f>_xll.qlOvernightIndexedSwapFairRate(N417,Trigger)</f>
        <v>2.1025972671187963E-2</v>
      </c>
      <c r="Q417" s="547">
        <f t="shared" si="8"/>
        <v>6.0948081759232622E-4</v>
      </c>
    </row>
    <row r="418" spans="5:17" x14ac:dyDescent="0.2">
      <c r="E418" s="538"/>
      <c r="F418" s="538"/>
      <c r="G418" s="537"/>
      <c r="I418" s="537"/>
      <c r="J418" s="537"/>
      <c r="L418" s="553">
        <f>_xll.qlCalendarAdvance(Calendar,L417,"1M","f",,Trigger)</f>
        <v>54829</v>
      </c>
      <c r="M418" s="544">
        <f>_xll.qlCalendarAdvance(Calendar,L418,"3M","mf",,Trigger)</f>
        <v>54918</v>
      </c>
      <c r="N418" s="546" t="str">
        <f>_xll.qlMakeDatedOIS(,L418,M418,"eonia",,,,,Trigger)</f>
        <v>obj_009e1#0002</v>
      </c>
      <c r="O418" s="545">
        <f>_xll.qlIndexFixing("euribor3m",_xll.qlInterestRateIndexFixingDate("Euribor3M",L418),TRUE)</f>
        <v>2.1632632286507612E-2</v>
      </c>
      <c r="P418" s="545">
        <f>_xll.qlOvernightIndexedSwapFairRate(N418,Trigger)</f>
        <v>2.1024134020768515E-2</v>
      </c>
      <c r="Q418" s="547">
        <f t="shared" si="8"/>
        <v>6.0849826573909638E-4</v>
      </c>
    </row>
    <row r="419" spans="5:17" x14ac:dyDescent="0.2">
      <c r="E419" s="538"/>
      <c r="F419" s="538"/>
      <c r="G419" s="537"/>
      <c r="I419" s="537"/>
      <c r="J419" s="537"/>
      <c r="L419" s="553">
        <f>_xll.qlCalendarAdvance(Calendar,L418,"1M","f",,Trigger)</f>
        <v>54857</v>
      </c>
      <c r="M419" s="544">
        <f>_xll.qlCalendarAdvance(Calendar,L419,"3M","mf",,Trigger)</f>
        <v>54949</v>
      </c>
      <c r="N419" s="546" t="str">
        <f>_xll.qlMakeDatedOIS(,L419,M419,"eonia",,,,,Trigger)</f>
        <v>obj_009e3#0002</v>
      </c>
      <c r="O419" s="545">
        <f>_xll.qlIndexFixing("euribor3m",_xll.qlInterestRateIndexFixingDate("Euribor3M",L419),TRUE)</f>
        <v>2.1633242378605335E-2</v>
      </c>
      <c r="P419" s="545">
        <f>_xll.qlOvernightIndexedSwapFairRate(N419,Trigger)</f>
        <v>2.1025972671187963E-2</v>
      </c>
      <c r="Q419" s="547">
        <f t="shared" si="8"/>
        <v>6.0726970741737177E-4</v>
      </c>
    </row>
    <row r="420" spans="5:17" x14ac:dyDescent="0.2">
      <c r="E420" s="538"/>
      <c r="F420" s="538"/>
      <c r="G420" s="537"/>
      <c r="I420" s="537"/>
      <c r="J420" s="537"/>
      <c r="L420" s="553">
        <f>_xll.qlCalendarAdvance(Calendar,L419,"1M","f",,Trigger)</f>
        <v>54890</v>
      </c>
      <c r="M420" s="544">
        <f>_xll.qlCalendarAdvance(Calendar,L420,"3M","mf",,Trigger)</f>
        <v>54981</v>
      </c>
      <c r="N420" s="546" t="str">
        <f>_xll.qlMakeDatedOIS(,L420,M420,"eonia",,,,,Trigger)</f>
        <v>obj_009e5#0002</v>
      </c>
      <c r="O420" s="545">
        <f>_xll.qlIndexFixing("euribor3m",_xll.qlInterestRateIndexFixingDate("Euribor3M",L420),TRUE)</f>
        <v>2.1630629616313256E-2</v>
      </c>
      <c r="P420" s="545">
        <f>_xll.qlOvernightIndexedSwapFairRate(N420,Trigger)</f>
        <v>2.1025359763904319E-2</v>
      </c>
      <c r="Q420" s="547">
        <f t="shared" si="8"/>
        <v>6.0526985240893713E-4</v>
      </c>
    </row>
    <row r="421" spans="5:17" x14ac:dyDescent="0.2">
      <c r="E421" s="538"/>
      <c r="F421" s="538"/>
      <c r="G421" s="537"/>
      <c r="I421" s="537"/>
      <c r="J421" s="537"/>
      <c r="L421" s="553">
        <f>_xll.qlCalendarAdvance(Calendar,L420,"1M","f",,Trigger)</f>
        <v>54920</v>
      </c>
      <c r="M421" s="544">
        <f>_xll.qlCalendarAdvance(Calendar,L421,"3M","mf",,Trigger)</f>
        <v>55012</v>
      </c>
      <c r="N421" s="546" t="str">
        <f>_xll.qlMakeDatedOIS(,L421,M421,"eonia",,,,,Trigger)</f>
        <v>obj_009e7#0002</v>
      </c>
      <c r="O421" s="545">
        <f>_xll.qlIndexFixing("euribor3m",_xll.qlInterestRateIndexFixingDate("Euribor3M",L421),TRUE)</f>
        <v>2.1628943023699332E-2</v>
      </c>
      <c r="P421" s="545">
        <f>_xll.qlOvernightIndexedSwapFairRate(N421,Trigger)</f>
        <v>2.1025972671188834E-2</v>
      </c>
      <c r="Q421" s="547">
        <f t="shared" si="8"/>
        <v>6.0297035251049777E-4</v>
      </c>
    </row>
    <row r="422" spans="5:17" x14ac:dyDescent="0.2">
      <c r="E422" s="538"/>
      <c r="F422" s="538"/>
      <c r="G422" s="537"/>
      <c r="I422" s="537"/>
      <c r="J422" s="537"/>
      <c r="L422" s="553">
        <f>_xll.qlCalendarAdvance(Calendar,L421,"1M","f",,Trigger)</f>
        <v>54952</v>
      </c>
      <c r="M422" s="544">
        <f>_xll.qlCalendarAdvance(Calendar,L422,"3M","mf",,Trigger)</f>
        <v>55044</v>
      </c>
      <c r="N422" s="546" t="str">
        <f>_xll.qlMakeDatedOIS(,L422,M422,"eonia",,,,,Trigger)</f>
        <v>obj_009e9#0002</v>
      </c>
      <c r="O422" s="545">
        <f>_xll.qlIndexFixing("euribor3m",_xll.qlInterestRateIndexFixingDate("Euribor3M",L422),TRUE)</f>
        <v>2.1625992566110652E-2</v>
      </c>
      <c r="P422" s="545">
        <f>_xll.qlOvernightIndexedSwapFairRate(N422,Trigger)</f>
        <v>2.1025972671187963E-2</v>
      </c>
      <c r="Q422" s="547">
        <f t="shared" si="8"/>
        <v>6.0001989492268828E-4</v>
      </c>
    </row>
    <row r="423" spans="5:17" x14ac:dyDescent="0.2">
      <c r="E423" s="538"/>
      <c r="F423" s="538"/>
      <c r="G423" s="537"/>
      <c r="I423" s="537"/>
      <c r="J423" s="537"/>
      <c r="L423" s="553">
        <f>_xll.qlCalendarAdvance(Calendar,L422,"1M","f",,Trigger)</f>
        <v>54982</v>
      </c>
      <c r="M423" s="544">
        <f>_xll.qlCalendarAdvance(Calendar,L423,"3M","mf",,Trigger)</f>
        <v>55074</v>
      </c>
      <c r="N423" s="546" t="str">
        <f>_xll.qlMakeDatedOIS(,L423,M423,"eonia",,,,,Trigger)</f>
        <v>obj_009eb#0002</v>
      </c>
      <c r="O423" s="545">
        <f>_xll.qlIndexFixing("euribor3m",_xll.qlInterestRateIndexFixingDate("Euribor3M",L423),TRUE)</f>
        <v>2.1622757439623084E-2</v>
      </c>
      <c r="P423" s="545">
        <f>_xll.qlOvernightIndexedSwapFairRate(N423,Trigger)</f>
        <v>2.1025972671188834E-2</v>
      </c>
      <c r="Q423" s="547">
        <f t="shared" si="8"/>
        <v>5.9678476843424977E-4</v>
      </c>
    </row>
    <row r="424" spans="5:17" x14ac:dyDescent="0.2">
      <c r="E424" s="538"/>
      <c r="F424" s="538"/>
      <c r="G424" s="537"/>
      <c r="I424" s="537"/>
      <c r="J424" s="537"/>
      <c r="L424" s="553">
        <f>_xll.qlCalendarAdvance(Calendar,L423,"1M","f",,Trigger)</f>
        <v>55015</v>
      </c>
      <c r="M424" s="544">
        <f>_xll.qlCalendarAdvance(Calendar,L424,"3M","mf",,Trigger)</f>
        <v>55107</v>
      </c>
      <c r="N424" s="546" t="str">
        <f>_xll.qlMakeDatedOIS(,L424,M424,"eonia",,,,,Trigger)</f>
        <v>obj_009ed#0002</v>
      </c>
      <c r="O424" s="545">
        <f>_xll.qlIndexFixing("euribor3m",_xll.qlInterestRateIndexFixingDate("Euribor3M",L424),TRUE)</f>
        <v>2.161867449984985E-2</v>
      </c>
      <c r="P424" s="545">
        <f>_xll.qlOvernightIndexedSwapFairRate(N424,Trigger)</f>
        <v>2.1025972671188834E-2</v>
      </c>
      <c r="Q424" s="547">
        <f t="shared" si="8"/>
        <v>5.9270182866101584E-4</v>
      </c>
    </row>
    <row r="425" spans="5:17" x14ac:dyDescent="0.2">
      <c r="E425" s="538"/>
      <c r="F425" s="538"/>
      <c r="G425" s="537"/>
      <c r="I425" s="537"/>
      <c r="J425" s="537"/>
      <c r="L425" s="553">
        <f>_xll.qlCalendarAdvance(Calendar,L424,"1M","f",,Trigger)</f>
        <v>55046</v>
      </c>
      <c r="M425" s="544">
        <f>_xll.qlCalendarAdvance(Calendar,L425,"3M","mf",,Trigger)</f>
        <v>55137</v>
      </c>
      <c r="N425" s="546" t="str">
        <f>_xll.qlMakeDatedOIS(,L425,M425,"eonia",,,,,Trigger)</f>
        <v>obj_009ef#0002</v>
      </c>
      <c r="O425" s="545">
        <f>_xll.qlIndexFixing("euribor3m",_xll.qlInterestRateIndexFixingDate("Euribor3M",L425),TRUE)</f>
        <v>2.1613768633345624E-2</v>
      </c>
      <c r="P425" s="545">
        <f>_xll.qlOvernightIndexedSwapFairRate(N425,Trigger)</f>
        <v>2.1025359763903437E-2</v>
      </c>
      <c r="Q425" s="547">
        <f t="shared" si="8"/>
        <v>5.8840886944218698E-4</v>
      </c>
    </row>
    <row r="426" spans="5:17" x14ac:dyDescent="0.2">
      <c r="E426" s="538"/>
      <c r="F426" s="538"/>
      <c r="G426" s="537"/>
      <c r="I426" s="537"/>
      <c r="J426" s="537"/>
      <c r="L426" s="553">
        <f>_xll.qlCalendarAdvance(Calendar,L425,"1M","f",,Trigger)</f>
        <v>55078</v>
      </c>
      <c r="M426" s="544">
        <f>_xll.qlCalendarAdvance(Calendar,L426,"3M","mf",,Trigger)</f>
        <v>55170</v>
      </c>
      <c r="N426" s="546" t="str">
        <f>_xll.qlMakeDatedOIS(,L426,M426,"eonia",,,,,Trigger)</f>
        <v>obj_009f1#0002</v>
      </c>
      <c r="O426" s="545">
        <f>_xll.qlIndexFixing("euribor3m",_xll.qlInterestRateIndexFixingDate("Euribor3M",L426),TRUE)</f>
        <v>2.1609354564678409E-2</v>
      </c>
      <c r="P426" s="545">
        <f>_xll.qlOvernightIndexedSwapFairRate(N426,Trigger)</f>
        <v>2.1025972671187967E-2</v>
      </c>
      <c r="Q426" s="547">
        <f t="shared" si="8"/>
        <v>5.8338189349044223E-4</v>
      </c>
    </row>
    <row r="427" spans="5:17" x14ac:dyDescent="0.2">
      <c r="E427" s="538"/>
      <c r="F427" s="538"/>
      <c r="G427" s="537"/>
      <c r="I427" s="537"/>
      <c r="J427" s="537"/>
      <c r="L427" s="553">
        <f>_xll.qlCalendarAdvance(Calendar,L426,"1M","f",,Trigger)</f>
        <v>55109</v>
      </c>
      <c r="M427" s="544">
        <f>_xll.qlCalendarAdvance(Calendar,L427,"3M","mf",,Trigger)</f>
        <v>55201</v>
      </c>
      <c r="N427" s="546" t="str">
        <f>_xll.qlMakeDatedOIS(,L427,M427,"eonia",,,,,Trigger)</f>
        <v>obj_009f3#0002</v>
      </c>
      <c r="O427" s="545">
        <f>_xll.qlIndexFixing("euribor3m",_xll.qlInterestRateIndexFixingDate("Euribor3M",L427),TRUE)</f>
        <v>2.1604033693012531E-2</v>
      </c>
      <c r="P427" s="545">
        <f>_xll.qlOvernightIndexedSwapFairRate(N427,Trigger)</f>
        <v>2.1025972671188838E-2</v>
      </c>
      <c r="Q427" s="547">
        <f t="shared" si="8"/>
        <v>5.780610218236934E-4</v>
      </c>
    </row>
    <row r="428" spans="5:17" x14ac:dyDescent="0.2">
      <c r="E428" s="538"/>
      <c r="F428" s="538"/>
      <c r="G428" s="537"/>
      <c r="I428" s="537"/>
      <c r="J428" s="537"/>
      <c r="L428" s="553">
        <f>_xll.qlCalendarAdvance(Calendar,L427,"1M","f",,Trigger)</f>
        <v>55141</v>
      </c>
      <c r="M428" s="544">
        <f>_xll.qlCalendarAdvance(Calendar,L428,"3M","mf",,Trigger)</f>
        <v>55232</v>
      </c>
      <c r="N428" s="546" t="str">
        <f>_xll.qlMakeDatedOIS(,L428,M428,"eonia",,,,,Trigger)</f>
        <v>obj_009f5#0002</v>
      </c>
      <c r="O428" s="545">
        <f>_xll.qlIndexFixing("euribor3m",_xll.qlInterestRateIndexFixingDate("Euribor3M",L428),TRUE)</f>
        <v>2.1597487670527708E-2</v>
      </c>
      <c r="P428" s="545">
        <f>_xll.qlOvernightIndexedSwapFairRate(N428,Trigger)</f>
        <v>2.10253597639052E-2</v>
      </c>
      <c r="Q428" s="547">
        <f t="shared" si="8"/>
        <v>5.7212790662250837E-4</v>
      </c>
    </row>
    <row r="429" spans="5:17" x14ac:dyDescent="0.2">
      <c r="E429" s="538"/>
      <c r="F429" s="538"/>
      <c r="G429" s="537"/>
      <c r="I429" s="537"/>
      <c r="J429" s="537"/>
      <c r="L429" s="553">
        <f>_xll.qlCalendarAdvance(Calendar,L428,"1M","f",,Trigger)</f>
        <v>55172</v>
      </c>
      <c r="M429" s="544">
        <f>_xll.qlCalendarAdvance(Calendar,L429,"3M","mf",,Trigger)</f>
        <v>55262</v>
      </c>
      <c r="N429" s="546" t="str">
        <f>_xll.qlMakeDatedOIS(,L429,M429,"eonia",,,,,Trigger)</f>
        <v>obj_009f7#0002</v>
      </c>
      <c r="O429" s="545">
        <f>_xll.qlIndexFixing("euribor3m",_xll.qlInterestRateIndexFixingDate("Euribor3M",L429),TRUE)</f>
        <v>2.1590652894571072E-2</v>
      </c>
      <c r="P429" s="545">
        <f>_xll.qlOvernightIndexedSwapFairRate(N429,Trigger)</f>
        <v>2.1024746880430989E-2</v>
      </c>
      <c r="Q429" s="547">
        <f t="shared" si="8"/>
        <v>5.659060141400829E-4</v>
      </c>
    </row>
    <row r="430" spans="5:17" x14ac:dyDescent="0.2">
      <c r="E430" s="538"/>
      <c r="F430" s="538"/>
      <c r="G430" s="537"/>
      <c r="I430" s="537"/>
      <c r="J430" s="537"/>
      <c r="L430" s="553">
        <f>_xll.qlCalendarAdvance(Calendar,L429,"1M","f",,Trigger)</f>
        <v>55204</v>
      </c>
      <c r="M430" s="544">
        <f>_xll.qlCalendarAdvance(Calendar,L430,"3M","mf",,Trigger)</f>
        <v>55295</v>
      </c>
      <c r="N430" s="546" t="str">
        <f>_xll.qlMakeDatedOIS(,L430,M430,"eonia",,,,,Trigger)</f>
        <v>obj_009f9#0002</v>
      </c>
      <c r="O430" s="545">
        <f>_xll.qlIndexFixing("euribor3m",_xll.qlInterestRateIndexFixingDate("Euribor3M",L430),TRUE)</f>
        <v>2.1584180726710971E-2</v>
      </c>
      <c r="P430" s="545">
        <f>_xll.qlOvernightIndexedSwapFairRate(N430,Trigger)</f>
        <v>2.1025359763904315E-2</v>
      </c>
      <c r="Q430" s="547">
        <f t="shared" si="8"/>
        <v>5.5882096280665539E-4</v>
      </c>
    </row>
    <row r="431" spans="5:17" x14ac:dyDescent="0.2">
      <c r="E431" s="538"/>
      <c r="F431" s="538"/>
      <c r="G431" s="537"/>
      <c r="I431" s="537"/>
      <c r="J431" s="537"/>
      <c r="L431" s="553">
        <f>_xll.qlCalendarAdvance(Calendar,L430,"1M","f",,Trigger)</f>
        <v>55232</v>
      </c>
      <c r="M431" s="544">
        <f>_xll.qlCalendarAdvance(Calendar,L431,"3M","mf",,Trigger)</f>
        <v>55324</v>
      </c>
      <c r="N431" s="546" t="str">
        <f>_xll.qlMakeDatedOIS(,L431,M431,"eonia",,,,,Trigger)</f>
        <v>obj_009fb#0002</v>
      </c>
      <c r="O431" s="545">
        <f>_xll.qlIndexFixing("euribor3m",_xll.qlInterestRateIndexFixingDate("Euribor3M",L431),TRUE)</f>
        <v>2.1578144975566212E-2</v>
      </c>
      <c r="P431" s="545">
        <f>_xll.qlOvernightIndexedSwapFairRate(N431,Trigger)</f>
        <v>2.1025972671188834E-2</v>
      </c>
      <c r="Q431" s="547">
        <f t="shared" si="8"/>
        <v>5.5217230437737755E-4</v>
      </c>
    </row>
    <row r="432" spans="5:17" x14ac:dyDescent="0.2">
      <c r="E432" s="538"/>
      <c r="F432" s="538"/>
      <c r="G432" s="537"/>
      <c r="I432" s="537"/>
      <c r="J432" s="537"/>
      <c r="L432" s="553">
        <f>_xll.qlCalendarAdvance(Calendar,L431,"1M","f",,Trigger)</f>
        <v>55263</v>
      </c>
      <c r="M432" s="544">
        <f>_xll.qlCalendarAdvance(Calendar,L432,"3M","mf",,Trigger)</f>
        <v>55354</v>
      </c>
      <c r="N432" s="546" t="str">
        <f>_xll.qlMakeDatedOIS(,L432,M432,"eonia",,,,,Trigger)</f>
        <v>obj_009fd#0002</v>
      </c>
      <c r="O432" s="545">
        <f>_xll.qlIndexFixing("euribor3m",_xll.qlInterestRateIndexFixingDate("Euribor3M",L432),TRUE)</f>
        <v>2.1569903572920334E-2</v>
      </c>
      <c r="P432" s="545">
        <f>_xll.qlOvernightIndexedSwapFairRate(N432,Trigger)</f>
        <v>2.1025359763905196E-2</v>
      </c>
      <c r="Q432" s="547">
        <f t="shared" si="8"/>
        <v>5.4454380901513763E-4</v>
      </c>
    </row>
    <row r="433" spans="5:17" x14ac:dyDescent="0.2">
      <c r="E433" s="538"/>
      <c r="F433" s="538"/>
      <c r="G433" s="537"/>
      <c r="I433" s="537"/>
      <c r="J433" s="537"/>
      <c r="L433" s="553">
        <f>_xll.qlCalendarAdvance(Calendar,L432,"1M","f",,Trigger)</f>
        <v>55295</v>
      </c>
      <c r="M433" s="544">
        <f>_xll.qlCalendarAdvance(Calendar,L433,"3M","mf",,Trigger)</f>
        <v>55387</v>
      </c>
      <c r="N433" s="546" t="str">
        <f>_xll.qlMakeDatedOIS(,L433,M433,"eonia",,,,,Trigger)</f>
        <v>obj_009ff#0002</v>
      </c>
      <c r="O433" s="545">
        <f>_xll.qlIndexFixing("euribor3m",_xll.qlInterestRateIndexFixingDate("Euribor3M",L433),TRUE)</f>
        <v>2.1561929842093749E-2</v>
      </c>
      <c r="P433" s="545">
        <f>_xll.qlOvernightIndexedSwapFairRate(N433,Trigger)</f>
        <v>2.1025972671188834E-2</v>
      </c>
      <c r="Q433" s="547">
        <f t="shared" si="8"/>
        <v>5.3595717090491532E-4</v>
      </c>
    </row>
    <row r="434" spans="5:17" x14ac:dyDescent="0.2">
      <c r="E434" s="538"/>
      <c r="F434" s="538"/>
      <c r="G434" s="537"/>
      <c r="I434" s="537"/>
      <c r="J434" s="537"/>
      <c r="L434" s="553">
        <f>_xll.qlCalendarAdvance(Calendar,L433,"1M","f",,Trigger)</f>
        <v>55326</v>
      </c>
      <c r="M434" s="544">
        <f>_xll.qlCalendarAdvance(Calendar,L434,"3M","mf",,Trigger)</f>
        <v>55418</v>
      </c>
      <c r="N434" s="546" t="str">
        <f>_xll.qlMakeDatedOIS(,L434,M434,"eonia",,,,,Trigger)</f>
        <v>obj_00a01#0002</v>
      </c>
      <c r="O434" s="545">
        <f>_xll.qlIndexFixing("euribor3m",_xll.qlInterestRateIndexFixingDate("Euribor3M",L434),TRUE)</f>
        <v>2.1553216120992553E-2</v>
      </c>
      <c r="P434" s="545">
        <f>_xll.qlOvernightIndexedSwapFairRate(N434,Trigger)</f>
        <v>2.102597267118797E-2</v>
      </c>
      <c r="Q434" s="547">
        <f t="shared" si="8"/>
        <v>5.2724344980458263E-4</v>
      </c>
    </row>
    <row r="435" spans="5:17" x14ac:dyDescent="0.2">
      <c r="E435" s="538"/>
      <c r="F435" s="538"/>
      <c r="G435" s="537"/>
      <c r="I435" s="537"/>
      <c r="J435" s="537"/>
      <c r="L435" s="553">
        <f>_xll.qlCalendarAdvance(Calendar,L434,"1M","f",,Trigger)</f>
        <v>55358</v>
      </c>
      <c r="M435" s="544">
        <f>_xll.qlCalendarAdvance(Calendar,L435,"3M","mf",,Trigger)</f>
        <v>55450</v>
      </c>
      <c r="N435" s="546" t="str">
        <f>_xll.qlMakeDatedOIS(,L435,M435,"eonia",,,,,Trigger)</f>
        <v>obj_00a03#0002</v>
      </c>
      <c r="O435" s="545">
        <f>_xll.qlIndexFixing("euribor3m",_xll.qlInterestRateIndexFixingDate("Euribor3M",L435),TRUE)</f>
        <v>2.1543712926323972E-2</v>
      </c>
      <c r="P435" s="545">
        <f>_xll.qlOvernightIndexedSwapFairRate(N435,Trigger)</f>
        <v>2.1025972671187967E-2</v>
      </c>
      <c r="Q435" s="547">
        <f t="shared" si="8"/>
        <v>5.1774025513600525E-4</v>
      </c>
    </row>
    <row r="436" spans="5:17" x14ac:dyDescent="0.2">
      <c r="E436" s="538"/>
      <c r="F436" s="538"/>
      <c r="G436" s="537"/>
      <c r="I436" s="537"/>
      <c r="J436" s="537"/>
      <c r="L436" s="553">
        <f>_xll.qlCalendarAdvance(Calendar,L435,"1M","f",,Trigger)</f>
        <v>55389</v>
      </c>
      <c r="M436" s="544">
        <f>_xll.qlCalendarAdvance(Calendar,L436,"3M","mf",,Trigger)</f>
        <v>55481</v>
      </c>
      <c r="N436" s="546" t="str">
        <f>_xll.qlMakeDatedOIS(,L436,M436,"eonia",,,,,Trigger)</f>
        <v>obj_00a05#0002</v>
      </c>
      <c r="O436" s="545">
        <f>_xll.qlIndexFixing("euribor3m",_xll.qlInterestRateIndexFixingDate("Euribor3M",L436),TRUE)</f>
        <v>2.1534014211251173E-2</v>
      </c>
      <c r="P436" s="545">
        <f>_xll.qlOvernightIndexedSwapFairRate(N436,Trigger)</f>
        <v>2.1025972671188838E-2</v>
      </c>
      <c r="Q436" s="547">
        <f t="shared" si="8"/>
        <v>5.0804154006233587E-4</v>
      </c>
    </row>
    <row r="437" spans="5:17" x14ac:dyDescent="0.2">
      <c r="E437" s="538"/>
      <c r="F437" s="538"/>
      <c r="G437" s="537"/>
      <c r="I437" s="537"/>
      <c r="J437" s="537"/>
      <c r="L437" s="553">
        <f>_xll.qlCalendarAdvance(Calendar,L436,"1M","f",,Trigger)</f>
        <v>55421</v>
      </c>
      <c r="M437" s="544">
        <f>_xll.qlCalendarAdvance(Calendar,L437,"3M","mf",,Trigger)</f>
        <v>55514</v>
      </c>
      <c r="N437" s="546" t="str">
        <f>_xll.qlMakeDatedOIS(,L437,M437,"eonia",,,,,Trigger)</f>
        <v>obj_00a07#0002</v>
      </c>
      <c r="O437" s="545">
        <f>_xll.qlIndexFixing("euribor3m",_xll.qlInterestRateIndexFixingDate("Euribor3M",L437),TRUE)</f>
        <v>2.1523964139967353E-2</v>
      </c>
      <c r="P437" s="545">
        <f>_xll.qlOvernightIndexedSwapFairRate(N437,Trigger)</f>
        <v>2.1026585602284844E-2</v>
      </c>
      <c r="Q437" s="547">
        <f t="shared" si="8"/>
        <v>4.9737853768250934E-4</v>
      </c>
    </row>
    <row r="438" spans="5:17" x14ac:dyDescent="0.2">
      <c r="E438" s="538"/>
      <c r="F438" s="538"/>
      <c r="G438" s="537"/>
      <c r="I438" s="537"/>
      <c r="J438" s="537"/>
      <c r="L438" s="553">
        <f>_xll.qlCalendarAdvance(Calendar,L437,"1M","f",,Trigger)</f>
        <v>55451</v>
      </c>
      <c r="M438" s="544">
        <f>_xll.qlCalendarAdvance(Calendar,L438,"3M","mf",,Trigger)</f>
        <v>55543</v>
      </c>
      <c r="N438" s="546" t="str">
        <f>_xll.qlMakeDatedOIS(,L438,M438,"eonia",,,,,Trigger)</f>
        <v>obj_00a09#0002</v>
      </c>
      <c r="O438" s="545">
        <f>_xll.qlIndexFixing("euribor3m",_xll.qlInterestRateIndexFixingDate("Euribor3M",L438),TRUE)</f>
        <v>2.1513162762172494E-2</v>
      </c>
      <c r="P438" s="545">
        <f>_xll.qlOvernightIndexedSwapFairRate(N438,Trigger)</f>
        <v>2.1025972671188838E-2</v>
      </c>
      <c r="Q438" s="547">
        <f t="shared" si="8"/>
        <v>4.8719009098365657E-4</v>
      </c>
    </row>
    <row r="439" spans="5:17" x14ac:dyDescent="0.2">
      <c r="E439" s="538"/>
      <c r="F439" s="538"/>
      <c r="G439" s="537"/>
      <c r="I439" s="537"/>
      <c r="J439" s="537"/>
      <c r="L439" s="553">
        <f>_xll.qlCalendarAdvance(Calendar,L438,"1M","f",,Trigger)</f>
        <v>55484</v>
      </c>
      <c r="M439" s="544">
        <f>_xll.qlCalendarAdvance(Calendar,L439,"3M","mf",,Trigger)</f>
        <v>55576</v>
      </c>
      <c r="N439" s="546" t="str">
        <f>_xll.qlMakeDatedOIS(,L439,M439,"eonia",,,,,Trigger)</f>
        <v>obj_00a0b#0002</v>
      </c>
      <c r="O439" s="545">
        <f>_xll.qlIndexFixing("euribor3m",_xll.qlInterestRateIndexFixingDate("Euribor3M",L439),TRUE)</f>
        <v>2.1501273862164542E-2</v>
      </c>
      <c r="P439" s="545">
        <f>_xll.qlOvernightIndexedSwapFairRate(N439,Trigger)</f>
        <v>2.1025972671187967E-2</v>
      </c>
      <c r="Q439" s="547">
        <f t="shared" si="8"/>
        <v>4.7530119097657572E-4</v>
      </c>
    </row>
    <row r="440" spans="5:17" x14ac:dyDescent="0.2">
      <c r="E440" s="538"/>
      <c r="F440" s="538"/>
      <c r="G440" s="537"/>
      <c r="I440" s="537"/>
      <c r="J440" s="537"/>
      <c r="L440" s="553">
        <f>_xll.qlCalendarAdvance(Calendar,L439,"1M","f",,Trigger)</f>
        <v>55514</v>
      </c>
      <c r="M440" s="544">
        <f>_xll.qlCalendarAdvance(Calendar,L440,"3M","mf",,Trigger)</f>
        <v>55605</v>
      </c>
      <c r="N440" s="546" t="str">
        <f>_xll.qlMakeDatedOIS(,L440,M440,"eonia",,,,,Trigger)</f>
        <v>obj_00a0d#0002</v>
      </c>
      <c r="O440" s="545">
        <f>_xll.qlIndexFixing("euribor3m",_xll.qlInterestRateIndexFixingDate("Euribor3M",L440),TRUE)</f>
        <v>2.148954457742731E-2</v>
      </c>
      <c r="P440" s="545">
        <f>_xll.qlOvernightIndexedSwapFairRate(N440,Trigger)</f>
        <v>2.1025359763904322E-2</v>
      </c>
      <c r="Q440" s="547">
        <f t="shared" si="8"/>
        <v>4.6418481352298799E-4</v>
      </c>
    </row>
    <row r="441" spans="5:17" x14ac:dyDescent="0.2">
      <c r="E441" s="538"/>
      <c r="F441" s="538"/>
      <c r="G441" s="537"/>
      <c r="I441" s="537"/>
      <c r="J441" s="537"/>
      <c r="L441" s="553">
        <f>_xll.qlCalendarAdvance(Calendar,L440,"1M","f",,Trigger)</f>
        <v>55547</v>
      </c>
      <c r="M441" s="544">
        <f>_xll.qlCalendarAdvance(Calendar,L441,"3M","mf",,Trigger)</f>
        <v>55638</v>
      </c>
      <c r="N441" s="546" t="str">
        <f>_xll.qlMakeDatedOIS(,L441,M441,"eonia",,,,,Trigger)</f>
        <v>obj_00a0f#0002</v>
      </c>
      <c r="O441" s="545">
        <f>_xll.qlIndexFixing("euribor3m",_xll.qlInterestRateIndexFixingDate("Euribor3M",L441),TRUE)</f>
        <v>2.147661626847118E-2</v>
      </c>
      <c r="P441" s="545">
        <f>_xll.qlOvernightIndexedSwapFairRate(N441,Trigger)</f>
        <v>2.1025359763903437E-2</v>
      </c>
      <c r="Q441" s="547">
        <f t="shared" si="8"/>
        <v>4.5125650456774233E-4</v>
      </c>
    </row>
    <row r="442" spans="5:17" x14ac:dyDescent="0.2">
      <c r="E442" s="538"/>
      <c r="F442" s="538"/>
      <c r="G442" s="537"/>
      <c r="I442" s="537"/>
      <c r="J442" s="537"/>
      <c r="L442" s="553">
        <f>_xll.qlCalendarAdvance(Calendar,L441,"1M","f",,Trigger)</f>
        <v>55578</v>
      </c>
      <c r="M442" s="544">
        <f>_xll.qlCalendarAdvance(Calendar,L442,"3M","mf",,Trigger)</f>
        <v>55668</v>
      </c>
      <c r="N442" s="546" t="str">
        <f>_xll.qlMakeDatedOIS(,L442,M442,"eonia",,,,,Trigger)</f>
        <v>obj_00a11#0002</v>
      </c>
      <c r="O442" s="545">
        <f>_xll.qlIndexFixing("euribor3m",_xll.qlInterestRateIndexFixingDate("Euribor3M",L442),TRUE)</f>
        <v>2.1464398176399606E-2</v>
      </c>
      <c r="P442" s="545">
        <f>_xll.qlOvernightIndexedSwapFairRate(N442,Trigger)</f>
        <v>2.1024746880431877E-2</v>
      </c>
      <c r="Q442" s="547">
        <f t="shared" si="8"/>
        <v>4.3965129596772873E-4</v>
      </c>
    </row>
    <row r="443" spans="5:17" x14ac:dyDescent="0.2">
      <c r="E443" s="538"/>
      <c r="F443" s="538"/>
      <c r="G443" s="537"/>
      <c r="I443" s="537"/>
      <c r="J443" s="537"/>
      <c r="L443" s="553">
        <f>_xll.qlCalendarAdvance(Calendar,L442,"1M","f",,Trigger)</f>
        <v>55607</v>
      </c>
      <c r="M443" s="544">
        <f>_xll.qlCalendarAdvance(Calendar,L443,"3M","mf",,Trigger)</f>
        <v>55698</v>
      </c>
      <c r="N443" s="546" t="str">
        <f>_xll.qlMakeDatedOIS(,L443,M443,"eonia",,,,,Trigger)</f>
        <v>obj_00a13#0002</v>
      </c>
      <c r="O443" s="545">
        <f>_xll.qlIndexFixing("euribor3m",_xll.qlInterestRateIndexFixingDate("Euribor3M",L443),TRUE)</f>
        <v>2.1451703280728963E-2</v>
      </c>
      <c r="P443" s="545">
        <f>_xll.qlOvernightIndexedSwapFairRate(N443,Trigger)</f>
        <v>2.1025359763905196E-2</v>
      </c>
      <c r="Q443" s="547">
        <f t="shared" si="8"/>
        <v>4.2634351682376698E-4</v>
      </c>
    </row>
    <row r="444" spans="5:17" x14ac:dyDescent="0.2">
      <c r="E444" s="538"/>
      <c r="F444" s="538"/>
      <c r="G444" s="537"/>
      <c r="I444" s="537"/>
      <c r="J444" s="537"/>
      <c r="L444" s="553">
        <f>_xll.qlCalendarAdvance(Calendar,L443,"1M","f",,Trigger)</f>
        <v>55638</v>
      </c>
      <c r="M444" s="544">
        <f>_xll.qlCalendarAdvance(Calendar,L444,"3M","mf",,Trigger)</f>
        <v>55729</v>
      </c>
      <c r="N444" s="546" t="str">
        <f>_xll.qlMakeDatedOIS(,L444,M444,"eonia",,,,,Trigger)</f>
        <v>obj_00a15#0002</v>
      </c>
      <c r="O444" s="545">
        <f>_xll.qlIndexFixing("euribor3m",_xll.qlInterestRateIndexFixingDate("Euribor3M",L444),TRUE)</f>
        <v>2.1438120277358107E-2</v>
      </c>
      <c r="P444" s="545">
        <f>_xll.qlOvernightIndexedSwapFairRate(N444,Trigger)</f>
        <v>2.10253597639052E-2</v>
      </c>
      <c r="Q444" s="547">
        <f t="shared" si="8"/>
        <v>4.1276051345290679E-4</v>
      </c>
    </row>
    <row r="445" spans="5:17" x14ac:dyDescent="0.2">
      <c r="E445" s="538"/>
      <c r="F445" s="538"/>
      <c r="G445" s="537"/>
      <c r="I445" s="537"/>
      <c r="J445" s="537"/>
      <c r="L445" s="553">
        <f>_xll.qlCalendarAdvance(Calendar,L444,"1M","f",,Trigger)</f>
        <v>55668</v>
      </c>
      <c r="M445" s="544">
        <f>_xll.qlCalendarAdvance(Calendar,L445,"3M","mf",,Trigger)</f>
        <v>55760</v>
      </c>
      <c r="N445" s="546" t="str">
        <f>_xll.qlMakeDatedOIS(,L445,M445,"eonia",,,,,Trigger)</f>
        <v>obj_00a17#0002</v>
      </c>
      <c r="O445" s="545">
        <f>_xll.qlIndexFixing("euribor3m",_xll.qlInterestRateIndexFixingDate("Euribor3M",L445),TRUE)</f>
        <v>2.1424915924370971E-2</v>
      </c>
      <c r="P445" s="545">
        <f>_xll.qlOvernightIndexedSwapFairRate(N445,Trigger)</f>
        <v>2.1025972671188834E-2</v>
      </c>
      <c r="Q445" s="547">
        <f t="shared" si="8"/>
        <v>3.9894325318213728E-4</v>
      </c>
    </row>
    <row r="446" spans="5:17" x14ac:dyDescent="0.2">
      <c r="E446" s="538"/>
      <c r="F446" s="538"/>
      <c r="G446" s="537"/>
      <c r="I446" s="537"/>
      <c r="J446" s="537"/>
      <c r="L446" s="553">
        <f>_xll.qlCalendarAdvance(Calendar,L445,"1M","f",,Trigger)</f>
        <v>55701</v>
      </c>
      <c r="M446" s="544">
        <f>_xll.qlCalendarAdvance(Calendar,L446,"3M","mf",,Trigger)</f>
        <v>55793</v>
      </c>
      <c r="N446" s="546" t="str">
        <f>_xll.qlMakeDatedOIS(,L446,M446,"eonia",,,,,Trigger)</f>
        <v>obj_00a19#0002</v>
      </c>
      <c r="O446" s="545">
        <f>_xll.qlIndexFixing("euribor3m",_xll.qlInterestRateIndexFixingDate("Euribor3M",L446),TRUE)</f>
        <v>2.140941561169845E-2</v>
      </c>
      <c r="P446" s="545">
        <f>_xll.qlOvernightIndexedSwapFairRate(N446,Trigger)</f>
        <v>2.1025972671187967E-2</v>
      </c>
      <c r="Q446" s="547">
        <f t="shared" si="8"/>
        <v>3.8344294051048319E-4</v>
      </c>
    </row>
    <row r="447" spans="5:17" x14ac:dyDescent="0.2">
      <c r="E447" s="538"/>
      <c r="F447" s="538"/>
      <c r="G447" s="537"/>
      <c r="I447" s="537"/>
      <c r="J447" s="537"/>
      <c r="L447" s="553">
        <f>_xll.qlCalendarAdvance(Calendar,L446,"1M","f",,Trigger)</f>
        <v>55732</v>
      </c>
      <c r="M447" s="544">
        <f>_xll.qlCalendarAdvance(Calendar,L447,"3M","mf",,Trigger)</f>
        <v>55824</v>
      </c>
      <c r="N447" s="546" t="str">
        <f>_xll.qlMakeDatedOIS(,L447,M447,"eonia",,,,,Trigger)</f>
        <v>obj_00a1b#0002</v>
      </c>
      <c r="O447" s="545">
        <f>_xll.qlIndexFixing("euribor3m",_xll.qlInterestRateIndexFixingDate("Euribor3M",L447),TRUE)</f>
        <v>2.1394354450442032E-2</v>
      </c>
      <c r="P447" s="545">
        <f>_xll.qlOvernightIndexedSwapFairRate(N447,Trigger)</f>
        <v>2.1025972671188838E-2</v>
      </c>
      <c r="Q447" s="547">
        <f t="shared" si="8"/>
        <v>3.6838177925319418E-4</v>
      </c>
    </row>
    <row r="448" spans="5:17" x14ac:dyDescent="0.2">
      <c r="E448" s="538"/>
      <c r="F448" s="538"/>
      <c r="G448" s="537"/>
      <c r="I448" s="537"/>
      <c r="J448" s="537"/>
      <c r="L448" s="553">
        <f>_xll.qlCalendarAdvance(Calendar,L447,"1M","f",,Trigger)</f>
        <v>55764</v>
      </c>
      <c r="M448" s="544">
        <f>_xll.qlCalendarAdvance(Calendar,L448,"3M","mf",,Trigger)</f>
        <v>55855</v>
      </c>
      <c r="N448" s="546" t="str">
        <f>_xll.qlMakeDatedOIS(,L448,M448,"eonia",,,,,Trigger)</f>
        <v>obj_00a1d#0002</v>
      </c>
      <c r="O448" s="545">
        <f>_xll.qlIndexFixing("euribor3m",_xll.qlInterestRateIndexFixingDate("Euribor3M",L448),TRUE)</f>
        <v>2.1377924186349581E-2</v>
      </c>
      <c r="P448" s="545">
        <f>_xll.qlOvernightIndexedSwapFairRate(N448,Trigger)</f>
        <v>2.10253597639052E-2</v>
      </c>
      <c r="Q448" s="547">
        <f t="shared" si="8"/>
        <v>3.5256442244438121E-4</v>
      </c>
    </row>
    <row r="449" spans="5:17" x14ac:dyDescent="0.2">
      <c r="E449" s="538"/>
      <c r="F449" s="538"/>
      <c r="G449" s="537"/>
      <c r="I449" s="537"/>
      <c r="J449" s="537"/>
      <c r="L449" s="553">
        <f>_xll.qlCalendarAdvance(Calendar,L448,"1M","f",,Trigger)</f>
        <v>55794</v>
      </c>
      <c r="M449" s="544">
        <f>_xll.qlCalendarAdvance(Calendar,L449,"3M","mf",,Trigger)</f>
        <v>55886</v>
      </c>
      <c r="N449" s="546" t="str">
        <f>_xll.qlMakeDatedOIS(,L449,M449,"eonia",,,,,Trigger)</f>
        <v>obj_00a1f#0002</v>
      </c>
      <c r="O449" s="545">
        <f>_xll.qlIndexFixing("euribor3m",_xll.qlInterestRateIndexFixingDate("Euribor3M",L449),TRUE)</f>
        <v>2.1362778265817627E-2</v>
      </c>
      <c r="P449" s="545">
        <f>_xll.qlOvernightIndexedSwapFairRate(N449,Trigger)</f>
        <v>2.1025972671188838E-2</v>
      </c>
      <c r="Q449" s="547">
        <f t="shared" si="8"/>
        <v>3.368055946287897E-4</v>
      </c>
    </row>
    <row r="450" spans="5:17" x14ac:dyDescent="0.2">
      <c r="E450" s="538"/>
      <c r="F450" s="538"/>
      <c r="G450" s="537"/>
      <c r="I450" s="537"/>
      <c r="J450" s="537"/>
      <c r="L450" s="553">
        <f>_xll.qlCalendarAdvance(Calendar,L449,"1M","f",,Trigger)</f>
        <v>55827</v>
      </c>
      <c r="M450" s="544">
        <f>_xll.qlCalendarAdvance(Calendar,L450,"3M","mf",,Trigger)</f>
        <v>55919</v>
      </c>
      <c r="N450" s="546" t="str">
        <f>_xll.qlMakeDatedOIS(,L450,M450,"eonia",,,,,Trigger)</f>
        <v>obj_00a21#0002</v>
      </c>
      <c r="O450" s="545">
        <f>_xll.qlIndexFixing("euribor3m",_xll.qlInterestRateIndexFixingDate("Euribor3M",L450),TRUE)</f>
        <v>2.134518112846687E-2</v>
      </c>
      <c r="P450" s="545">
        <f>_xll.qlOvernightIndexedSwapFairRate(N450,Trigger)</f>
        <v>2.1025972671187967E-2</v>
      </c>
      <c r="Q450" s="547">
        <f t="shared" si="8"/>
        <v>3.1920845727890362E-4</v>
      </c>
    </row>
    <row r="451" spans="5:17" x14ac:dyDescent="0.2">
      <c r="E451" s="538"/>
      <c r="F451" s="538"/>
      <c r="G451" s="537"/>
      <c r="I451" s="537"/>
      <c r="J451" s="537"/>
      <c r="L451" s="553">
        <f>_xll.qlCalendarAdvance(Calendar,L450,"1M","f",,Trigger)</f>
        <v>55857</v>
      </c>
      <c r="M451" s="544">
        <f>_xll.qlCalendarAdvance(Calendar,L451,"3M","mf",,Trigger)</f>
        <v>55947</v>
      </c>
      <c r="N451" s="546" t="str">
        <f>_xll.qlMakeDatedOIS(,L451,M451,"eonia",,,,,Trigger)</f>
        <v>obj_00a23#0002</v>
      </c>
      <c r="O451" s="545">
        <f>_xll.qlIndexFixing("euribor3m",_xll.qlInterestRateIndexFixingDate("Euribor3M",L451),TRUE)</f>
        <v>2.1328009910196677E-2</v>
      </c>
      <c r="P451" s="545">
        <f>_xll.qlOvernightIndexedSwapFairRate(N451,Trigger)</f>
        <v>2.1024746880431877E-2</v>
      </c>
      <c r="Q451" s="547">
        <f t="shared" ref="Q451:Q514" si="9">O451-P451</f>
        <v>3.032630297647998E-4</v>
      </c>
    </row>
    <row r="452" spans="5:17" x14ac:dyDescent="0.2">
      <c r="E452" s="538"/>
      <c r="F452" s="538"/>
      <c r="G452" s="537"/>
      <c r="I452" s="537"/>
      <c r="J452" s="537"/>
      <c r="L452" s="553">
        <f>_xll.qlCalendarAdvance(Calendar,L451,"1M","f",,Trigger)</f>
        <v>55890</v>
      </c>
      <c r="M452" s="544">
        <f>_xll.qlCalendarAdvance(Calendar,L452,"3M","mf",,Trigger)</f>
        <v>55982</v>
      </c>
      <c r="N452" s="546" t="str">
        <f>_xll.qlMakeDatedOIS(,L452,M452,"eonia",,,,,Trigger)</f>
        <v>obj_00a25#0002</v>
      </c>
      <c r="O452" s="545">
        <f>_xll.qlIndexFixing("euribor3m",_xll.qlInterestRateIndexFixingDate("Euribor3M",L452),TRUE)</f>
        <v>2.1310061684365333E-2</v>
      </c>
      <c r="P452" s="545">
        <f>_xll.qlOvernightIndexedSwapFairRate(N452,Trigger)</f>
        <v>2.1025972671188834E-2</v>
      </c>
      <c r="Q452" s="547">
        <f t="shared" si="9"/>
        <v>2.8408901317649934E-4</v>
      </c>
    </row>
    <row r="453" spans="5:17" x14ac:dyDescent="0.2">
      <c r="E453" s="538"/>
      <c r="F453" s="538"/>
      <c r="G453" s="537"/>
      <c r="I453" s="537"/>
      <c r="J453" s="537"/>
      <c r="L453" s="553">
        <f>_xll.qlCalendarAdvance(Calendar,L452,"1M","f",,Trigger)</f>
        <v>55921</v>
      </c>
      <c r="M453" s="544">
        <f>_xll.qlCalendarAdvance(Calendar,L453,"3M","mf",,Trigger)</f>
        <v>56010</v>
      </c>
      <c r="N453" s="546" t="str">
        <f>_xll.qlMakeDatedOIS(,L453,M453,"eonia",,,,,Trigger)</f>
        <v>obj_00a27#0002</v>
      </c>
      <c r="O453" s="545">
        <f>_xll.qlIndexFixing("euribor3m",_xll.qlInterestRateIndexFixingDate("Euribor3M",L453),TRUE)</f>
        <v>2.1291054682760577E-2</v>
      </c>
      <c r="P453" s="545">
        <f>_xll.qlOvernightIndexedSwapFairRate(N453,Trigger)</f>
        <v>2.1024134020769414E-2</v>
      </c>
      <c r="Q453" s="547">
        <f t="shared" si="9"/>
        <v>2.6692066199116363E-4</v>
      </c>
    </row>
    <row r="454" spans="5:17" x14ac:dyDescent="0.2">
      <c r="E454" s="538"/>
      <c r="F454" s="538"/>
      <c r="G454" s="537"/>
      <c r="I454" s="537"/>
      <c r="J454" s="537"/>
      <c r="L454" s="553">
        <f>_xll.qlCalendarAdvance(Calendar,L453,"1M","f",,Trigger)</f>
        <v>55949</v>
      </c>
      <c r="M454" s="544">
        <f>_xll.qlCalendarAdvance(Calendar,L454,"3M","mf",,Trigger)</f>
        <v>56041</v>
      </c>
      <c r="N454" s="546" t="str">
        <f>_xll.qlMakeDatedOIS(,L454,M454,"eonia",,,,,Trigger)</f>
        <v>obj_00a29#0002</v>
      </c>
      <c r="O454" s="545">
        <f>_xll.qlIndexFixing("euribor3m",_xll.qlInterestRateIndexFixingDate("Euribor3M",L454),TRUE)</f>
        <v>2.1275357222555809E-2</v>
      </c>
      <c r="P454" s="545">
        <f>_xll.qlOvernightIndexedSwapFairRate(N454,Trigger)</f>
        <v>2.1025972671188834E-2</v>
      </c>
      <c r="Q454" s="547">
        <f t="shared" si="9"/>
        <v>2.4938455136697471E-4</v>
      </c>
    </row>
    <row r="455" spans="5:17" x14ac:dyDescent="0.2">
      <c r="E455" s="538"/>
      <c r="F455" s="538"/>
      <c r="G455" s="537"/>
      <c r="I455" s="537"/>
      <c r="J455" s="537"/>
      <c r="L455" s="553">
        <f>_xll.qlCalendarAdvance(Calendar,L454,"1M","f",,Trigger)</f>
        <v>55982</v>
      </c>
      <c r="M455" s="544">
        <f>_xll.qlCalendarAdvance(Calendar,L455,"3M","mf",,Trigger)</f>
        <v>56073</v>
      </c>
      <c r="N455" s="546" t="str">
        <f>_xll.qlMakeDatedOIS(,L455,M455,"eonia",,,,,Trigger)</f>
        <v>obj_00a2b#0002</v>
      </c>
      <c r="O455" s="545">
        <f>_xll.qlIndexFixing("euribor3m",_xll.qlInterestRateIndexFixingDate("Euribor3M",L455),TRUE)</f>
        <v>2.1254868103388298E-2</v>
      </c>
      <c r="P455" s="545">
        <f>_xll.qlOvernightIndexedSwapFairRate(N455,Trigger)</f>
        <v>2.1025359763904319E-2</v>
      </c>
      <c r="Q455" s="547">
        <f t="shared" si="9"/>
        <v>2.2950833948397892E-4</v>
      </c>
    </row>
    <row r="456" spans="5:17" x14ac:dyDescent="0.2">
      <c r="E456" s="538"/>
      <c r="F456" s="538"/>
      <c r="G456" s="537"/>
      <c r="I456" s="537"/>
      <c r="J456" s="537"/>
      <c r="L456" s="553">
        <f>_xll.qlCalendarAdvance(Calendar,L455,"1M","f",,Trigger)</f>
        <v>56012</v>
      </c>
      <c r="M456" s="544">
        <f>_xll.qlCalendarAdvance(Calendar,L456,"3M","mf",,Trigger)</f>
        <v>56104</v>
      </c>
      <c r="N456" s="546" t="str">
        <f>_xll.qlMakeDatedOIS(,L456,M456,"eonia",,,,,Trigger)</f>
        <v>obj_00a2d#0002</v>
      </c>
      <c r="O456" s="545">
        <f>_xll.qlIndexFixing("euribor3m",_xll.qlInterestRateIndexFixingDate("Euribor3M",L456),TRUE)</f>
        <v>2.1236362106906232E-2</v>
      </c>
      <c r="P456" s="545">
        <f>_xll.qlOvernightIndexedSwapFairRate(N456,Trigger)</f>
        <v>2.1025972671188838E-2</v>
      </c>
      <c r="Q456" s="547">
        <f t="shared" si="9"/>
        <v>2.1038943571739452E-4</v>
      </c>
    </row>
    <row r="457" spans="5:17" x14ac:dyDescent="0.2">
      <c r="E457" s="538"/>
      <c r="F457" s="538"/>
      <c r="G457" s="537"/>
      <c r="I457" s="537"/>
      <c r="J457" s="537"/>
      <c r="L457" s="553">
        <f>_xll.qlCalendarAdvance(Calendar,L456,"1M","f",,Trigger)</f>
        <v>56044</v>
      </c>
      <c r="M457" s="544">
        <f>_xll.qlCalendarAdvance(Calendar,L457,"3M","mf",,Trigger)</f>
        <v>56136</v>
      </c>
      <c r="N457" s="546" t="str">
        <f>_xll.qlMakeDatedOIS(,L457,M457,"eonia",,,,,Trigger)</f>
        <v>obj_00a2f#0002</v>
      </c>
      <c r="O457" s="545">
        <f>_xll.qlIndexFixing("euribor3m",_xll.qlInterestRateIndexFixingDate("Euribor3M",L457),TRUE)</f>
        <v>2.1215788631909569E-2</v>
      </c>
      <c r="P457" s="545">
        <f>_xll.qlOvernightIndexedSwapFairRate(N457,Trigger)</f>
        <v>2.1025972671188834E-2</v>
      </c>
      <c r="Q457" s="547">
        <f t="shared" si="9"/>
        <v>1.8981596072073503E-4</v>
      </c>
    </row>
    <row r="458" spans="5:17" x14ac:dyDescent="0.2">
      <c r="E458" s="538"/>
      <c r="F458" s="538"/>
      <c r="G458" s="537"/>
      <c r="I458" s="537"/>
      <c r="J458" s="537"/>
      <c r="L458" s="553">
        <f>_xll.qlCalendarAdvance(Calendar,L457,"1M","f",,Trigger)</f>
        <v>56074</v>
      </c>
      <c r="M458" s="544">
        <f>_xll.qlCalendarAdvance(Calendar,L458,"3M","mf",,Trigger)</f>
        <v>56166</v>
      </c>
      <c r="N458" s="546" t="str">
        <f>_xll.qlMakeDatedOIS(,L458,M458,"eonia",,,,,Trigger)</f>
        <v>obj_00a31#0002</v>
      </c>
      <c r="O458" s="545">
        <f>_xll.qlIndexFixing("euribor3m",_xll.qlInterestRateIndexFixingDate("Euribor3M",L458),TRUE)</f>
        <v>2.1196032073173627E-2</v>
      </c>
      <c r="P458" s="545">
        <f>_xll.qlOvernightIndexedSwapFairRate(N458,Trigger)</f>
        <v>2.1025972671187967E-2</v>
      </c>
      <c r="Q458" s="547">
        <f t="shared" si="9"/>
        <v>1.7005940198566022E-4</v>
      </c>
    </row>
    <row r="459" spans="5:17" x14ac:dyDescent="0.2">
      <c r="E459" s="538"/>
      <c r="F459" s="538"/>
      <c r="G459" s="537"/>
      <c r="I459" s="537"/>
      <c r="J459" s="537"/>
      <c r="L459" s="553">
        <f>_xll.qlCalendarAdvance(Calendar,L458,"1M","f",,Trigger)</f>
        <v>56107</v>
      </c>
      <c r="M459" s="544">
        <f>_xll.qlCalendarAdvance(Calendar,L459,"3M","mf",,Trigger)</f>
        <v>56199</v>
      </c>
      <c r="N459" s="546" t="str">
        <f>_xll.qlMakeDatedOIS(,L459,M459,"eonia",,,,,Trigger)</f>
        <v>obj_00a33#0002</v>
      </c>
      <c r="O459" s="545">
        <f>_xll.qlIndexFixing("euribor3m",_xll.qlInterestRateIndexFixingDate("Euribor3M",L459),TRUE)</f>
        <v>2.1173775728728823E-2</v>
      </c>
      <c r="P459" s="545">
        <f>_xll.qlOvernightIndexedSwapFairRate(N459,Trigger)</f>
        <v>2.1025972671187963E-2</v>
      </c>
      <c r="Q459" s="547">
        <f t="shared" si="9"/>
        <v>1.478030575408594E-4</v>
      </c>
    </row>
    <row r="460" spans="5:17" x14ac:dyDescent="0.2">
      <c r="E460" s="538"/>
      <c r="F460" s="538"/>
      <c r="G460" s="537"/>
      <c r="I460" s="537"/>
      <c r="J460" s="537"/>
      <c r="L460" s="553">
        <f>_xll.qlCalendarAdvance(Calendar,L459,"1M","f",,Trigger)</f>
        <v>56138</v>
      </c>
      <c r="M460" s="544">
        <f>_xll.qlCalendarAdvance(Calendar,L460,"3M","mf",,Trigger)</f>
        <v>56229</v>
      </c>
      <c r="N460" s="546" t="str">
        <f>_xll.qlMakeDatedOIS(,L460,M460,"eonia",,,,,Trigger)</f>
        <v>obj_00a35#0002</v>
      </c>
      <c r="O460" s="545">
        <f>_xll.qlIndexFixing("euribor3m",_xll.qlInterestRateIndexFixingDate("Euribor3M",L460),TRUE)</f>
        <v>2.1152100744358675E-2</v>
      </c>
      <c r="P460" s="545">
        <f>_xll.qlOvernightIndexedSwapFairRate(N460,Trigger)</f>
        <v>2.1025359763904319E-2</v>
      </c>
      <c r="Q460" s="547">
        <f t="shared" si="9"/>
        <v>1.2674098045435678E-4</v>
      </c>
    </row>
    <row r="461" spans="5:17" x14ac:dyDescent="0.2">
      <c r="E461" s="538"/>
      <c r="F461" s="538"/>
      <c r="G461" s="537"/>
      <c r="I461" s="537"/>
      <c r="J461" s="537"/>
      <c r="L461" s="553">
        <f>_xll.qlCalendarAdvance(Calendar,L460,"1M","f",,Trigger)</f>
        <v>56170</v>
      </c>
      <c r="M461" s="544">
        <f>_xll.qlCalendarAdvance(Calendar,L461,"3M","mf",,Trigger)</f>
        <v>56262</v>
      </c>
      <c r="N461" s="546" t="str">
        <f>_xll.qlMakeDatedOIS(,L461,M461,"eonia",,,,,Trigger)</f>
        <v>obj_00a37#0002</v>
      </c>
      <c r="O461" s="545">
        <f>_xll.qlIndexFixing("euribor3m",_xll.qlInterestRateIndexFixingDate("Euribor3M",L461),TRUE)</f>
        <v>2.1129761635681213E-2</v>
      </c>
      <c r="P461" s="545">
        <f>_xll.qlOvernightIndexedSwapFairRate(N461,Trigger)</f>
        <v>2.1025972671188834E-2</v>
      </c>
      <c r="Q461" s="547">
        <f t="shared" si="9"/>
        <v>1.0378896449237882E-4</v>
      </c>
    </row>
    <row r="462" spans="5:17" x14ac:dyDescent="0.2">
      <c r="E462" s="538"/>
      <c r="F462" s="538"/>
      <c r="G462" s="537"/>
      <c r="I462" s="537"/>
      <c r="J462" s="537"/>
      <c r="L462" s="553">
        <f>_xll.qlCalendarAdvance(Calendar,L461,"1M","f",,Trigger)</f>
        <v>56201</v>
      </c>
      <c r="M462" s="544">
        <f>_xll.qlCalendarAdvance(Calendar,L462,"3M","mf",,Trigger)</f>
        <v>56293</v>
      </c>
      <c r="N462" s="546" t="str">
        <f>_xll.qlMakeDatedOIS(,L462,M462,"eonia",,,,,Trigger)</f>
        <v>obj_00a39#0002</v>
      </c>
      <c r="O462" s="545">
        <f>_xll.qlIndexFixing("euribor3m",_xll.qlInterestRateIndexFixingDate("Euribor3M",L462),TRUE)</f>
        <v>2.11073693009565E-2</v>
      </c>
      <c r="P462" s="545">
        <f>_xll.qlOvernightIndexedSwapFairRate(N462,Trigger)</f>
        <v>2.1025972671188834E-2</v>
      </c>
      <c r="Q462" s="547">
        <f t="shared" si="9"/>
        <v>8.139662976766604E-5</v>
      </c>
    </row>
    <row r="463" spans="5:17" x14ac:dyDescent="0.2">
      <c r="E463" s="538"/>
      <c r="F463" s="538"/>
      <c r="G463" s="537"/>
      <c r="I463" s="537"/>
      <c r="J463" s="537"/>
      <c r="L463" s="553">
        <f>_xll.qlCalendarAdvance(Calendar,L462,"1M","f",,Trigger)</f>
        <v>56233</v>
      </c>
      <c r="M463" s="544">
        <f>_xll.qlCalendarAdvance(Calendar,L463,"3M","mf",,Trigger)</f>
        <v>56324</v>
      </c>
      <c r="N463" s="546" t="str">
        <f>_xll.qlMakeDatedOIS(,L463,M463,"eonia",,,,,Trigger)</f>
        <v>obj_00a3b#0002</v>
      </c>
      <c r="O463" s="545">
        <f>_xll.qlIndexFixing("euribor3m",_xll.qlInterestRateIndexFixingDate("Euribor3M",L463),TRUE)</f>
        <v>2.1083507044122374E-2</v>
      </c>
      <c r="P463" s="545">
        <f>_xll.qlOvernightIndexedSwapFairRate(N463,Trigger)</f>
        <v>2.1025359763904319E-2</v>
      </c>
      <c r="Q463" s="547">
        <f t="shared" si="9"/>
        <v>5.814728021805507E-5</v>
      </c>
    </row>
    <row r="464" spans="5:17" x14ac:dyDescent="0.2">
      <c r="E464" s="538"/>
      <c r="F464" s="538"/>
      <c r="G464" s="537"/>
      <c r="I464" s="537"/>
      <c r="J464" s="537"/>
      <c r="L464" s="553">
        <f>_xll.qlCalendarAdvance(Calendar,L463,"1M","f",,Trigger)</f>
        <v>56264</v>
      </c>
      <c r="M464" s="544">
        <f>_xll.qlCalendarAdvance(Calendar,L464,"3M","mf",,Trigger)</f>
        <v>56354</v>
      </c>
      <c r="N464" s="546" t="str">
        <f>_xll.qlMakeDatedOIS(,L464,M464,"eonia",,,,,Trigger)</f>
        <v>obj_00a3d#0002</v>
      </c>
      <c r="O464" s="545">
        <f>_xll.qlIndexFixing("euribor3m",_xll.qlInterestRateIndexFixingDate("Euribor3M",L464),TRUE)</f>
        <v>2.1059908848231501E-2</v>
      </c>
      <c r="P464" s="545">
        <f>_xll.qlOvernightIndexedSwapFairRate(N464,Trigger)</f>
        <v>2.1024746880431877E-2</v>
      </c>
      <c r="Q464" s="547">
        <f t="shared" si="9"/>
        <v>3.5161967799623994E-5</v>
      </c>
    </row>
    <row r="465" spans="5:17" x14ac:dyDescent="0.2">
      <c r="E465" s="538"/>
      <c r="F465" s="538"/>
      <c r="G465" s="537"/>
      <c r="I465" s="537"/>
      <c r="J465" s="537"/>
      <c r="L465" s="553">
        <f>_xll.qlCalendarAdvance(Calendar,L464,"1M","f",,Trigger)</f>
        <v>56296</v>
      </c>
      <c r="M465" s="544">
        <f>_xll.qlCalendarAdvance(Calendar,L465,"3M","mf",,Trigger)</f>
        <v>56387</v>
      </c>
      <c r="N465" s="546" t="str">
        <f>_xll.qlMakeDatedOIS(,L465,M465,"eonia",,,,,Trigger)</f>
        <v>obj_00a3f#0002</v>
      </c>
      <c r="O465" s="545">
        <f>_xll.qlIndexFixing("euribor3m",_xll.qlInterestRateIndexFixingDate("Euribor3M",L465),TRUE)</f>
        <v>2.103550945738648E-2</v>
      </c>
      <c r="P465" s="545">
        <f>_xll.qlOvernightIndexedSwapFairRate(N465,Trigger)</f>
        <v>2.1025359763905196E-2</v>
      </c>
      <c r="Q465" s="547">
        <f t="shared" si="9"/>
        <v>1.0149693481283778E-5</v>
      </c>
    </row>
    <row r="466" spans="5:17" x14ac:dyDescent="0.2">
      <c r="E466" s="538"/>
      <c r="F466" s="538"/>
      <c r="G466" s="537"/>
      <c r="I466" s="537"/>
      <c r="J466" s="537"/>
      <c r="L466" s="553">
        <f>_xll.qlCalendarAdvance(Calendar,L465,"1M","f",,Trigger)</f>
        <v>56324</v>
      </c>
      <c r="M466" s="544">
        <f>_xll.qlCalendarAdvance(Calendar,L466,"3M","mf",,Trigger)</f>
        <v>56416</v>
      </c>
      <c r="N466" s="546" t="str">
        <f>_xll.qlMakeDatedOIS(,L466,M466,"eonia",,,,,Trigger)</f>
        <v>obj_00a41#0002</v>
      </c>
      <c r="O466" s="545">
        <f>_xll.qlIndexFixing("euribor3m",_xll.qlInterestRateIndexFixingDate("Euribor3M",L466),TRUE)</f>
        <v>2.1013747294013018E-2</v>
      </c>
      <c r="P466" s="545">
        <f>_xll.qlOvernightIndexedSwapFairRate(N466,Trigger)</f>
        <v>2.1025972671188834E-2</v>
      </c>
      <c r="Q466" s="547">
        <f t="shared" si="9"/>
        <v>-1.222537717581601E-5</v>
      </c>
    </row>
    <row r="467" spans="5:17" x14ac:dyDescent="0.2">
      <c r="E467" s="538"/>
      <c r="F467" s="538"/>
      <c r="G467" s="537"/>
      <c r="I467" s="537"/>
      <c r="J467" s="537"/>
      <c r="L467" s="553">
        <f>_xll.qlCalendarAdvance(Calendar,L466,"1M","f",,Trigger)</f>
        <v>56355</v>
      </c>
      <c r="M467" s="544">
        <f>_xll.qlCalendarAdvance(Calendar,L467,"3M","mf",,Trigger)</f>
        <v>56446</v>
      </c>
      <c r="N467" s="546" t="str">
        <f>_xll.qlMakeDatedOIS(,L467,M467,"eonia",,,,,Trigger)</f>
        <v>obj_00a43#0002</v>
      </c>
      <c r="O467" s="545">
        <f>_xll.qlIndexFixing("euribor3m",_xll.qlInterestRateIndexFixingDate("Euribor3M",L467),TRUE)</f>
        <v>2.0988744991269823E-2</v>
      </c>
      <c r="P467" s="545">
        <f>_xll.qlOvernightIndexedSwapFairRate(N467,Trigger)</f>
        <v>2.1025359763904319E-2</v>
      </c>
      <c r="Q467" s="547">
        <f t="shared" si="9"/>
        <v>-3.6614772634495363E-5</v>
      </c>
    </row>
    <row r="468" spans="5:17" x14ac:dyDescent="0.2">
      <c r="E468" s="538"/>
      <c r="F468" s="538"/>
      <c r="G468" s="537"/>
      <c r="I468" s="537"/>
      <c r="J468" s="537"/>
      <c r="L468" s="553">
        <f>_xll.qlCalendarAdvance(Calendar,L467,"1M","f",,Trigger)</f>
        <v>56387</v>
      </c>
      <c r="M468" s="544">
        <f>_xll.qlCalendarAdvance(Calendar,L468,"3M","mf",,Trigger)</f>
        <v>56479</v>
      </c>
      <c r="N468" s="546" t="str">
        <f>_xll.qlMakeDatedOIS(,L468,M468,"eonia",,,,,Trigger)</f>
        <v>obj_00a45#0002</v>
      </c>
      <c r="O468" s="545">
        <f>_xll.qlIndexFixing("euribor3m",_xll.qlInterestRateIndexFixingDate("Euribor3M",L468),TRUE)</f>
        <v>2.0962840748472315E-2</v>
      </c>
      <c r="P468" s="545">
        <f>_xll.qlOvernightIndexedSwapFairRate(N468,Trigger)</f>
        <v>2.1015187139212608E-2</v>
      </c>
      <c r="Q468" s="547">
        <f t="shared" si="9"/>
        <v>-5.2346390740292542E-5</v>
      </c>
    </row>
    <row r="469" spans="5:17" x14ac:dyDescent="0.2">
      <c r="E469" s="538"/>
      <c r="F469" s="538"/>
      <c r="G469" s="537"/>
      <c r="I469" s="537"/>
      <c r="J469" s="537"/>
      <c r="L469" s="553">
        <f>_xll.qlCalendarAdvance(Calendar,L468,"1M","f",,Trigger)</f>
        <v>56418</v>
      </c>
      <c r="M469" s="544">
        <f>_xll.qlCalendarAdvance(Calendar,L469,"3M","mf",,Trigger)</f>
        <v>56510</v>
      </c>
      <c r="N469" s="546" t="str">
        <f>_xll.qlMakeDatedOIS(,L469,M469,"eonia",,,,,Trigger)</f>
        <v>obj_00a47#0002</v>
      </c>
      <c r="O469" s="545">
        <f>_xll.qlIndexFixing("euribor3m",_xll.qlInterestRateIndexFixingDate("Euribor3M",L469),TRUE)</f>
        <v>2.0937109467592387E-2</v>
      </c>
      <c r="P469" s="545">
        <f>_xll.qlOvernightIndexedSwapFairRate(N469,Trigger)</f>
        <v>2.0680850313924078E-2</v>
      </c>
      <c r="Q469" s="547">
        <f t="shared" si="9"/>
        <v>2.5625915366830898E-4</v>
      </c>
    </row>
    <row r="470" spans="5:17" x14ac:dyDescent="0.2">
      <c r="E470" s="538"/>
      <c r="F470" s="538"/>
      <c r="G470" s="537"/>
      <c r="I470" s="537"/>
      <c r="J470" s="537"/>
      <c r="L470" s="553">
        <f>_xll.qlCalendarAdvance(Calendar,L469,"1M","f",,Trigger)</f>
        <v>56450</v>
      </c>
      <c r="M470" s="544">
        <f>_xll.qlCalendarAdvance(Calendar,L470,"3M","mf",,Trigger)</f>
        <v>56542</v>
      </c>
      <c r="N470" s="546" t="str">
        <f>_xll.qlMakeDatedOIS(,L470,M470,"eonia",,,,,Trigger)</f>
        <v>obj_00a49#0002</v>
      </c>
      <c r="O470" s="545">
        <f>_xll.qlIndexFixing("euribor3m",_xll.qlInterestRateIndexFixingDate("Euribor3M",L470),TRUE)</f>
        <v>2.0910353229806153E-2</v>
      </c>
      <c r="P470" s="545">
        <f>_xll.qlOvernightIndexedSwapFairRate(N470,Trigger)</f>
        <v>2.0335758233056365E-2</v>
      </c>
      <c r="Q470" s="547">
        <f t="shared" si="9"/>
        <v>5.7459499674978806E-4</v>
      </c>
    </row>
    <row r="471" spans="5:17" x14ac:dyDescent="0.2">
      <c r="E471" s="538"/>
      <c r="F471" s="538"/>
      <c r="G471" s="537"/>
      <c r="I471" s="537"/>
      <c r="J471" s="537"/>
      <c r="L471" s="553">
        <f>_xll.qlCalendarAdvance(Calendar,L470,"1M","f",,Trigger)</f>
        <v>56481</v>
      </c>
      <c r="M471" s="544">
        <f>_xll.qlCalendarAdvance(Calendar,L471,"3M","mf",,Trigger)</f>
        <v>56573</v>
      </c>
      <c r="N471" s="546" t="str">
        <f>_xll.qlMakeDatedOIS(,L471,M471,"eonia",,,,,Trigger)</f>
        <v>obj_00a4b#0002</v>
      </c>
      <c r="O471" s="545">
        <f>_xll.qlIndexFixing("euribor3m",_xll.qlInterestRateIndexFixingDate("Euribor3M",L471),TRUE)</f>
        <v>2.088453831725768E-2</v>
      </c>
      <c r="P471" s="545">
        <f>_xll.qlOvernightIndexedSwapFairRate(N471,Trigger)</f>
        <v>2.003382749631348E-2</v>
      </c>
      <c r="Q471" s="547">
        <f t="shared" si="9"/>
        <v>8.5071082094419909E-4</v>
      </c>
    </row>
    <row r="472" spans="5:17" x14ac:dyDescent="0.2">
      <c r="E472" s="538"/>
      <c r="F472" s="538"/>
      <c r="G472" s="537"/>
      <c r="I472" s="537"/>
      <c r="J472" s="537"/>
      <c r="L472" s="553">
        <f>_xll.qlCalendarAdvance(Calendar,L471,"1M","f",,Trigger)</f>
        <v>56513</v>
      </c>
      <c r="M472" s="544">
        <f>_xll.qlCalendarAdvance(Calendar,L472,"3M","mf",,Trigger)</f>
        <v>56604</v>
      </c>
      <c r="N472" s="546" t="str">
        <f>_xll.qlMakeDatedOIS(,L472,M472,"eonia",,,,,Trigger)</f>
        <v>obj_00a4d#0002</v>
      </c>
      <c r="O472" s="545">
        <f>_xll.qlIndexFixing("euribor3m",_xll.qlInterestRateIndexFixingDate("Euribor3M",L472),TRUE)</f>
        <v>2.085803933765866E-2</v>
      </c>
      <c r="P472" s="545">
        <f>_xll.qlOvernightIndexedSwapFairRate(N472,Trigger)</f>
        <v>2.0033271019048528E-2</v>
      </c>
      <c r="Q472" s="547">
        <f t="shared" si="9"/>
        <v>8.2476831861013136E-4</v>
      </c>
    </row>
    <row r="473" spans="5:17" x14ac:dyDescent="0.2">
      <c r="E473" s="538"/>
      <c r="F473" s="538"/>
      <c r="G473" s="537"/>
      <c r="I473" s="537"/>
      <c r="J473" s="537"/>
      <c r="L473" s="553">
        <f>_xll.qlCalendarAdvance(Calendar,L472,"1M","f",,Trigger)</f>
        <v>56543</v>
      </c>
      <c r="M473" s="544">
        <f>_xll.qlCalendarAdvance(Calendar,L473,"3M","mf",,Trigger)</f>
        <v>56635</v>
      </c>
      <c r="N473" s="546" t="str">
        <f>_xll.qlMakeDatedOIS(,L473,M473,"eonia",,,,,Trigger)</f>
        <v>obj_00a4f#0002</v>
      </c>
      <c r="O473" s="545">
        <f>_xll.qlIndexFixing("euribor3m",_xll.qlInterestRateIndexFixingDate("Euribor3M",L473),TRUE)</f>
        <v>2.0833933892512313E-2</v>
      </c>
      <c r="P473" s="545">
        <f>_xll.qlOvernightIndexedSwapFairRate(N473,Trigger)</f>
        <v>2.0033827496312606E-2</v>
      </c>
      <c r="Q473" s="547">
        <f t="shared" si="9"/>
        <v>8.001063961997068E-4</v>
      </c>
    </row>
    <row r="474" spans="5:17" x14ac:dyDescent="0.2">
      <c r="E474" s="538"/>
      <c r="F474" s="538"/>
      <c r="G474" s="537"/>
      <c r="I474" s="537"/>
      <c r="J474" s="537"/>
      <c r="L474" s="553">
        <f>_xll.qlCalendarAdvance(Calendar,L473,"1M","f",,Trigger)</f>
        <v>56576</v>
      </c>
      <c r="M474" s="544">
        <f>_xll.qlCalendarAdvance(Calendar,L474,"3M","mf",,Trigger)</f>
        <v>56668</v>
      </c>
      <c r="N474" s="546" t="str">
        <f>_xll.qlMakeDatedOIS(,L474,M474,"eonia",,,,,Trigger)</f>
        <v>obj_00a51#0002</v>
      </c>
      <c r="O474" s="545">
        <f>_xll.qlIndexFixing("euribor3m",_xll.qlInterestRateIndexFixingDate("Euribor3M",L474),TRUE)</f>
        <v>2.0807595014400729E-2</v>
      </c>
      <c r="P474" s="545">
        <f>_xll.qlOvernightIndexedSwapFairRate(N474,Trigger)</f>
        <v>2.0033827496313484E-2</v>
      </c>
      <c r="Q474" s="547">
        <f t="shared" si="9"/>
        <v>7.7376751808724484E-4</v>
      </c>
    </row>
    <row r="475" spans="5:17" x14ac:dyDescent="0.2">
      <c r="E475" s="538"/>
      <c r="F475" s="538"/>
      <c r="G475" s="537"/>
      <c r="I475" s="537"/>
      <c r="J475" s="537"/>
      <c r="L475" s="553">
        <f>_xll.qlCalendarAdvance(Calendar,L474,"1M","f",,Trigger)</f>
        <v>56606</v>
      </c>
      <c r="M475" s="544">
        <f>_xll.qlCalendarAdvance(Calendar,L475,"3M","mf",,Trigger)</f>
        <v>56696</v>
      </c>
      <c r="N475" s="546" t="str">
        <f>_xll.qlMakeDatedOIS(,L475,M475,"eonia",,,,,Trigger)</f>
        <v>obj_00a53#0002</v>
      </c>
      <c r="O475" s="545">
        <f>_xll.qlIndexFixing("euribor3m",_xll.qlInterestRateIndexFixingDate("Euribor3M",L475),TRUE)</f>
        <v>2.0783586771059959E-2</v>
      </c>
      <c r="P475" s="545">
        <f>_xll.qlOvernightIndexedSwapFairRate(N475,Trigger)</f>
        <v>2.0032714562384868E-2</v>
      </c>
      <c r="Q475" s="547">
        <f t="shared" si="9"/>
        <v>7.5087220867509075E-4</v>
      </c>
    </row>
    <row r="476" spans="5:17" x14ac:dyDescent="0.2">
      <c r="E476" s="538"/>
      <c r="F476" s="538"/>
      <c r="G476" s="537"/>
      <c r="I476" s="537"/>
      <c r="J476" s="537"/>
      <c r="L476" s="553">
        <f>_xll.qlCalendarAdvance(Calendar,L475,"1M","f",,Trigger)</f>
        <v>56639</v>
      </c>
      <c r="M476" s="544">
        <f>_xll.qlCalendarAdvance(Calendar,L476,"3M","mf",,Trigger)</f>
        <v>56730</v>
      </c>
      <c r="N476" s="546" t="str">
        <f>_xll.qlMakeDatedOIS(,L476,M476,"eonia",,,,,Trigger)</f>
        <v>obj_00a55#0002</v>
      </c>
      <c r="O476" s="545">
        <f>_xll.qlIndexFixing("euribor3m",_xll.qlInterestRateIndexFixingDate("Euribor3M",L476),TRUE)</f>
        <v>2.0758244620990754E-2</v>
      </c>
      <c r="P476" s="545">
        <f>_xll.qlOvernightIndexedSwapFairRate(N476,Trigger)</f>
        <v>2.0033271019048532E-2</v>
      </c>
      <c r="Q476" s="547">
        <f t="shared" si="9"/>
        <v>7.2497360194222205E-4</v>
      </c>
    </row>
    <row r="477" spans="5:17" x14ac:dyDescent="0.2">
      <c r="E477" s="538"/>
      <c r="F477" s="538"/>
      <c r="G477" s="537"/>
      <c r="I477" s="537"/>
      <c r="J477" s="537"/>
      <c r="L477" s="553">
        <f>_xll.qlCalendarAdvance(Calendar,L476,"1M","f",,Trigger)</f>
        <v>56670</v>
      </c>
      <c r="M477" s="544">
        <f>_xll.qlCalendarAdvance(Calendar,L477,"3M","mf",,Trigger)</f>
        <v>56759</v>
      </c>
      <c r="N477" s="546" t="str">
        <f>_xll.qlMakeDatedOIS(,L477,M477,"eonia",,,,,Trigger)</f>
        <v>obj_00a57#0002</v>
      </c>
      <c r="O477" s="545">
        <f>_xll.qlIndexFixing("euribor3m",_xll.qlInterestRateIndexFixingDate("Euribor3M",L477),TRUE)</f>
        <v>2.0734175315003541E-2</v>
      </c>
      <c r="P477" s="545">
        <f>_xll.qlOvernightIndexedSwapFairRate(N477,Trigger)</f>
        <v>2.0032158126319938E-2</v>
      </c>
      <c r="Q477" s="547">
        <f t="shared" si="9"/>
        <v>7.0201718868360269E-4</v>
      </c>
    </row>
    <row r="478" spans="5:17" x14ac:dyDescent="0.2">
      <c r="E478" s="538"/>
      <c r="F478" s="538"/>
      <c r="G478" s="537"/>
      <c r="I478" s="537"/>
      <c r="J478" s="537"/>
      <c r="L478" s="553">
        <f>_xll.qlCalendarAdvance(Calendar,L477,"1M","f",,Trigger)</f>
        <v>56698</v>
      </c>
      <c r="M478" s="544">
        <f>_xll.qlCalendarAdvance(Calendar,L478,"3M","mf",,Trigger)</f>
        <v>56790</v>
      </c>
      <c r="N478" s="546" t="str">
        <f>_xll.qlMakeDatedOIS(,L478,M478,"eonia",,,,,Trigger)</f>
        <v>obj_00a59#0002</v>
      </c>
      <c r="O478" s="545">
        <f>_xll.qlIndexFixing("euribor3m",_xll.qlInterestRateIndexFixingDate("Euribor3M",L478),TRUE)</f>
        <v>2.0713814236210659E-2</v>
      </c>
      <c r="P478" s="545">
        <f>_xll.qlOvernightIndexedSwapFairRate(N478,Trigger)</f>
        <v>2.003382749631261E-2</v>
      </c>
      <c r="Q478" s="547">
        <f t="shared" si="9"/>
        <v>6.7998673989804956E-4</v>
      </c>
    </row>
    <row r="479" spans="5:17" x14ac:dyDescent="0.2">
      <c r="E479" s="538"/>
      <c r="F479" s="538"/>
      <c r="G479" s="537"/>
      <c r="I479" s="537"/>
      <c r="J479" s="537"/>
      <c r="L479" s="553">
        <f>_xll.qlCalendarAdvance(Calendar,L478,"1M","f",,Trigger)</f>
        <v>56730</v>
      </c>
      <c r="M479" s="544">
        <f>_xll.qlCalendarAdvance(Calendar,L479,"3M","mf",,Trigger)</f>
        <v>56821</v>
      </c>
      <c r="N479" s="546" t="str">
        <f>_xll.qlMakeDatedOIS(,L479,M479,"eonia",,,,,Trigger)</f>
        <v>obj_00a5b#0002</v>
      </c>
      <c r="O479" s="545">
        <f>_xll.qlIndexFixing("euribor3m",_xll.qlInterestRateIndexFixingDate("Euribor3M",L479),TRUE)</f>
        <v>2.068992268202113E-2</v>
      </c>
      <c r="P479" s="545">
        <f>_xll.qlOvernightIndexedSwapFairRate(N479,Trigger)</f>
        <v>2.0033271019048532E-2</v>
      </c>
      <c r="Q479" s="547">
        <f t="shared" si="9"/>
        <v>6.5665166297259811E-4</v>
      </c>
    </row>
    <row r="480" spans="5:17" x14ac:dyDescent="0.2">
      <c r="E480" s="538"/>
      <c r="F480" s="538"/>
      <c r="G480" s="537"/>
      <c r="I480" s="537"/>
      <c r="J480" s="537"/>
      <c r="L480" s="553">
        <f>_xll.qlCalendarAdvance(Calendar,L479,"1M","f",,Trigger)</f>
        <v>56760</v>
      </c>
      <c r="M480" s="544">
        <f>_xll.qlCalendarAdvance(Calendar,L480,"3M","mf",,Trigger)</f>
        <v>56852</v>
      </c>
      <c r="N480" s="546" t="str">
        <f>_xll.qlMakeDatedOIS(,L480,M480,"eonia",,,,,Trigger)</f>
        <v>obj_00a5d#0002</v>
      </c>
      <c r="O480" s="545">
        <f>_xll.qlIndexFixing("euribor3m",_xll.qlInterestRateIndexFixingDate("Euribor3M",L480),TRUE)</f>
        <v>2.0668322795440636E-2</v>
      </c>
      <c r="P480" s="545">
        <f>_xll.qlOvernightIndexedSwapFairRate(N480,Trigger)</f>
        <v>2.003382749631261E-2</v>
      </c>
      <c r="Q480" s="547">
        <f t="shared" si="9"/>
        <v>6.3449529912802671E-4</v>
      </c>
    </row>
    <row r="481" spans="5:17" x14ac:dyDescent="0.2">
      <c r="E481" s="538"/>
      <c r="F481" s="538"/>
      <c r="G481" s="537"/>
      <c r="I481" s="537"/>
      <c r="J481" s="537"/>
      <c r="L481" s="553">
        <f>_xll.qlCalendarAdvance(Calendar,L480,"1M","f",,Trigger)</f>
        <v>56793</v>
      </c>
      <c r="M481" s="544">
        <f>_xll.qlCalendarAdvance(Calendar,L481,"3M","mf",,Trigger)</f>
        <v>56885</v>
      </c>
      <c r="N481" s="546" t="str">
        <f>_xll.qlMakeDatedOIS(,L481,M481,"eonia",,,,,Trigger)</f>
        <v>obj_00a5f#0002</v>
      </c>
      <c r="O481" s="545">
        <f>_xll.qlIndexFixing("euribor3m",_xll.qlInterestRateIndexFixingDate("Euribor3M",L481),TRUE)</f>
        <v>2.0644705268705467E-2</v>
      </c>
      <c r="P481" s="545">
        <f>_xll.qlOvernightIndexedSwapFairRate(N481,Trigger)</f>
        <v>2.003382749631261E-2</v>
      </c>
      <c r="Q481" s="547">
        <f t="shared" si="9"/>
        <v>6.1087777239285726E-4</v>
      </c>
    </row>
    <row r="482" spans="5:17" x14ac:dyDescent="0.2">
      <c r="E482" s="538"/>
      <c r="F482" s="538"/>
      <c r="G482" s="537"/>
      <c r="I482" s="537"/>
      <c r="J482" s="537"/>
      <c r="L482" s="553">
        <f>_xll.qlCalendarAdvance(Calendar,L481,"1M","f",,Trigger)</f>
        <v>56823</v>
      </c>
      <c r="M482" s="544">
        <f>_xll.qlCalendarAdvance(Calendar,L482,"3M","mf",,Trigger)</f>
        <v>56915</v>
      </c>
      <c r="N482" s="546" t="str">
        <f>_xll.qlMakeDatedOIS(,L482,M482,"eonia",,,,,Trigger)</f>
        <v>obj_00a61#0002</v>
      </c>
      <c r="O482" s="545">
        <f>_xll.qlIndexFixing("euribor3m",_xll.qlInterestRateIndexFixingDate("Euribor3M",L482),TRUE)</f>
        <v>2.0623593887371072E-2</v>
      </c>
      <c r="P482" s="545">
        <f>_xll.qlOvernightIndexedSwapFairRate(N482,Trigger)</f>
        <v>2.003382749631348E-2</v>
      </c>
      <c r="Q482" s="547">
        <f t="shared" si="9"/>
        <v>5.8976639105759107E-4</v>
      </c>
    </row>
    <row r="483" spans="5:17" x14ac:dyDescent="0.2">
      <c r="E483" s="538"/>
      <c r="F483" s="538"/>
      <c r="G483" s="537"/>
      <c r="I483" s="537"/>
      <c r="J483" s="537"/>
      <c r="L483" s="553">
        <f>_xll.qlCalendarAdvance(Calendar,L482,"1M","f",,Trigger)</f>
        <v>56856</v>
      </c>
      <c r="M483" s="544">
        <f>_xll.qlCalendarAdvance(Calendar,L483,"3M","mf",,Trigger)</f>
        <v>56948</v>
      </c>
      <c r="N483" s="546" t="str">
        <f>_xll.qlMakeDatedOIS(,L483,M483,"eonia",,,,,Trigger)</f>
        <v>obj_00a63#0002</v>
      </c>
      <c r="O483" s="545">
        <f>_xll.qlIndexFixing("euribor3m",_xll.qlInterestRateIndexFixingDate("Euribor3M",L483),TRUE)</f>
        <v>2.0600766368390769E-2</v>
      </c>
      <c r="P483" s="545">
        <f>_xll.qlOvernightIndexedSwapFairRate(N483,Trigger)</f>
        <v>2.003382749631348E-2</v>
      </c>
      <c r="Q483" s="547">
        <f t="shared" si="9"/>
        <v>5.6693887207728833E-4</v>
      </c>
    </row>
    <row r="484" spans="5:17" x14ac:dyDescent="0.2">
      <c r="E484" s="538"/>
      <c r="F484" s="538"/>
      <c r="G484" s="537"/>
      <c r="I484" s="537"/>
      <c r="J484" s="537"/>
      <c r="L484" s="553">
        <f>_xll.qlCalendarAdvance(Calendar,L483,"1M","f",,Trigger)</f>
        <v>56887</v>
      </c>
      <c r="M484" s="544">
        <f>_xll.qlCalendarAdvance(Calendar,L484,"3M","mf",,Trigger)</f>
        <v>56978</v>
      </c>
      <c r="N484" s="546" t="str">
        <f>_xll.qlMakeDatedOIS(,L484,M484,"eonia",,,,,Trigger)</f>
        <v>obj_00a65#0002</v>
      </c>
      <c r="O484" s="545">
        <f>_xll.qlIndexFixing("euribor3m",_xll.qlInterestRateIndexFixingDate("Euribor3M",L484),TRUE)</f>
        <v>2.0579699280101255E-2</v>
      </c>
      <c r="P484" s="545">
        <f>_xll.qlOvernightIndexedSwapFairRate(N484,Trigger)</f>
        <v>2.0033271019048532E-2</v>
      </c>
      <c r="Q484" s="547">
        <f t="shared" si="9"/>
        <v>5.4642826105272269E-4</v>
      </c>
    </row>
    <row r="485" spans="5:17" x14ac:dyDescent="0.2">
      <c r="E485" s="538"/>
      <c r="F485" s="538"/>
      <c r="G485" s="537"/>
      <c r="I485" s="537"/>
      <c r="J485" s="537"/>
      <c r="L485" s="553">
        <f>_xll.qlCalendarAdvance(Calendar,L484,"1M","f",,Trigger)</f>
        <v>56919</v>
      </c>
      <c r="M485" s="544">
        <f>_xll.qlCalendarAdvance(Calendar,L485,"3M","mf",,Trigger)</f>
        <v>57011</v>
      </c>
      <c r="N485" s="546" t="str">
        <f>_xll.qlMakeDatedOIS(,L485,M485,"eonia",,,,,Trigger)</f>
        <v>obj_00a67#0002</v>
      </c>
      <c r="O485" s="545">
        <f>_xll.qlIndexFixing("euribor3m",_xll.qlInterestRateIndexFixingDate("Euribor3M",L485),TRUE)</f>
        <v>2.0558335626411676E-2</v>
      </c>
      <c r="P485" s="545">
        <f>_xll.qlOvernightIndexedSwapFairRate(N485,Trigger)</f>
        <v>2.003382749631348E-2</v>
      </c>
      <c r="Q485" s="547">
        <f t="shared" si="9"/>
        <v>5.2450813009819602E-4</v>
      </c>
    </row>
    <row r="486" spans="5:17" x14ac:dyDescent="0.2">
      <c r="E486" s="538"/>
      <c r="F486" s="538"/>
      <c r="G486" s="537"/>
      <c r="I486" s="537"/>
      <c r="J486" s="537"/>
      <c r="L486" s="553">
        <f>_xll.qlCalendarAdvance(Calendar,L485,"1M","f",,Trigger)</f>
        <v>56949</v>
      </c>
      <c r="M486" s="544">
        <f>_xll.qlCalendarAdvance(Calendar,L486,"3M","mf",,Trigger)</f>
        <v>57040</v>
      </c>
      <c r="N486" s="546" t="str">
        <f>_xll.qlMakeDatedOIS(,L486,M486,"eonia",,,,,Trigger)</f>
        <v>obj_00a69#0002</v>
      </c>
      <c r="O486" s="545">
        <f>_xll.qlIndexFixing("euribor3m",_xll.qlInterestRateIndexFixingDate("Euribor3M",L486),TRUE)</f>
        <v>2.0538397925116771E-2</v>
      </c>
      <c r="P486" s="545">
        <f>_xll.qlOvernightIndexedSwapFairRate(N486,Trigger)</f>
        <v>2.0033271019048532E-2</v>
      </c>
      <c r="Q486" s="547">
        <f t="shared" si="9"/>
        <v>5.0512690606823937E-4</v>
      </c>
    </row>
    <row r="487" spans="5:17" x14ac:dyDescent="0.2">
      <c r="E487" s="538"/>
      <c r="F487" s="538"/>
      <c r="G487" s="537"/>
      <c r="I487" s="537"/>
      <c r="J487" s="537"/>
      <c r="L487" s="553">
        <f>_xll.qlCalendarAdvance(Calendar,L486,"1M","f",,Trigger)</f>
        <v>56982</v>
      </c>
      <c r="M487" s="544">
        <f>_xll.qlCalendarAdvance(Calendar,L487,"3M","mf",,Trigger)</f>
        <v>57074</v>
      </c>
      <c r="N487" s="546" t="str">
        <f>_xll.qlMakeDatedOIS(,L487,M487,"eonia",,,,,Trigger)</f>
        <v>obj_00a6b#0002</v>
      </c>
      <c r="O487" s="545">
        <f>_xll.qlIndexFixing("euribor3m",_xll.qlInterestRateIndexFixingDate("Euribor3M",L487),TRUE)</f>
        <v>2.0517412993973316E-2</v>
      </c>
      <c r="P487" s="545">
        <f>_xll.qlOvernightIndexedSwapFairRate(N487,Trigger)</f>
        <v>2.003382749631261E-2</v>
      </c>
      <c r="Q487" s="547">
        <f t="shared" si="9"/>
        <v>4.8358549766070597E-4</v>
      </c>
    </row>
    <row r="488" spans="5:17" x14ac:dyDescent="0.2">
      <c r="E488" s="538"/>
      <c r="F488" s="538"/>
      <c r="G488" s="537"/>
      <c r="I488" s="537"/>
      <c r="J488" s="537"/>
      <c r="L488" s="553">
        <f>_xll.qlCalendarAdvance(Calendar,L487,"1M","f",,Trigger)</f>
        <v>57013</v>
      </c>
      <c r="M488" s="544">
        <f>_xll.qlCalendarAdvance(Calendar,L488,"3M","mf",,Trigger)</f>
        <v>57103</v>
      </c>
      <c r="N488" s="546" t="str">
        <f>_xll.qlMakeDatedOIS(,L488,M488,"eonia",,,,,Trigger)</f>
        <v>obj_00a6d#0002</v>
      </c>
      <c r="O488" s="545">
        <f>_xll.qlIndexFixing("euribor3m",_xll.qlInterestRateIndexFixingDate("Euribor3M",L488),TRUE)</f>
        <v>2.0497285204748472E-2</v>
      </c>
      <c r="P488" s="545">
        <f>_xll.qlOvernightIndexedSwapFairRate(N488,Trigger)</f>
        <v>2.003271456238398E-2</v>
      </c>
      <c r="Q488" s="547">
        <f t="shared" si="9"/>
        <v>4.6457064236449241E-4</v>
      </c>
    </row>
    <row r="489" spans="5:17" x14ac:dyDescent="0.2">
      <c r="E489" s="538"/>
      <c r="F489" s="538"/>
      <c r="G489" s="537"/>
      <c r="I489" s="537"/>
      <c r="J489" s="537"/>
      <c r="L489" s="553">
        <f>_xll.qlCalendarAdvance(Calendar,L488,"1M","f",,Trigger)</f>
        <v>57042</v>
      </c>
      <c r="M489" s="544">
        <f>_xll.qlCalendarAdvance(Calendar,L489,"3M","mf",,Trigger)</f>
        <v>57136</v>
      </c>
      <c r="N489" s="546" t="str">
        <f>_xll.qlMakeDatedOIS(,L489,M489,"eonia",,,,,Trigger)</f>
        <v>obj_00a6f#0002</v>
      </c>
      <c r="O489" s="545">
        <f>_xll.qlIndexFixing("euribor3m",_xll.qlInterestRateIndexFixingDate("Euribor3M",L489),TRUE)</f>
        <v>2.0480395404865421E-2</v>
      </c>
      <c r="P489" s="545">
        <f>_xll.qlOvernightIndexedSwapFairRate(N489,Trigger)</f>
        <v>2.0034940512647505E-2</v>
      </c>
      <c r="Q489" s="547">
        <f t="shared" si="9"/>
        <v>4.4545489221791551E-4</v>
      </c>
    </row>
    <row r="490" spans="5:17" x14ac:dyDescent="0.2">
      <c r="E490" s="538"/>
      <c r="F490" s="538"/>
      <c r="G490" s="537"/>
      <c r="I490" s="537"/>
      <c r="J490" s="537"/>
      <c r="L490" s="553">
        <f>_xll.qlCalendarAdvance(Calendar,L489,"1M","f",,Trigger)</f>
        <v>57074</v>
      </c>
      <c r="M490" s="544">
        <f>_xll.qlCalendarAdvance(Calendar,L490,"3M","mf",,Trigger)</f>
        <v>57165</v>
      </c>
      <c r="N490" s="546" t="str">
        <f>_xll.qlMakeDatedOIS(,L490,M490,"eonia",,,,,Trigger)</f>
        <v>obj_00a71#0002</v>
      </c>
      <c r="O490" s="545">
        <f>_xll.qlIndexFixing("euribor3m",_xll.qlInterestRateIndexFixingDate("Euribor3M",L490),TRUE)</f>
        <v>2.0460080114685603E-2</v>
      </c>
      <c r="P490" s="545">
        <f>_xll.qlOvernightIndexedSwapFairRate(N490,Trigger)</f>
        <v>2.0033271019047654E-2</v>
      </c>
      <c r="Q490" s="547">
        <f t="shared" si="9"/>
        <v>4.2680909563794917E-4</v>
      </c>
    </row>
    <row r="491" spans="5:17" x14ac:dyDescent="0.2">
      <c r="E491" s="538"/>
      <c r="F491" s="538"/>
      <c r="G491" s="537"/>
      <c r="I491" s="537"/>
      <c r="J491" s="537"/>
      <c r="L491" s="553">
        <f>_xll.qlCalendarAdvance(Calendar,L490,"1M","f",,Trigger)</f>
        <v>57104</v>
      </c>
      <c r="M491" s="544">
        <f>_xll.qlCalendarAdvance(Calendar,L491,"3M","mf",,Trigger)</f>
        <v>57196</v>
      </c>
      <c r="N491" s="546" t="str">
        <f>_xll.qlMakeDatedOIS(,L491,M491,"eonia",,,,,Trigger)</f>
        <v>obj_00a73#0002</v>
      </c>
      <c r="O491" s="545">
        <f>_xll.qlIndexFixing("euribor3m",_xll.qlInterestRateIndexFixingDate("Euribor3M",L491),TRUE)</f>
        <v>2.0442453803352609E-2</v>
      </c>
      <c r="P491" s="545">
        <f>_xll.qlOvernightIndexedSwapFairRate(N491,Trigger)</f>
        <v>2.003382749631261E-2</v>
      </c>
      <c r="Q491" s="547">
        <f t="shared" si="9"/>
        <v>4.086263070399998E-4</v>
      </c>
    </row>
    <row r="492" spans="5:17" x14ac:dyDescent="0.2">
      <c r="E492" s="538"/>
      <c r="F492" s="538"/>
      <c r="G492" s="537"/>
      <c r="I492" s="537"/>
      <c r="J492" s="537"/>
      <c r="L492" s="553">
        <f>_xll.qlCalendarAdvance(Calendar,L491,"1M","f",,Trigger)</f>
        <v>57136</v>
      </c>
      <c r="M492" s="544">
        <f>_xll.qlCalendarAdvance(Calendar,L492,"3M","mf",,Trigger)</f>
        <v>57228</v>
      </c>
      <c r="N492" s="546" t="str">
        <f>_xll.qlMakeDatedOIS(,L492,M492,"eonia",,,,,Trigger)</f>
        <v>obj_00a75#0002</v>
      </c>
      <c r="O492" s="545">
        <f>_xll.qlIndexFixing("euribor3m",_xll.qlInterestRateIndexFixingDate("Euribor3M",L492),TRUE)</f>
        <v>2.0423728557847139E-2</v>
      </c>
      <c r="P492" s="545">
        <f>_xll.qlOvernightIndexedSwapFairRate(N492,Trigger)</f>
        <v>2.003382749631261E-2</v>
      </c>
      <c r="Q492" s="547">
        <f t="shared" si="9"/>
        <v>3.89901061534529E-4</v>
      </c>
    </row>
    <row r="493" spans="5:17" x14ac:dyDescent="0.2">
      <c r="E493" s="538"/>
      <c r="F493" s="538"/>
      <c r="G493" s="537"/>
      <c r="I493" s="537"/>
      <c r="J493" s="537"/>
      <c r="L493" s="553">
        <f>_xll.qlCalendarAdvance(Calendar,L492,"1M","f",,Trigger)</f>
        <v>57166</v>
      </c>
      <c r="M493" s="544">
        <f>_xll.qlCalendarAdvance(Calendar,L493,"3M","mf",,Trigger)</f>
        <v>57258</v>
      </c>
      <c r="N493" s="546" t="str">
        <f>_xll.qlMakeDatedOIS(,L493,M493,"eonia",,,,,Trigger)</f>
        <v>obj_00a77#0002</v>
      </c>
      <c r="O493" s="545">
        <f>_xll.qlIndexFixing("euribor3m",_xll.qlInterestRateIndexFixingDate("Euribor3M",L493),TRUE)</f>
        <v>2.0406526978110871E-2</v>
      </c>
      <c r="P493" s="545">
        <f>_xll.qlOvernightIndexedSwapFairRate(N493,Trigger)</f>
        <v>2.003382749631261E-2</v>
      </c>
      <c r="Q493" s="547">
        <f t="shared" si="9"/>
        <v>3.7269948179826165E-4</v>
      </c>
    </row>
    <row r="494" spans="5:17" x14ac:dyDescent="0.2">
      <c r="E494" s="538"/>
      <c r="F494" s="538"/>
      <c r="G494" s="537"/>
      <c r="I494" s="537"/>
      <c r="J494" s="537"/>
      <c r="L494" s="553">
        <f>_xll.qlCalendarAdvance(Calendar,L493,"1M","f",,Trigger)</f>
        <v>57199</v>
      </c>
      <c r="M494" s="544">
        <f>_xll.qlCalendarAdvance(Calendar,L494,"3M","mf",,Trigger)</f>
        <v>57291</v>
      </c>
      <c r="N494" s="546" t="str">
        <f>_xll.qlMakeDatedOIS(,L494,M494,"eonia",,,,,Trigger)</f>
        <v>obj_00a79#0002</v>
      </c>
      <c r="O494" s="545">
        <f>_xll.qlIndexFixing("euribor3m",_xll.qlInterestRateIndexFixingDate("Euribor3M",L494),TRUE)</f>
        <v>2.0388000175553558E-2</v>
      </c>
      <c r="P494" s="545">
        <f>_xll.qlOvernightIndexedSwapFairRate(N494,Trigger)</f>
        <v>2.003382749631261E-2</v>
      </c>
      <c r="Q494" s="547">
        <f t="shared" si="9"/>
        <v>3.5417267924094803E-4</v>
      </c>
    </row>
    <row r="495" spans="5:17" x14ac:dyDescent="0.2">
      <c r="E495" s="538"/>
      <c r="F495" s="538"/>
      <c r="G495" s="537"/>
      <c r="I495" s="537"/>
      <c r="J495" s="537"/>
      <c r="L495" s="553">
        <f>_xll.qlCalendarAdvance(Calendar,L494,"1M","f",,Trigger)</f>
        <v>57230</v>
      </c>
      <c r="M495" s="544">
        <f>_xll.qlCalendarAdvance(Calendar,L495,"3M","mf",,Trigger)</f>
        <v>57321</v>
      </c>
      <c r="N495" s="546" t="str">
        <f>_xll.qlMakeDatedOIS(,L495,M495,"eonia",,,,,Trigger)</f>
        <v>obj_00a7b#0002</v>
      </c>
      <c r="O495" s="545">
        <f>_xll.qlIndexFixing("euribor3m",_xll.qlInterestRateIndexFixingDate("Euribor3M",L495),TRUE)</f>
        <v>2.0370666567106892E-2</v>
      </c>
      <c r="P495" s="545">
        <f>_xll.qlOvernightIndexedSwapFairRate(N495,Trigger)</f>
        <v>2.0033271019048532E-2</v>
      </c>
      <c r="Q495" s="547">
        <f t="shared" si="9"/>
        <v>3.3739554805835986E-4</v>
      </c>
    </row>
    <row r="496" spans="5:17" x14ac:dyDescent="0.2">
      <c r="E496" s="538"/>
      <c r="F496" s="538"/>
      <c r="G496" s="537"/>
      <c r="I496" s="537"/>
      <c r="J496" s="537"/>
      <c r="L496" s="553">
        <f>_xll.qlCalendarAdvance(Calendar,L495,"1M","f",,Trigger)</f>
        <v>57262</v>
      </c>
      <c r="M496" s="544">
        <f>_xll.qlCalendarAdvance(Calendar,L496,"3M","mf",,Trigger)</f>
        <v>57354</v>
      </c>
      <c r="N496" s="546" t="str">
        <f>_xll.qlMakeDatedOIS(,L496,M496,"eonia",,,,,Trigger)</f>
        <v>obj_00a7d#0002</v>
      </c>
      <c r="O496" s="545">
        <f>_xll.qlIndexFixing("euribor3m",_xll.qlInterestRateIndexFixingDate("Euribor3M",L496),TRUE)</f>
        <v>2.0353779706926953E-2</v>
      </c>
      <c r="P496" s="545">
        <f>_xll.qlOvernightIndexedSwapFairRate(N496,Trigger)</f>
        <v>2.0033827496313477E-2</v>
      </c>
      <c r="Q496" s="547">
        <f t="shared" si="9"/>
        <v>3.199522106134764E-4</v>
      </c>
    </row>
    <row r="497" spans="5:17" x14ac:dyDescent="0.2">
      <c r="E497" s="538"/>
      <c r="F497" s="538"/>
      <c r="G497" s="537"/>
      <c r="I497" s="537"/>
      <c r="J497" s="537"/>
      <c r="L497" s="553">
        <f>_xll.qlCalendarAdvance(Calendar,L496,"1M","f",,Trigger)</f>
        <v>57293</v>
      </c>
      <c r="M497" s="544">
        <f>_xll.qlCalendarAdvance(Calendar,L497,"3M","mf",,Trigger)</f>
        <v>57385</v>
      </c>
      <c r="N497" s="546" t="str">
        <f>_xll.qlMakeDatedOIS(,L497,M497,"eonia",,,,,Trigger)</f>
        <v>obj_00a7f#0002</v>
      </c>
      <c r="O497" s="545">
        <f>_xll.qlIndexFixing("euribor3m",_xll.qlInterestRateIndexFixingDate("Euribor3M",L497),TRUE)</f>
        <v>2.0337494599114256E-2</v>
      </c>
      <c r="P497" s="545">
        <f>_xll.qlOvernightIndexedSwapFairRate(N497,Trigger)</f>
        <v>2.0033827496313477E-2</v>
      </c>
      <c r="Q497" s="547">
        <f t="shared" si="9"/>
        <v>3.0366710280077883E-4</v>
      </c>
    </row>
    <row r="498" spans="5:17" x14ac:dyDescent="0.2">
      <c r="E498" s="538"/>
      <c r="F498" s="538"/>
      <c r="G498" s="537"/>
      <c r="I498" s="537"/>
      <c r="J498" s="537"/>
      <c r="L498" s="553">
        <f>_xll.qlCalendarAdvance(Calendar,L497,"1M","f",,Trigger)</f>
        <v>57325</v>
      </c>
      <c r="M498" s="544">
        <f>_xll.qlCalendarAdvance(Calendar,L498,"3M","mf",,Trigger)</f>
        <v>57416</v>
      </c>
      <c r="N498" s="546" t="str">
        <f>_xll.qlMakeDatedOIS(,L498,M498,"eonia",,,,,Trigger)</f>
        <v>obj_00a81#0002</v>
      </c>
      <c r="O498" s="545">
        <f>_xll.qlIndexFixing("euribor3m",_xll.qlInterestRateIndexFixingDate("Euribor3M",L498),TRUE)</f>
        <v>2.0320745355167254E-2</v>
      </c>
      <c r="P498" s="545">
        <f>_xll.qlOvernightIndexedSwapFairRate(N498,Trigger)</f>
        <v>2.0033271019048525E-2</v>
      </c>
      <c r="Q498" s="547">
        <f t="shared" si="9"/>
        <v>2.8747433611872944E-4</v>
      </c>
    </row>
    <row r="499" spans="5:17" x14ac:dyDescent="0.2">
      <c r="E499" s="538"/>
      <c r="F499" s="538"/>
      <c r="G499" s="537"/>
      <c r="I499" s="537"/>
      <c r="J499" s="537"/>
      <c r="L499" s="553">
        <f>_xll.qlCalendarAdvance(Calendar,L498,"1M","f",,Trigger)</f>
        <v>57356</v>
      </c>
      <c r="M499" s="544">
        <f>_xll.qlCalendarAdvance(Calendar,L499,"3M","mf",,Trigger)</f>
        <v>57446</v>
      </c>
      <c r="N499" s="546" t="str">
        <f>_xll.qlMakeDatedOIS(,L499,M499,"eonia",,,,,Trigger)</f>
        <v>obj_00a83#0002</v>
      </c>
      <c r="O499" s="545">
        <f>_xll.qlIndexFixing("euribor3m",_xll.qlInterestRateIndexFixingDate("Euribor3M",L499),TRUE)</f>
        <v>2.0304870539654907E-2</v>
      </c>
      <c r="P499" s="545">
        <f>_xll.qlOvernightIndexedSwapFairRate(N499,Trigger)</f>
        <v>2.003271456238398E-2</v>
      </c>
      <c r="Q499" s="547">
        <f t="shared" si="9"/>
        <v>2.72155977270927E-4</v>
      </c>
    </row>
    <row r="500" spans="5:17" x14ac:dyDescent="0.2">
      <c r="E500" s="538"/>
      <c r="F500" s="538"/>
      <c r="G500" s="537"/>
      <c r="I500" s="537"/>
      <c r="J500" s="537"/>
      <c r="L500" s="553">
        <f>_xll.qlCalendarAdvance(Calendar,L499,"1M","f",,Trigger)</f>
        <v>57388</v>
      </c>
      <c r="M500" s="544">
        <f>_xll.qlCalendarAdvance(Calendar,L500,"3M","mf",,Trigger)</f>
        <v>57479</v>
      </c>
      <c r="N500" s="546" t="str">
        <f>_xll.qlMakeDatedOIS(,L500,M500,"eonia",,,,,Trigger)</f>
        <v>obj_00a85#0002</v>
      </c>
      <c r="O500" s="545">
        <f>_xll.qlIndexFixing("euribor3m",_xll.qlInterestRateIndexFixingDate("Euribor3M",L500),TRUE)</f>
        <v>2.0289530386935057E-2</v>
      </c>
      <c r="P500" s="545">
        <f>_xll.qlOvernightIndexedSwapFairRate(N500,Trigger)</f>
        <v>2.0033271019047654E-2</v>
      </c>
      <c r="Q500" s="547">
        <f t="shared" si="9"/>
        <v>2.5625936788740283E-4</v>
      </c>
    </row>
    <row r="501" spans="5:17" x14ac:dyDescent="0.2">
      <c r="E501" s="538"/>
      <c r="F501" s="538"/>
      <c r="G501" s="537"/>
      <c r="I501" s="537"/>
      <c r="J501" s="537"/>
      <c r="L501" s="553">
        <f>_xll.qlCalendarAdvance(Calendar,L500,"1M","f",,Trigger)</f>
        <v>57416</v>
      </c>
      <c r="M501" s="544">
        <f>_xll.qlCalendarAdvance(Calendar,L501,"3M","mf",,Trigger)</f>
        <v>57508</v>
      </c>
      <c r="N501" s="546" t="str">
        <f>_xll.qlMakeDatedOIS(,L501,M501,"eonia",,,,,Trigger)</f>
        <v>obj_00a87#0002</v>
      </c>
      <c r="O501" s="545">
        <f>_xll.qlIndexFixing("euribor3m",_xll.qlInterestRateIndexFixingDate("Euribor3M",L501),TRUE)</f>
        <v>2.0276477561363151E-2</v>
      </c>
      <c r="P501" s="545">
        <f>_xll.qlOvernightIndexedSwapFairRate(N501,Trigger)</f>
        <v>2.003382749631261E-2</v>
      </c>
      <c r="Q501" s="547">
        <f t="shared" si="9"/>
        <v>2.4265006505054185E-4</v>
      </c>
    </row>
    <row r="502" spans="5:17" x14ac:dyDescent="0.2">
      <c r="E502" s="538"/>
      <c r="F502" s="538"/>
      <c r="G502" s="537"/>
      <c r="I502" s="537"/>
      <c r="J502" s="537"/>
      <c r="L502" s="553">
        <f>_xll.qlCalendarAdvance(Calendar,L501,"1M","f",,Trigger)</f>
        <v>57447</v>
      </c>
      <c r="M502" s="544">
        <f>_xll.qlCalendarAdvance(Calendar,L502,"3M","mf",,Trigger)</f>
        <v>57538</v>
      </c>
      <c r="N502" s="546" t="str">
        <f>_xll.qlMakeDatedOIS(,L502,M502,"eonia",,,,,Trigger)</f>
        <v>obj_00a89#0002</v>
      </c>
      <c r="O502" s="545">
        <f>_xll.qlIndexFixing("euribor3m",_xll.qlInterestRateIndexFixingDate("Euribor3M",L502),TRUE)</f>
        <v>2.026166448306408E-2</v>
      </c>
      <c r="P502" s="545">
        <f>_xll.qlOvernightIndexedSwapFairRate(N502,Trigger)</f>
        <v>2.0033271019047654E-2</v>
      </c>
      <c r="Q502" s="547">
        <f t="shared" si="9"/>
        <v>2.2839346401642632E-4</v>
      </c>
    </row>
    <row r="503" spans="5:17" x14ac:dyDescent="0.2">
      <c r="E503" s="538"/>
      <c r="F503" s="538"/>
      <c r="G503" s="537"/>
      <c r="I503" s="537"/>
      <c r="J503" s="537"/>
      <c r="L503" s="553">
        <f>_xll.qlCalendarAdvance(Calendar,L502,"1M","f",,Trigger)</f>
        <v>57479</v>
      </c>
      <c r="M503" s="544">
        <f>_xll.qlCalendarAdvance(Calendar,L503,"3M","mf",,Trigger)</f>
        <v>57571</v>
      </c>
      <c r="N503" s="546" t="str">
        <f>_xll.qlMakeDatedOIS(,L503,M503,"eonia",,,,,Trigger)</f>
        <v>obj_00a8b#0002</v>
      </c>
      <c r="O503" s="545">
        <f>_xll.qlIndexFixing("euribor3m",_xll.qlInterestRateIndexFixingDate("Euribor3M",L503),TRUE)</f>
        <v>2.0247450727200782E-2</v>
      </c>
      <c r="P503" s="545">
        <f>_xll.qlOvernightIndexedSwapFairRate(N503,Trigger)</f>
        <v>2.0033827496312613E-2</v>
      </c>
      <c r="Q503" s="547">
        <f t="shared" si="9"/>
        <v>2.1362323088816929E-4</v>
      </c>
    </row>
    <row r="504" spans="5:17" x14ac:dyDescent="0.2">
      <c r="E504" s="538"/>
      <c r="F504" s="538"/>
      <c r="G504" s="537"/>
      <c r="I504" s="537"/>
      <c r="J504" s="537"/>
      <c r="L504" s="553">
        <f>_xll.qlCalendarAdvance(Calendar,L503,"1M","f",,Trigger)</f>
        <v>57510</v>
      </c>
      <c r="M504" s="544">
        <f>_xll.qlCalendarAdvance(Calendar,L504,"3M","mf",,Trigger)</f>
        <v>57602</v>
      </c>
      <c r="N504" s="546" t="str">
        <f>_xll.qlMakeDatedOIS(,L504,M504,"eonia",,,,,Trigger)</f>
        <v>obj_00a8d#0002</v>
      </c>
      <c r="O504" s="545">
        <f>_xll.qlIndexFixing("euribor3m",_xll.qlInterestRateIndexFixingDate("Euribor3M",L504),TRUE)</f>
        <v>2.0233721172044531E-2</v>
      </c>
      <c r="P504" s="545">
        <f>_xll.qlOvernightIndexedSwapFairRate(N504,Trigger)</f>
        <v>2.003382749631261E-2</v>
      </c>
      <c r="Q504" s="547">
        <f t="shared" si="9"/>
        <v>1.9989367573192141E-4</v>
      </c>
    </row>
    <row r="505" spans="5:17" x14ac:dyDescent="0.2">
      <c r="E505" s="538"/>
      <c r="F505" s="538"/>
      <c r="G505" s="537"/>
      <c r="I505" s="537"/>
      <c r="J505" s="537"/>
      <c r="L505" s="553">
        <f>_xll.qlCalendarAdvance(Calendar,L504,"1M","f",,Trigger)</f>
        <v>57542</v>
      </c>
      <c r="M505" s="544">
        <f>_xll.qlCalendarAdvance(Calendar,L505,"3M","mf",,Trigger)</f>
        <v>57634</v>
      </c>
      <c r="N505" s="546" t="str">
        <f>_xll.qlMakeDatedOIS(,L505,M505,"eonia",,,,,Trigger)</f>
        <v>obj_00a8f#0002</v>
      </c>
      <c r="O505" s="545">
        <f>_xll.qlIndexFixing("euribor3m",_xll.qlInterestRateIndexFixingDate("Euribor3M",L505),TRUE)</f>
        <v>2.021993164508858E-2</v>
      </c>
      <c r="P505" s="545">
        <f>_xll.qlOvernightIndexedSwapFairRate(N505,Trigger)</f>
        <v>2.003382749631348E-2</v>
      </c>
      <c r="Q505" s="547">
        <f t="shared" si="9"/>
        <v>1.8610414877509932E-4</v>
      </c>
    </row>
    <row r="506" spans="5:17" x14ac:dyDescent="0.2">
      <c r="E506" s="538"/>
      <c r="F506" s="538"/>
      <c r="G506" s="537"/>
      <c r="I506" s="537"/>
      <c r="J506" s="537"/>
      <c r="L506" s="553">
        <f>_xll.qlCalendarAdvance(Calendar,L505,"1M","f",,Trigger)</f>
        <v>57573</v>
      </c>
      <c r="M506" s="544">
        <f>_xll.qlCalendarAdvance(Calendar,L506,"3M","mf",,Trigger)</f>
        <v>57665</v>
      </c>
      <c r="N506" s="546" t="str">
        <f>_xll.qlMakeDatedOIS(,L506,M506,"eonia",,,,,Trigger)</f>
        <v>obj_00a91#0002</v>
      </c>
      <c r="O506" s="545">
        <f>_xll.qlIndexFixing("euribor3m",_xll.qlInterestRateIndexFixingDate("Euribor3M",L506),TRUE)</f>
        <v>2.0206943987946657E-2</v>
      </c>
      <c r="P506" s="545">
        <f>_xll.qlOvernightIndexedSwapFairRate(N506,Trigger)</f>
        <v>2.003382749631261E-2</v>
      </c>
      <c r="Q506" s="547">
        <f t="shared" si="9"/>
        <v>1.7311649163404691E-4</v>
      </c>
    </row>
    <row r="507" spans="5:17" x14ac:dyDescent="0.2">
      <c r="E507" s="538"/>
      <c r="F507" s="538"/>
      <c r="G507" s="537"/>
      <c r="I507" s="537"/>
      <c r="J507" s="537"/>
      <c r="L507" s="553">
        <f>_xll.qlCalendarAdvance(Calendar,L506,"1M","f",,Trigger)</f>
        <v>57605</v>
      </c>
      <c r="M507" s="544">
        <f>_xll.qlCalendarAdvance(Calendar,L507,"3M","mf",,Trigger)</f>
        <v>57696</v>
      </c>
      <c r="N507" s="546" t="str">
        <f>_xll.qlMakeDatedOIS(,L507,M507,"eonia",,,,,Trigger)</f>
        <v>obj_00a93#0002</v>
      </c>
      <c r="O507" s="545">
        <f>_xll.qlIndexFixing("euribor3m",_xll.qlInterestRateIndexFixingDate("Euribor3M",L507),TRUE)</f>
        <v>2.0193552481289116E-2</v>
      </c>
      <c r="P507" s="545">
        <f>_xll.qlOvernightIndexedSwapFairRate(N507,Trigger)</f>
        <v>2.0033271019048528E-2</v>
      </c>
      <c r="Q507" s="547">
        <f t="shared" si="9"/>
        <v>1.6028146224058779E-4</v>
      </c>
    </row>
    <row r="508" spans="5:17" x14ac:dyDescent="0.2">
      <c r="E508" s="538"/>
      <c r="F508" s="538"/>
      <c r="G508" s="537"/>
      <c r="I508" s="537"/>
      <c r="J508" s="537"/>
      <c r="L508" s="553">
        <f>_xll.qlCalendarAdvance(Calendar,L507,"1M","f",,Trigger)</f>
        <v>57635</v>
      </c>
      <c r="M508" s="544">
        <f>_xll.qlCalendarAdvance(Calendar,L508,"3M","mf",,Trigger)</f>
        <v>57727</v>
      </c>
      <c r="N508" s="546" t="str">
        <f>_xll.qlMakeDatedOIS(,L508,M508,"eonia",,,,,Trigger)</f>
        <v>obj_00a95#0002</v>
      </c>
      <c r="O508" s="545">
        <f>_xll.qlIndexFixing("euribor3m",_xll.qlInterestRateIndexFixingDate("Euribor3M",L508),TRUE)</f>
        <v>2.0182063836325106E-2</v>
      </c>
      <c r="P508" s="545">
        <f>_xll.qlOvernightIndexedSwapFairRate(N508,Trigger)</f>
        <v>2.003382749631348E-2</v>
      </c>
      <c r="Q508" s="547">
        <f t="shared" si="9"/>
        <v>1.48236340011626E-4</v>
      </c>
    </row>
    <row r="509" spans="5:17" x14ac:dyDescent="0.2">
      <c r="E509" s="538"/>
      <c r="F509" s="538"/>
      <c r="G509" s="537"/>
      <c r="I509" s="537"/>
      <c r="J509" s="537"/>
      <c r="L509" s="553">
        <f>_xll.qlCalendarAdvance(Calendar,L508,"1M","f",,Trigger)</f>
        <v>57668</v>
      </c>
      <c r="M509" s="544">
        <f>_xll.qlCalendarAdvance(Calendar,L509,"3M","mf",,Trigger)</f>
        <v>57760</v>
      </c>
      <c r="N509" s="546" t="str">
        <f>_xll.qlMakeDatedOIS(,L509,M509,"eonia",,,,,Trigger)</f>
        <v>obj_00a97#0002</v>
      </c>
      <c r="O509" s="545">
        <f>_xll.qlIndexFixing("euribor3m",_xll.qlInterestRateIndexFixingDate("Euribor3M",L509),TRUE)</f>
        <v>2.0169416612166726E-2</v>
      </c>
      <c r="P509" s="545">
        <f>_xll.qlOvernightIndexedSwapFairRate(N509,Trigger)</f>
        <v>2.0033827496312613E-2</v>
      </c>
      <c r="Q509" s="547">
        <f t="shared" si="9"/>
        <v>1.3558911585411296E-4</v>
      </c>
    </row>
    <row r="510" spans="5:17" x14ac:dyDescent="0.2">
      <c r="E510" s="538"/>
      <c r="F510" s="538"/>
      <c r="G510" s="537"/>
      <c r="I510" s="537"/>
      <c r="J510" s="537"/>
      <c r="L510" s="553">
        <f>_xll.qlCalendarAdvance(Calendar,L509,"1M","f",,Trigger)</f>
        <v>57698</v>
      </c>
      <c r="M510" s="544">
        <f>_xll.qlCalendarAdvance(Calendar,L510,"3M","mf",,Trigger)</f>
        <v>57788</v>
      </c>
      <c r="N510" s="546" t="str">
        <f>_xll.qlMakeDatedOIS(,L510,M510,"eonia",,,,,Trigger)</f>
        <v>obj_00a99#0002</v>
      </c>
      <c r="O510" s="545">
        <f>_xll.qlIndexFixing("euribor3m",_xll.qlInterestRateIndexFixingDate("Euribor3M",L510),TRUE)</f>
        <v>2.0157511285958662E-2</v>
      </c>
      <c r="P510" s="545">
        <f>_xll.qlOvernightIndexedSwapFairRate(N510,Trigger)</f>
        <v>2.0032714562384868E-2</v>
      </c>
      <c r="Q510" s="547">
        <f t="shared" si="9"/>
        <v>1.2479672357379457E-4</v>
      </c>
    </row>
    <row r="511" spans="5:17" x14ac:dyDescent="0.2">
      <c r="E511" s="538"/>
      <c r="F511" s="538"/>
      <c r="G511" s="537"/>
      <c r="I511" s="537"/>
      <c r="J511" s="537"/>
      <c r="L511" s="553">
        <f>_xll.qlCalendarAdvance(Calendar,L510,"1M","f",,Trigger)</f>
        <v>57731</v>
      </c>
      <c r="M511" s="544">
        <f>_xll.qlCalendarAdvance(Calendar,L511,"3M","mf",,Trigger)</f>
        <v>57822</v>
      </c>
      <c r="N511" s="546" t="str">
        <f>_xll.qlMakeDatedOIS(,L511,M511,"eonia",,,,,Trigger)</f>
        <v>obj_00a9b#0002</v>
      </c>
      <c r="O511" s="545">
        <f>_xll.qlIndexFixing("euribor3m",_xll.qlInterestRateIndexFixingDate("Euribor3M",L511),TRUE)</f>
        <v>2.0146031525839748E-2</v>
      </c>
      <c r="P511" s="545">
        <f>_xll.qlOvernightIndexedSwapFairRate(N511,Trigger)</f>
        <v>2.0033271019048532E-2</v>
      </c>
      <c r="Q511" s="547">
        <f t="shared" si="9"/>
        <v>1.1276050679121657E-4</v>
      </c>
    </row>
    <row r="512" spans="5:17" x14ac:dyDescent="0.2">
      <c r="E512" s="538"/>
      <c r="F512" s="538"/>
      <c r="G512" s="537"/>
      <c r="I512" s="537"/>
      <c r="J512" s="537"/>
      <c r="L512" s="553">
        <f>_xll.qlCalendarAdvance(Calendar,L511,"1M","f",,Trigger)</f>
        <v>57762</v>
      </c>
      <c r="M512" s="544">
        <f>_xll.qlCalendarAdvance(Calendar,L512,"3M","mf",,Trigger)</f>
        <v>57851</v>
      </c>
      <c r="N512" s="546" t="str">
        <f>_xll.qlMakeDatedOIS(,L512,M512,"eonia",,,,,Trigger)</f>
        <v>obj_00a9d#0002</v>
      </c>
      <c r="O512" s="545">
        <f>_xll.qlIndexFixing("euribor3m",_xll.qlInterestRateIndexFixingDate("Euribor3M",L512),TRUE)</f>
        <v>2.0134475847630305E-2</v>
      </c>
      <c r="P512" s="545">
        <f>_xll.qlOvernightIndexedSwapFairRate(N512,Trigger)</f>
        <v>2.0032158126320841E-2</v>
      </c>
      <c r="Q512" s="547">
        <f t="shared" si="9"/>
        <v>1.0231772130946462E-4</v>
      </c>
    </row>
    <row r="513" spans="5:17" x14ac:dyDescent="0.2">
      <c r="E513" s="538"/>
      <c r="F513" s="538"/>
      <c r="G513" s="537"/>
      <c r="I513" s="537"/>
      <c r="J513" s="537"/>
      <c r="L513" s="553">
        <f>_xll.qlCalendarAdvance(Calendar,L512,"1M","f",,Trigger)</f>
        <v>57790</v>
      </c>
      <c r="M513" s="544">
        <f>_xll.qlCalendarAdvance(Calendar,L513,"3M","mf",,Trigger)</f>
        <v>57882</v>
      </c>
      <c r="N513" s="546" t="str">
        <f>_xll.qlMakeDatedOIS(,L513,M513,"eonia",,,,,Trigger)</f>
        <v>obj_00a9f#0002</v>
      </c>
      <c r="O513" s="545">
        <f>_xll.qlIndexFixing("euribor3m",_xll.qlInterestRateIndexFixingDate("Euribor3M",L513),TRUE)</f>
        <v>2.0126251749245337E-2</v>
      </c>
      <c r="P513" s="545">
        <f>_xll.qlOvernightIndexedSwapFairRate(N513,Trigger)</f>
        <v>2.0033827496311742E-2</v>
      </c>
      <c r="Q513" s="547">
        <f t="shared" si="9"/>
        <v>9.242425293359488E-5</v>
      </c>
    </row>
    <row r="514" spans="5:17" x14ac:dyDescent="0.2">
      <c r="E514" s="538"/>
      <c r="F514" s="538"/>
      <c r="G514" s="537"/>
      <c r="I514" s="537"/>
      <c r="J514" s="537"/>
      <c r="L514" s="553">
        <f>_xll.qlCalendarAdvance(Calendar,L513,"1M","f",,Trigger)</f>
        <v>57822</v>
      </c>
      <c r="M514" s="544">
        <f>_xll.qlCalendarAdvance(Calendar,L514,"3M","mf",,Trigger)</f>
        <v>57913</v>
      </c>
      <c r="N514" s="546" t="str">
        <f>_xll.qlMakeDatedOIS(,L514,M514,"eonia",,,,,Trigger)</f>
        <v>obj_00aa1#0002</v>
      </c>
      <c r="O514" s="545">
        <f>_xll.qlIndexFixing("euribor3m",_xll.qlInterestRateIndexFixingDate("Euribor3M",L514),TRUE)</f>
        <v>2.0115461112886153E-2</v>
      </c>
      <c r="P514" s="545">
        <f>_xll.qlOvernightIndexedSwapFairRate(N514,Trigger)</f>
        <v>2.0033271019047654E-2</v>
      </c>
      <c r="Q514" s="547">
        <f t="shared" si="9"/>
        <v>8.2190093838498818E-5</v>
      </c>
    </row>
    <row r="515" spans="5:17" x14ac:dyDescent="0.2">
      <c r="E515" s="538"/>
      <c r="F515" s="538"/>
      <c r="G515" s="537"/>
      <c r="I515" s="537"/>
      <c r="J515" s="537"/>
      <c r="L515" s="553">
        <f>_xll.qlCalendarAdvance(Calendar,L514,"1M","f",,Trigger)</f>
        <v>57852</v>
      </c>
      <c r="M515" s="544">
        <f>_xll.qlCalendarAdvance(Calendar,L515,"3M","mf",,Trigger)</f>
        <v>57944</v>
      </c>
      <c r="N515" s="546" t="str">
        <f>_xll.qlMakeDatedOIS(,L515,M515,"eonia",,,,,Trigger)</f>
        <v>obj_00aa3#0002</v>
      </c>
      <c r="O515" s="545">
        <f>_xll.qlIndexFixing("euribor3m",_xll.qlInterestRateIndexFixingDate("Euribor3M",L515),TRUE)</f>
        <v>2.0106482165941884E-2</v>
      </c>
      <c r="P515" s="545">
        <f>_xll.qlOvernightIndexedSwapFairRate(N515,Trigger)</f>
        <v>2.003382749631261E-2</v>
      </c>
      <c r="Q515" s="547">
        <f t="shared" ref="Q515:Q578" si="10">O515-P515</f>
        <v>7.2654669629274027E-5</v>
      </c>
    </row>
    <row r="516" spans="5:17" x14ac:dyDescent="0.2">
      <c r="E516" s="538"/>
      <c r="F516" s="538"/>
      <c r="G516" s="537"/>
      <c r="I516" s="537"/>
      <c r="J516" s="537"/>
      <c r="L516" s="553">
        <f>_xll.qlCalendarAdvance(Calendar,L515,"1M","f",,Trigger)</f>
        <v>57885</v>
      </c>
      <c r="M516" s="544">
        <f>_xll.qlCalendarAdvance(Calendar,L516,"3M","mf",,Trigger)</f>
        <v>57977</v>
      </c>
      <c r="N516" s="546" t="str">
        <f>_xll.qlMakeDatedOIS(,L516,M516,"eonia",,,,,Trigger)</f>
        <v>obj_00aa5#0002</v>
      </c>
      <c r="O516" s="545">
        <f>_xll.qlIndexFixing("euribor3m",_xll.qlInterestRateIndexFixingDate("Euribor3M",L516),TRUE)</f>
        <v>2.0096555048300057E-2</v>
      </c>
      <c r="P516" s="545">
        <f>_xll.qlOvernightIndexedSwapFairRate(N516,Trigger)</f>
        <v>2.0033827496312613E-2</v>
      </c>
      <c r="Q516" s="547">
        <f t="shared" si="10"/>
        <v>6.2727551987443869E-5</v>
      </c>
    </row>
    <row r="517" spans="5:17" x14ac:dyDescent="0.2">
      <c r="E517" s="538"/>
      <c r="F517" s="538"/>
      <c r="G517" s="537"/>
      <c r="I517" s="537"/>
      <c r="J517" s="537"/>
      <c r="L517" s="553">
        <f>_xll.qlCalendarAdvance(Calendar,L516,"1M","f",,Trigger)</f>
        <v>57915</v>
      </c>
      <c r="M517" s="544">
        <f>_xll.qlCalendarAdvance(Calendar,L517,"3M","mf",,Trigger)</f>
        <v>58007</v>
      </c>
      <c r="N517" s="546" t="str">
        <f>_xll.qlMakeDatedOIS(,L517,M517,"eonia",,,,,Trigger)</f>
        <v>obj_00aa7#0002</v>
      </c>
      <c r="O517" s="545">
        <f>_xll.qlIndexFixing("euribor3m",_xll.qlInterestRateIndexFixingDate("Euribor3M",L517),TRUE)</f>
        <v>2.008788934322393E-2</v>
      </c>
      <c r="P517" s="545">
        <f>_xll.qlOvernightIndexedSwapFairRate(N517,Trigger)</f>
        <v>2.003382749631261E-2</v>
      </c>
      <c r="Q517" s="547">
        <f t="shared" si="10"/>
        <v>5.4061846911319933E-5</v>
      </c>
    </row>
    <row r="518" spans="5:17" x14ac:dyDescent="0.2">
      <c r="E518" s="538"/>
      <c r="F518" s="538"/>
      <c r="G518" s="537"/>
      <c r="I518" s="537"/>
      <c r="J518" s="537"/>
      <c r="L518" s="553">
        <f>_xll.qlCalendarAdvance(Calendar,L517,"1M","f",,Trigger)</f>
        <v>57948</v>
      </c>
      <c r="M518" s="544">
        <f>_xll.qlCalendarAdvance(Calendar,L518,"3M","mf",,Trigger)</f>
        <v>58040</v>
      </c>
      <c r="N518" s="546" t="str">
        <f>_xll.qlMakeDatedOIS(,L518,M518,"eonia",,,,,Trigger)</f>
        <v>obj_00aa9#0002</v>
      </c>
      <c r="O518" s="545">
        <f>_xll.qlIndexFixing("euribor3m",_xll.qlInterestRateIndexFixingDate("Euribor3M",L518),TRUE)</f>
        <v>2.0078751906916336E-2</v>
      </c>
      <c r="P518" s="545">
        <f>_xll.qlOvernightIndexedSwapFairRate(N518,Trigger)</f>
        <v>2.003382749631261E-2</v>
      </c>
      <c r="Q518" s="547">
        <f t="shared" si="10"/>
        <v>4.4924410603726372E-5</v>
      </c>
    </row>
    <row r="519" spans="5:17" x14ac:dyDescent="0.2">
      <c r="E519" s="538"/>
      <c r="F519" s="538"/>
      <c r="G519" s="537"/>
      <c r="I519" s="537"/>
      <c r="J519" s="537"/>
      <c r="L519" s="553">
        <f>_xll.qlCalendarAdvance(Calendar,L518,"1M","f",,Trigger)</f>
        <v>57979</v>
      </c>
      <c r="M519" s="544">
        <f>_xll.qlCalendarAdvance(Calendar,L519,"3M","mf",,Trigger)</f>
        <v>58071</v>
      </c>
      <c r="N519" s="546" t="str">
        <f>_xll.qlMakeDatedOIS(,L519,M519,"eonia",,,,,Trigger)</f>
        <v>obj_00aab#0002</v>
      </c>
      <c r="O519" s="545">
        <f>_xll.qlIndexFixing("euribor3m",_xll.qlInterestRateIndexFixingDate("Euribor3M",L519),TRUE)</f>
        <v>2.0070545049209878E-2</v>
      </c>
      <c r="P519" s="545">
        <f>_xll.qlOvernightIndexedSwapFairRate(N519,Trigger)</f>
        <v>2.0033827496312613E-2</v>
      </c>
      <c r="Q519" s="547">
        <f t="shared" si="10"/>
        <v>3.6717552897264777E-5</v>
      </c>
    </row>
    <row r="520" spans="5:17" x14ac:dyDescent="0.2">
      <c r="E520" s="538"/>
      <c r="F520" s="538"/>
      <c r="G520" s="537"/>
      <c r="I520" s="537"/>
      <c r="J520" s="537"/>
      <c r="L520" s="553">
        <f>_xll.qlCalendarAdvance(Calendar,L519,"1M","f",,Trigger)</f>
        <v>58011</v>
      </c>
      <c r="M520" s="544">
        <f>_xll.qlCalendarAdvance(Calendar,L520,"3M","mf",,Trigger)</f>
        <v>58103</v>
      </c>
      <c r="N520" s="546" t="str">
        <f>_xll.qlMakeDatedOIS(,L520,M520,"eonia",,,,,Trigger)</f>
        <v>obj_00aad#0002</v>
      </c>
      <c r="O520" s="545">
        <f>_xll.qlIndexFixing("euribor3m",_xll.qlInterestRateIndexFixingDate("Euribor3M",L520),TRUE)</f>
        <v>2.0062456323597089E-2</v>
      </c>
      <c r="P520" s="545">
        <f>_xll.qlOvernightIndexedSwapFairRate(N520,Trigger)</f>
        <v>2.003382749631261E-2</v>
      </c>
      <c r="Q520" s="547">
        <f t="shared" si="10"/>
        <v>2.8628827284479796E-5</v>
      </c>
    </row>
    <row r="521" spans="5:17" x14ac:dyDescent="0.2">
      <c r="E521" s="538"/>
      <c r="F521" s="538"/>
      <c r="G521" s="537"/>
      <c r="I521" s="537"/>
      <c r="J521" s="537"/>
      <c r="L521" s="553">
        <f>_xll.qlCalendarAdvance(Calendar,L520,"1M","f",,Trigger)</f>
        <v>58042</v>
      </c>
      <c r="M521" s="544">
        <f>_xll.qlCalendarAdvance(Calendar,L521,"3M","mf",,Trigger)</f>
        <v>58134</v>
      </c>
      <c r="N521" s="546" t="str">
        <f>_xll.qlMakeDatedOIS(,L521,M521,"eonia",,,,,Trigger)</f>
        <v>obj_00aaf#0002</v>
      </c>
      <c r="O521" s="545">
        <f>_xll.qlIndexFixing("euribor3m",_xll.qlInterestRateIndexFixingDate("Euribor3M",L521),TRUE)</f>
        <v>2.0054991273190565E-2</v>
      </c>
      <c r="P521" s="545">
        <f>_xll.qlOvernightIndexedSwapFairRate(N521,Trigger)</f>
        <v>2.003382749631261E-2</v>
      </c>
      <c r="Q521" s="547">
        <f t="shared" si="10"/>
        <v>2.1163776877955454E-5</v>
      </c>
    </row>
    <row r="522" spans="5:17" x14ac:dyDescent="0.2">
      <c r="E522" s="538"/>
      <c r="F522" s="538"/>
      <c r="G522" s="537"/>
      <c r="I522" s="537"/>
      <c r="J522" s="537"/>
      <c r="L522" s="553">
        <f>_xll.qlCalendarAdvance(Calendar,L521,"1M","f",,Trigger)</f>
        <v>58074</v>
      </c>
      <c r="M522" s="544">
        <f>_xll.qlCalendarAdvance(Calendar,L522,"3M","mf",,Trigger)</f>
        <v>58161</v>
      </c>
      <c r="N522" s="546" t="str">
        <f>_xll.qlMakeDatedOIS(,L522,M522,"eonia",,,,,Trigger)</f>
        <v>obj_00ab1#0002</v>
      </c>
      <c r="O522" s="545">
        <f>_xll.qlIndexFixing("euribor3m",_xll.qlInterestRateIndexFixingDate("Euribor3M",L522),TRUE)</f>
        <v>2.0045426045126487E-2</v>
      </c>
      <c r="P522" s="545">
        <f>_xll.qlOvernightIndexedSwapFairRate(N522,Trigger)</f>
        <v>2.0031045315989326E-2</v>
      </c>
      <c r="Q522" s="547">
        <f t="shared" si="10"/>
        <v>1.4380729137161707E-5</v>
      </c>
    </row>
    <row r="523" spans="5:17" x14ac:dyDescent="0.2">
      <c r="E523" s="538"/>
      <c r="F523" s="538"/>
      <c r="G523" s="537"/>
      <c r="I523" s="537"/>
      <c r="J523" s="537"/>
      <c r="L523" s="553">
        <f>_xll.qlCalendarAdvance(Calendar,L522,"1M","f",,Trigger)</f>
        <v>58105</v>
      </c>
      <c r="M523" s="544">
        <f>_xll.qlCalendarAdvance(Calendar,L523,"3M","mf",,Trigger)</f>
        <v>58195</v>
      </c>
      <c r="N523" s="546" t="str">
        <f>_xll.qlMakeDatedOIS(,L523,M523,"eonia",,,,,Trigger)</f>
        <v>obj_00ab3#0002</v>
      </c>
      <c r="O523" s="545">
        <f>_xll.qlIndexFixing("euribor3m",_xll.qlInterestRateIndexFixingDate("Euribor3M",L523),TRUE)</f>
        <v>2.0040036702205555E-2</v>
      </c>
      <c r="P523" s="545">
        <f>_xll.qlOvernightIndexedSwapFairRate(N523,Trigger)</f>
        <v>2.003271456238398E-2</v>
      </c>
      <c r="Q523" s="547">
        <f t="shared" si="10"/>
        <v>7.3221398215750355E-6</v>
      </c>
    </row>
    <row r="524" spans="5:17" x14ac:dyDescent="0.2">
      <c r="E524" s="538"/>
      <c r="F524" s="538"/>
      <c r="G524" s="537"/>
      <c r="I524" s="537"/>
      <c r="J524" s="537"/>
      <c r="L524" s="553">
        <f>_xll.qlCalendarAdvance(Calendar,L523,"1M","f",,Trigger)</f>
        <v>58134</v>
      </c>
      <c r="M524" s="544">
        <f>_xll.qlCalendarAdvance(Calendar,L524,"3M","mf",,Trigger)</f>
        <v>58223</v>
      </c>
      <c r="N524" s="546" t="str">
        <f>_xll.qlMakeDatedOIS(,L524,M524,"eonia",,,,,Trigger)</f>
        <v>obj_00ab5#0002</v>
      </c>
      <c r="O524" s="545">
        <f>_xll.qlIndexFixing("euribor3m",_xll.qlInterestRateIndexFixingDate("Euribor3M",L524),TRUE)</f>
        <v>2.0034526572757883E-2</v>
      </c>
      <c r="P524" s="545">
        <f>_xll.qlOvernightIndexedSwapFairRate(N524,Trigger)</f>
        <v>2.0032158126320837E-2</v>
      </c>
      <c r="Q524" s="547">
        <f t="shared" si="10"/>
        <v>2.3684464370461733E-6</v>
      </c>
    </row>
    <row r="525" spans="5:17" x14ac:dyDescent="0.2">
      <c r="E525" s="538"/>
      <c r="F525" s="538"/>
      <c r="G525" s="537"/>
      <c r="I525" s="537"/>
      <c r="J525" s="537"/>
      <c r="L525" s="553">
        <f>_xll.qlCalendarAdvance(Calendar,L524,"1M","f",,Trigger)</f>
        <v>58166</v>
      </c>
      <c r="M525" s="544">
        <f>_xll.qlCalendarAdvance(Calendar,L525,"3M","mf",,Trigger)</f>
        <v>58257</v>
      </c>
      <c r="N525" s="546" t="str">
        <f>_xll.qlMakeDatedOIS(,L525,M525,"eonia",,,,,Trigger)</f>
        <v>obj_00ab7#0002</v>
      </c>
      <c r="O525" s="545">
        <f>_xll.qlIndexFixing("euribor3m",_xll.qlInterestRateIndexFixingDate("Euribor3M",L525),TRUE)</f>
        <v>2.0028316043740231E-2</v>
      </c>
      <c r="P525" s="545">
        <f>_xll.qlOvernightIndexedSwapFairRate(N525,Trigger)</f>
        <v>2.0033271019047651E-2</v>
      </c>
      <c r="Q525" s="547">
        <f t="shared" si="10"/>
        <v>-4.9549753074196179E-6</v>
      </c>
    </row>
    <row r="526" spans="5:17" x14ac:dyDescent="0.2">
      <c r="E526" s="538"/>
      <c r="F526" s="538"/>
      <c r="G526" s="537"/>
      <c r="I526" s="537"/>
      <c r="J526" s="537"/>
      <c r="L526" s="553">
        <f>_xll.qlCalendarAdvance(Calendar,L525,"1M","f",,Trigger)</f>
        <v>58197</v>
      </c>
      <c r="M526" s="544">
        <f>_xll.qlCalendarAdvance(Calendar,L526,"3M","mf",,Trigger)</f>
        <v>58291</v>
      </c>
      <c r="N526" s="546" t="str">
        <f>_xll.qlMakeDatedOIS(,L526,M526,"eonia",,,,,Trigger)</f>
        <v>obj_00ab9#0002</v>
      </c>
      <c r="O526" s="545">
        <f>_xll.qlIndexFixing("euribor3m",_xll.qlInterestRateIndexFixingDate("Euribor3M",L526),TRUE)</f>
        <v>2.0024083019349031E-2</v>
      </c>
      <c r="P526" s="545">
        <f>_xll.qlOvernightIndexedSwapFairRate(N526,Trigger)</f>
        <v>2.0034940512646655E-2</v>
      </c>
      <c r="Q526" s="547">
        <f t="shared" si="10"/>
        <v>-1.0857493297624504E-5</v>
      </c>
    </row>
    <row r="527" spans="5:17" x14ac:dyDescent="0.2">
      <c r="E527" s="538"/>
      <c r="F527" s="538"/>
      <c r="G527" s="537"/>
      <c r="I527" s="537"/>
      <c r="J527" s="537"/>
      <c r="L527" s="553">
        <f>_xll.qlCalendarAdvance(Calendar,L526,"1M","f",,Trigger)</f>
        <v>58228</v>
      </c>
      <c r="M527" s="544">
        <f>_xll.qlCalendarAdvance(Calendar,L527,"3M","mf",,Trigger)</f>
        <v>58320</v>
      </c>
      <c r="N527" s="546" t="str">
        <f>_xll.qlMakeDatedOIS(,L527,M527,"eonia",,,,,Trigger)</f>
        <v>obj_00abb#0002</v>
      </c>
      <c r="O527" s="545">
        <f>_xll.qlIndexFixing("euribor3m",_xll.qlInterestRateIndexFixingDate("Euribor3M",L527),TRUE)</f>
        <v>2.0017866179943136E-2</v>
      </c>
      <c r="P527" s="545">
        <f>_xll.qlOvernightIndexedSwapFairRate(N527,Trigger)</f>
        <v>2.0033827496312613E-2</v>
      </c>
      <c r="Q527" s="547">
        <f t="shared" si="10"/>
        <v>-1.5961316369477591E-5</v>
      </c>
    </row>
    <row r="528" spans="5:17" x14ac:dyDescent="0.2">
      <c r="E528" s="538"/>
      <c r="F528" s="538"/>
      <c r="G528" s="537"/>
      <c r="I528" s="537"/>
      <c r="J528" s="537"/>
      <c r="L528" s="553">
        <f>_xll.qlCalendarAdvance(Calendar,L527,"1M","f",,Trigger)</f>
        <v>58258</v>
      </c>
      <c r="M528" s="544">
        <f>_xll.qlCalendarAdvance(Calendar,L528,"3M","mf",,Trigger)</f>
        <v>58350</v>
      </c>
      <c r="N528" s="546" t="str">
        <f>_xll.qlMakeDatedOIS(,L528,M528,"eonia",,,,,Trigger)</f>
        <v>obj_00abd#0002</v>
      </c>
      <c r="O528" s="545">
        <f>_xll.qlIndexFixing("euribor3m",_xll.qlInterestRateIndexFixingDate("Euribor3M",L528),TRUE)</f>
        <v>2.0013108872960872E-2</v>
      </c>
      <c r="P528" s="545">
        <f>_xll.qlOvernightIndexedSwapFairRate(N528,Trigger)</f>
        <v>2.003382749631261E-2</v>
      </c>
      <c r="Q528" s="547">
        <f t="shared" si="10"/>
        <v>-2.0718623351737714E-5</v>
      </c>
    </row>
    <row r="529" spans="5:17" x14ac:dyDescent="0.2">
      <c r="E529" s="538"/>
      <c r="F529" s="538"/>
      <c r="G529" s="537"/>
      <c r="I529" s="537"/>
      <c r="J529" s="537"/>
      <c r="L529" s="553">
        <f>_xll.qlCalendarAdvance(Calendar,L528,"1M","f",,Trigger)</f>
        <v>58291</v>
      </c>
      <c r="M529" s="544">
        <f>_xll.qlCalendarAdvance(Calendar,L529,"3M","mf",,Trigger)</f>
        <v>58383</v>
      </c>
      <c r="N529" s="546" t="str">
        <f>_xll.qlMakeDatedOIS(,L529,M529,"eonia",,,,,Trigger)</f>
        <v>obj_00abf#0002</v>
      </c>
      <c r="O529" s="545">
        <f>_xll.qlIndexFixing("euribor3m",_xll.qlInterestRateIndexFixingDate("Euribor3M",L529),TRUE)</f>
        <v>2.0008270652075204E-2</v>
      </c>
      <c r="P529" s="545">
        <f>_xll.qlOvernightIndexedSwapFairRate(N529,Trigger)</f>
        <v>2.003382749631261E-2</v>
      </c>
      <c r="Q529" s="547">
        <f t="shared" si="10"/>
        <v>-2.5556844237405174E-5</v>
      </c>
    </row>
    <row r="530" spans="5:17" x14ac:dyDescent="0.2">
      <c r="E530" s="538"/>
      <c r="F530" s="538"/>
      <c r="G530" s="537"/>
      <c r="I530" s="537"/>
      <c r="J530" s="537"/>
      <c r="L530" s="553">
        <f>_xll.qlCalendarAdvance(Calendar,L529,"1M","f",,Trigger)</f>
        <v>58322</v>
      </c>
      <c r="M530" s="544">
        <f>_xll.qlCalendarAdvance(Calendar,L530,"3M","mf",,Trigger)</f>
        <v>58413</v>
      </c>
      <c r="N530" s="546" t="str">
        <f>_xll.qlMakeDatedOIS(,L530,M530,"eonia",,,,,Trigger)</f>
        <v>obj_00ac1#0002</v>
      </c>
      <c r="O530" s="545">
        <f>_xll.qlIndexFixing("euribor3m",_xll.qlInterestRateIndexFixingDate("Euribor3M",L530),TRUE)</f>
        <v>2.0003609036304236E-2</v>
      </c>
      <c r="P530" s="545">
        <f>_xll.qlOvernightIndexedSwapFairRate(N530,Trigger)</f>
        <v>2.0033271019048528E-2</v>
      </c>
      <c r="Q530" s="547">
        <f t="shared" si="10"/>
        <v>-2.9661982744292464E-5</v>
      </c>
    </row>
    <row r="531" spans="5:17" x14ac:dyDescent="0.2">
      <c r="E531" s="538"/>
      <c r="F531" s="538"/>
      <c r="G531" s="537"/>
      <c r="I531" s="537"/>
      <c r="J531" s="537"/>
      <c r="L531" s="553">
        <f>_xll.qlCalendarAdvance(Calendar,L530,"1M","f",,Trigger)</f>
        <v>58354</v>
      </c>
      <c r="M531" s="544">
        <f>_xll.qlCalendarAdvance(Calendar,L531,"3M","mf",,Trigger)</f>
        <v>58446</v>
      </c>
      <c r="N531" s="546" t="str">
        <f>_xll.qlMakeDatedOIS(,L531,M531,"eonia",,,,,Trigger)</f>
        <v>obj_00ac3#0002</v>
      </c>
      <c r="O531" s="545">
        <f>_xll.qlIndexFixing("euribor3m",_xll.qlInterestRateIndexFixingDate("Euribor3M",L531),TRUE)</f>
        <v>2.0000182601231351E-2</v>
      </c>
      <c r="P531" s="545">
        <f>_xll.qlOvernightIndexedSwapFairRate(N531,Trigger)</f>
        <v>2.003382749631348E-2</v>
      </c>
      <c r="Q531" s="547">
        <f t="shared" si="10"/>
        <v>-3.3644895082129284E-5</v>
      </c>
    </row>
    <row r="532" spans="5:17" x14ac:dyDescent="0.2">
      <c r="E532" s="538"/>
      <c r="F532" s="538"/>
      <c r="G532" s="537"/>
      <c r="I532" s="537"/>
      <c r="J532" s="537"/>
      <c r="L532" s="553">
        <f>_xll.qlCalendarAdvance(Calendar,L531,"1M","f",,Trigger)</f>
        <v>58385</v>
      </c>
      <c r="M532" s="544">
        <f>_xll.qlCalendarAdvance(Calendar,L532,"3M","mf",,Trigger)</f>
        <v>58477</v>
      </c>
      <c r="N532" s="546" t="str">
        <f>_xll.qlMakeDatedOIS(,L532,M532,"eonia",,,,,Trigger)</f>
        <v>obj_00ac5#0002</v>
      </c>
      <c r="O532" s="545">
        <f>_xll.qlIndexFixing("euribor3m",_xll.qlInterestRateIndexFixingDate("Euribor3M",L532),TRUE)</f>
        <v>1.9996756151043422E-2</v>
      </c>
      <c r="P532" s="545">
        <f>_xll.qlOvernightIndexedSwapFairRate(N532,Trigger)</f>
        <v>2.003382749631261E-2</v>
      </c>
      <c r="Q532" s="547">
        <f t="shared" si="10"/>
        <v>-3.7071345269187872E-5</v>
      </c>
    </row>
    <row r="533" spans="5:17" x14ac:dyDescent="0.2">
      <c r="E533" s="538"/>
      <c r="F533" s="538"/>
      <c r="G533" s="537"/>
      <c r="I533" s="537"/>
      <c r="J533" s="537"/>
      <c r="L533" s="553">
        <f>_xll.qlCalendarAdvance(Calendar,L532,"1M","f",,Trigger)</f>
        <v>58417</v>
      </c>
      <c r="M533" s="544">
        <f>_xll.qlCalendarAdvance(Calendar,L533,"3M","mf",,Trigger)</f>
        <v>58508</v>
      </c>
      <c r="N533" s="546" t="str">
        <f>_xll.qlMakeDatedOIS(,L533,M533,"eonia",,,,,Trigger)</f>
        <v>obj_00ac7#0002</v>
      </c>
      <c r="O533" s="545">
        <f>_xll.qlIndexFixing("euribor3m",_xll.qlInterestRateIndexFixingDate("Euribor3M",L533),TRUE)</f>
        <v>1.9993091165271211E-2</v>
      </c>
      <c r="P533" s="545">
        <f>_xll.qlOvernightIndexedSwapFairRate(N533,Trigger)</f>
        <v>2.0033271019048535E-2</v>
      </c>
      <c r="Q533" s="547">
        <f t="shared" si="10"/>
        <v>-4.0179853777324442E-5</v>
      </c>
    </row>
    <row r="534" spans="5:17" x14ac:dyDescent="0.2">
      <c r="E534" s="538"/>
      <c r="F534" s="538"/>
      <c r="G534" s="537"/>
      <c r="I534" s="537"/>
      <c r="J534" s="537"/>
      <c r="L534" s="553">
        <f>_xll.qlCalendarAdvance(Calendar,L533,"1M","f",,Trigger)</f>
        <v>58448</v>
      </c>
      <c r="M534" s="544">
        <f>_xll.qlCalendarAdvance(Calendar,L534,"3M","mf",,Trigger)</f>
        <v>58539</v>
      </c>
      <c r="N534" s="546" t="str">
        <f>_xll.qlMakeDatedOIS(,L534,M534,"eonia",,,,,Trigger)</f>
        <v>obj_00ac9#0002</v>
      </c>
      <c r="O534" s="545">
        <f>_xll.qlIndexFixing("euribor3m",_xll.qlInterestRateIndexFixingDate("Euribor3M",L534),TRUE)</f>
        <v>1.9990400744039478E-2</v>
      </c>
      <c r="P534" s="545">
        <f>_xll.qlOvernightIndexedSwapFairRate(N534,Trigger)</f>
        <v>2.0033271019048535E-2</v>
      </c>
      <c r="Q534" s="547">
        <f t="shared" si="10"/>
        <v>-4.2870275009057601E-5</v>
      </c>
    </row>
    <row r="535" spans="5:17" x14ac:dyDescent="0.2">
      <c r="E535" s="538"/>
      <c r="F535" s="538"/>
      <c r="G535" s="537"/>
      <c r="I535" s="537"/>
      <c r="J535" s="537"/>
      <c r="L535" s="553">
        <f>_xll.qlCalendarAdvance(Calendar,L534,"1M","f",,Trigger)</f>
        <v>58480</v>
      </c>
      <c r="M535" s="544">
        <f>_xll.qlCalendarAdvance(Calendar,L535,"3M","mf",,Trigger)</f>
        <v>58571</v>
      </c>
      <c r="N535" s="546" t="str">
        <f>_xll.qlMakeDatedOIS(,L535,M535,"eonia",,,,,Trigger)</f>
        <v>obj_00acb#0002</v>
      </c>
      <c r="O535" s="545">
        <f>_xll.qlIndexFixing("euribor3m",_xll.qlInterestRateIndexFixingDate("Euribor3M",L535),TRUE)</f>
        <v>1.9988006360019194E-2</v>
      </c>
      <c r="P535" s="545">
        <f>_xll.qlOvernightIndexedSwapFairRate(N535,Trigger)</f>
        <v>2.0033271019047651E-2</v>
      </c>
      <c r="Q535" s="547">
        <f t="shared" si="10"/>
        <v>-4.5264659028456528E-5</v>
      </c>
    </row>
    <row r="536" spans="5:17" x14ac:dyDescent="0.2">
      <c r="E536" s="538"/>
      <c r="F536" s="538"/>
      <c r="G536" s="537"/>
      <c r="I536" s="537"/>
      <c r="J536" s="537"/>
      <c r="L536" s="553">
        <f>_xll.qlCalendarAdvance(Calendar,L535,"1M","f",,Trigger)</f>
        <v>58509</v>
      </c>
      <c r="M536" s="544">
        <f>_xll.qlCalendarAdvance(Calendar,L536,"3M","mf",,Trigger)</f>
        <v>58601</v>
      </c>
      <c r="N536" s="546" t="str">
        <f>_xll.qlMakeDatedOIS(,L536,M536,"eonia",,,,,Trigger)</f>
        <v>obj_00acd#0002</v>
      </c>
      <c r="O536" s="545">
        <f>_xll.qlIndexFixing("euribor3m",_xll.qlInterestRateIndexFixingDate("Euribor3M",L536),TRUE)</f>
        <v>1.9986700311007979E-2</v>
      </c>
      <c r="P536" s="545">
        <f>_xll.qlOvernightIndexedSwapFairRate(N536,Trigger)</f>
        <v>2.003382749631348E-2</v>
      </c>
      <c r="Q536" s="547">
        <f t="shared" si="10"/>
        <v>-4.7127185305501085E-5</v>
      </c>
    </row>
    <row r="537" spans="5:17" x14ac:dyDescent="0.2">
      <c r="E537" s="538"/>
      <c r="F537" s="538"/>
      <c r="G537" s="537"/>
      <c r="I537" s="537"/>
      <c r="J537" s="537"/>
      <c r="L537" s="553">
        <f>_xll.qlCalendarAdvance(Calendar,L536,"1M","f",,Trigger)</f>
        <v>58540</v>
      </c>
      <c r="M537" s="544">
        <f>_xll.qlCalendarAdvance(Calendar,L537,"3M","mf",,Trigger)</f>
        <v>58631</v>
      </c>
      <c r="N537" s="546" t="str">
        <f>_xll.qlMakeDatedOIS(,L537,M537,"eonia",,,,,Trigger)</f>
        <v>obj_00acf#0002</v>
      </c>
      <c r="O537" s="545">
        <f>_xll.qlIndexFixing("euribor3m",_xll.qlInterestRateIndexFixingDate("Euribor3M",L537),TRUE)</f>
        <v>1.9984565098933871E-2</v>
      </c>
      <c r="P537" s="545">
        <f>_xll.qlOvernightIndexedSwapFairRate(N537,Trigger)</f>
        <v>2.0033271019048528E-2</v>
      </c>
      <c r="Q537" s="547">
        <f t="shared" si="10"/>
        <v>-4.8705920114657658E-5</v>
      </c>
    </row>
    <row r="538" spans="5:17" x14ac:dyDescent="0.2">
      <c r="E538" s="538"/>
      <c r="F538" s="538"/>
      <c r="G538" s="537"/>
      <c r="I538" s="537"/>
      <c r="J538" s="537"/>
      <c r="L538" s="553">
        <f>_xll.qlCalendarAdvance(Calendar,L537,"1M","f",,Trigger)</f>
        <v>58571</v>
      </c>
      <c r="M538" s="544">
        <f>_xll.qlCalendarAdvance(Calendar,L538,"3M","mf",,Trigger)</f>
        <v>58663</v>
      </c>
      <c r="N538" s="546" t="str">
        <f>_xll.qlMakeDatedOIS(,L538,M538,"eonia",,,,,Trigger)</f>
        <v>obj_00ad1#0002</v>
      </c>
      <c r="O538" s="545">
        <f>_xll.qlIndexFixing("euribor3m",_xll.qlInterestRateIndexFixingDate("Euribor3M",L538),TRUE)</f>
        <v>1.9983862357979748E-2</v>
      </c>
      <c r="P538" s="545">
        <f>_xll.qlOvernightIndexedSwapFairRate(N538,Trigger)</f>
        <v>2.003382749631261E-2</v>
      </c>
      <c r="Q538" s="547">
        <f t="shared" si="10"/>
        <v>-4.9965138332861564E-5</v>
      </c>
    </row>
    <row r="539" spans="5:17" x14ac:dyDescent="0.2">
      <c r="E539" s="538"/>
      <c r="F539" s="538"/>
      <c r="G539" s="537"/>
      <c r="I539" s="537"/>
      <c r="J539" s="537"/>
      <c r="L539" s="553">
        <f>_xll.qlCalendarAdvance(Calendar,L538,"1M","f",,Trigger)</f>
        <v>58602</v>
      </c>
      <c r="M539" s="544">
        <f>_xll.qlCalendarAdvance(Calendar,L539,"3M","mf",,Trigger)</f>
        <v>58694</v>
      </c>
      <c r="N539" s="546" t="str">
        <f>_xll.qlMakeDatedOIS(,L539,M539,"eonia",,,,,Trigger)</f>
        <v>obj_00ad3#0002</v>
      </c>
      <c r="O539" s="545">
        <f>_xll.qlIndexFixing("euribor3m",_xll.qlInterestRateIndexFixingDate("Euribor3M",L539),TRUE)</f>
        <v>1.9982990871562804E-2</v>
      </c>
      <c r="P539" s="545">
        <f>_xll.qlOvernightIndexedSwapFairRate(N539,Trigger)</f>
        <v>2.003382749631261E-2</v>
      </c>
      <c r="Q539" s="547">
        <f t="shared" si="10"/>
        <v>-5.0836624749805992E-5</v>
      </c>
    </row>
    <row r="540" spans="5:17" x14ac:dyDescent="0.2">
      <c r="E540" s="538"/>
      <c r="F540" s="538"/>
      <c r="G540" s="537"/>
      <c r="I540" s="537"/>
      <c r="J540" s="537"/>
      <c r="L540" s="553">
        <f>_xll.qlCalendarAdvance(Calendar,L539,"1M","f",,Trigger)</f>
        <v>58634</v>
      </c>
      <c r="M540" s="544">
        <f>_xll.qlCalendarAdvance(Calendar,L540,"3M","mf",,Trigger)</f>
        <v>58726</v>
      </c>
      <c r="N540" s="546" t="str">
        <f>_xll.qlMakeDatedOIS(,L540,M540,"eonia",,,,,Trigger)</f>
        <v>obj_00ad5#0002</v>
      </c>
      <c r="O540" s="545">
        <f>_xll.qlIndexFixing("euribor3m",_xll.qlInterestRateIndexFixingDate("Euribor3M",L540),TRUE)</f>
        <v>1.9982474116577047E-2</v>
      </c>
      <c r="P540" s="545">
        <f>_xll.qlOvernightIndexedSwapFairRate(N540,Trigger)</f>
        <v>2.003382749631261E-2</v>
      </c>
      <c r="Q540" s="547">
        <f t="shared" si="10"/>
        <v>-5.1353379735562948E-5</v>
      </c>
    </row>
    <row r="541" spans="5:17" x14ac:dyDescent="0.2">
      <c r="E541" s="538"/>
      <c r="F541" s="538"/>
      <c r="G541" s="537"/>
      <c r="I541" s="537"/>
      <c r="J541" s="537"/>
      <c r="L541" s="553">
        <f>_xll.qlCalendarAdvance(Calendar,L540,"1M","f",,Trigger)</f>
        <v>58665</v>
      </c>
      <c r="M541" s="544">
        <f>_xll.qlCalendarAdvance(Calendar,L541,"3M","mf",,Trigger)</f>
        <v>58757</v>
      </c>
      <c r="N541" s="546" t="str">
        <f>_xll.qlMakeDatedOIS(,L541,M541,"eonia",,,,,Trigger)</f>
        <v>obj_00ad7#0002</v>
      </c>
      <c r="O541" s="545">
        <f>_xll.qlIndexFixing("euribor3m",_xll.qlInterestRateIndexFixingDate("Euribor3M",L541),TRUE)</f>
        <v>1.9982344390065774E-2</v>
      </c>
      <c r="P541" s="545">
        <f>_xll.qlOvernightIndexedSwapFairRate(N541,Trigger)</f>
        <v>2.0033827496312606E-2</v>
      </c>
      <c r="Q541" s="547">
        <f t="shared" si="10"/>
        <v>-5.148310624683225E-5</v>
      </c>
    </row>
    <row r="542" spans="5:17" x14ac:dyDescent="0.2">
      <c r="E542" s="538"/>
      <c r="F542" s="538"/>
      <c r="G542" s="537"/>
      <c r="I542" s="537"/>
      <c r="J542" s="537"/>
      <c r="L542" s="553">
        <f>_xll.qlCalendarAdvance(Calendar,L541,"1M","f",,Trigger)</f>
        <v>58697</v>
      </c>
      <c r="M542" s="544">
        <f>_xll.qlCalendarAdvance(Calendar,L542,"3M","mf",,Trigger)</f>
        <v>58788</v>
      </c>
      <c r="N542" s="546" t="str">
        <f>_xll.qlMakeDatedOIS(,L542,M542,"eonia",,,,,Trigger)</f>
        <v>obj_00ad9#0002</v>
      </c>
      <c r="O542" s="545">
        <f>_xll.qlIndexFixing("euribor3m",_xll.qlInterestRateIndexFixingDate("Euribor3M",L542),TRUE)</f>
        <v>1.9982029909439054E-2</v>
      </c>
      <c r="P542" s="545">
        <f>_xll.qlOvernightIndexedSwapFairRate(N542,Trigger)</f>
        <v>2.0033271019048532E-2</v>
      </c>
      <c r="Q542" s="547">
        <f t="shared" si="10"/>
        <v>-5.1241109609478225E-5</v>
      </c>
    </row>
    <row r="543" spans="5:17" x14ac:dyDescent="0.2">
      <c r="E543" s="538"/>
      <c r="F543" s="538"/>
      <c r="G543" s="537"/>
      <c r="I543" s="537"/>
      <c r="J543" s="537"/>
      <c r="L543" s="553">
        <f>_xll.qlCalendarAdvance(Calendar,L542,"1M","f",,Trigger)</f>
        <v>58727</v>
      </c>
      <c r="M543" s="544">
        <f>_xll.qlCalendarAdvance(Calendar,L543,"3M","mf",,Trigger)</f>
        <v>58819</v>
      </c>
      <c r="N543" s="546" t="str">
        <f>_xll.qlMakeDatedOIS(,L543,M543,"eonia",,,,,Trigger)</f>
        <v>obj_00adb#0002</v>
      </c>
      <c r="O543" s="545">
        <f>_xll.qlIndexFixing("euribor3m",_xll.qlInterestRateIndexFixingDate("Euribor3M",L543),TRUE)</f>
        <v>1.9983179915690114E-2</v>
      </c>
      <c r="P543" s="545">
        <f>_xll.qlOvernightIndexedSwapFairRate(N543,Trigger)</f>
        <v>2.0033827496312613E-2</v>
      </c>
      <c r="Q543" s="547">
        <f t="shared" si="10"/>
        <v>-5.0647580622498883E-5</v>
      </c>
    </row>
    <row r="544" spans="5:17" x14ac:dyDescent="0.2">
      <c r="E544" s="538"/>
      <c r="F544" s="538"/>
      <c r="G544" s="537"/>
      <c r="I544" s="537"/>
      <c r="J544" s="537"/>
      <c r="L544" s="553">
        <f>_xll.qlCalendarAdvance(Calendar,L543,"1M","f",,Trigger)</f>
        <v>58760</v>
      </c>
      <c r="M544" s="544">
        <f>_xll.qlCalendarAdvance(Calendar,L544,"3M","mf",,Trigger)</f>
        <v>58852</v>
      </c>
      <c r="N544" s="546" t="str">
        <f>_xll.qlMakeDatedOIS(,L544,M544,"eonia",,,,,Trigger)</f>
        <v>obj_00add#0002</v>
      </c>
      <c r="O544" s="545">
        <f>_xll.qlIndexFixing("euribor3m",_xll.qlInterestRateIndexFixingDate("Euribor3M",L544),TRUE)</f>
        <v>1.9984219975993211E-2</v>
      </c>
      <c r="P544" s="545">
        <f>_xll.qlOvernightIndexedSwapFairRate(N544,Trigger)</f>
        <v>2.003382749631261E-2</v>
      </c>
      <c r="Q544" s="547">
        <f t="shared" si="10"/>
        <v>-4.9607520319398801E-5</v>
      </c>
    </row>
    <row r="545" spans="5:17" x14ac:dyDescent="0.2">
      <c r="E545" s="538"/>
      <c r="F545" s="538"/>
      <c r="G545" s="537"/>
      <c r="I545" s="537"/>
      <c r="J545" s="537"/>
      <c r="L545" s="553">
        <f>_xll.qlCalendarAdvance(Calendar,L544,"1M","f",,Trigger)</f>
        <v>58790</v>
      </c>
      <c r="M545" s="544">
        <f>_xll.qlCalendarAdvance(Calendar,L545,"3M","mf",,Trigger)</f>
        <v>58880</v>
      </c>
      <c r="N545" s="546" t="str">
        <f>_xll.qlMakeDatedOIS(,L545,M545,"eonia",,,,,Trigger)</f>
        <v>obj_00adf#0002</v>
      </c>
      <c r="O545" s="545">
        <f>_xll.qlIndexFixing("euribor3m",_xll.qlInterestRateIndexFixingDate("Euribor3M",L545),TRUE)</f>
        <v>1.9984362081168605E-2</v>
      </c>
      <c r="P545" s="545">
        <f>_xll.qlOvernightIndexedSwapFairRate(N545,Trigger)</f>
        <v>2.0032714562384868E-2</v>
      </c>
      <c r="Q545" s="547">
        <f t="shared" si="10"/>
        <v>-4.8352481216262788E-5</v>
      </c>
    </row>
    <row r="546" spans="5:17" x14ac:dyDescent="0.2">
      <c r="E546" s="538"/>
      <c r="F546" s="538"/>
      <c r="G546" s="537"/>
      <c r="I546" s="537"/>
      <c r="J546" s="537"/>
      <c r="L546" s="553">
        <f>_xll.qlCalendarAdvance(Calendar,L545,"1M","f",,Trigger)</f>
        <v>58823</v>
      </c>
      <c r="M546" s="544">
        <f>_xll.qlCalendarAdvance(Calendar,L546,"3M","mf",,Trigger)</f>
        <v>58914</v>
      </c>
      <c r="N546" s="546" t="str">
        <f>_xll.qlMakeDatedOIS(,L546,M546,"eonia",,,,,Trigger)</f>
        <v>obj_00ae1#0002</v>
      </c>
      <c r="O546" s="545">
        <f>_xll.qlIndexFixing("euribor3m",_xll.qlInterestRateIndexFixingDate("Euribor3M",L546),TRUE)</f>
        <v>1.9986766475667519E-2</v>
      </c>
      <c r="P546" s="545">
        <f>_xll.qlOvernightIndexedSwapFairRate(N546,Trigger)</f>
        <v>2.0033271019048532E-2</v>
      </c>
      <c r="Q546" s="547">
        <f t="shared" si="10"/>
        <v>-4.6504543381013091E-5</v>
      </c>
    </row>
    <row r="547" spans="5:17" x14ac:dyDescent="0.2">
      <c r="E547" s="538"/>
      <c r="F547" s="538"/>
      <c r="G547" s="537"/>
      <c r="I547" s="537"/>
      <c r="J547" s="537"/>
      <c r="L547" s="553">
        <f>_xll.qlCalendarAdvance(Calendar,L546,"1M","f",,Trigger)</f>
        <v>58854</v>
      </c>
      <c r="M547" s="544">
        <f>_xll.qlCalendarAdvance(Calendar,L547,"3M","mf",,Trigger)</f>
        <v>58943</v>
      </c>
      <c r="N547" s="546" t="str">
        <f>_xll.qlMakeDatedOIS(,L547,M547,"eonia",,,,,Trigger)</f>
        <v>obj_00ae3#0002</v>
      </c>
      <c r="O547" s="545">
        <f>_xll.qlIndexFixing("euribor3m",_xll.qlInterestRateIndexFixingDate("Euribor3M",L547),TRUE)</f>
        <v>1.9987669271158304E-2</v>
      </c>
      <c r="P547" s="545">
        <f>_xll.qlOvernightIndexedSwapFairRate(N547,Trigger)</f>
        <v>2.0032158126321739E-2</v>
      </c>
      <c r="Q547" s="547">
        <f t="shared" si="10"/>
        <v>-4.448885516343537E-5</v>
      </c>
    </row>
    <row r="548" spans="5:17" x14ac:dyDescent="0.2">
      <c r="E548" s="538"/>
      <c r="F548" s="538"/>
      <c r="G548" s="537"/>
      <c r="I548" s="537"/>
      <c r="J548" s="537"/>
      <c r="L548" s="553">
        <f>_xll.qlCalendarAdvance(Calendar,L547,"1M","f",,Trigger)</f>
        <v>58882</v>
      </c>
      <c r="M548" s="544">
        <f>_xll.qlCalendarAdvance(Calendar,L548,"3M","mf",,Trigger)</f>
        <v>58974</v>
      </c>
      <c r="N548" s="546" t="str">
        <f>_xll.qlMakeDatedOIS(,L548,M548,"eonia",,,,,Trigger)</f>
        <v>obj_00ae5#0002</v>
      </c>
      <c r="O548" s="545">
        <f>_xll.qlIndexFixing("euribor3m",_xll.qlInterestRateIndexFixingDate("Euribor3M",L548),TRUE)</f>
        <v>1.9991656115373988E-2</v>
      </c>
      <c r="P548" s="545">
        <f>_xll.qlOvernightIndexedSwapFairRate(N548,Trigger)</f>
        <v>2.003382749631261E-2</v>
      </c>
      <c r="Q548" s="547">
        <f t="shared" si="10"/>
        <v>-4.2171380938621494E-5</v>
      </c>
    </row>
    <row r="549" spans="5:17" x14ac:dyDescent="0.2">
      <c r="E549" s="538"/>
      <c r="F549" s="538"/>
      <c r="G549" s="537"/>
      <c r="I549" s="537"/>
      <c r="J549" s="537"/>
      <c r="L549" s="553">
        <f>_xll.qlCalendarAdvance(Calendar,L548,"1M","f",,Trigger)</f>
        <v>58914</v>
      </c>
      <c r="M549" s="544">
        <f>_xll.qlCalendarAdvance(Calendar,L549,"3M","mf",,Trigger)</f>
        <v>59005</v>
      </c>
      <c r="N549" s="546" t="str">
        <f>_xll.qlMakeDatedOIS(,L549,M549,"eonia",,,,,Trigger)</f>
        <v>obj_00ae7#0002</v>
      </c>
      <c r="O549" s="545">
        <f>_xll.qlIndexFixing("euribor3m",_xll.qlInterestRateIndexFixingDate("Euribor3M",L549),TRUE)</f>
        <v>1.9993937141839131E-2</v>
      </c>
      <c r="P549" s="545">
        <f>_xll.qlOvernightIndexedSwapFairRate(N549,Trigger)</f>
        <v>2.0033271019047654E-2</v>
      </c>
      <c r="Q549" s="547">
        <f t="shared" si="10"/>
        <v>-3.9333877208523604E-5</v>
      </c>
    </row>
    <row r="550" spans="5:17" x14ac:dyDescent="0.2">
      <c r="E550" s="538"/>
      <c r="F550" s="538"/>
      <c r="G550" s="537"/>
      <c r="I550" s="537"/>
      <c r="J550" s="537"/>
      <c r="L550" s="553">
        <f>_xll.qlCalendarAdvance(Calendar,L549,"1M","f",,Trigger)</f>
        <v>58944</v>
      </c>
      <c r="M550" s="544">
        <f>_xll.qlCalendarAdvance(Calendar,L550,"3M","mf",,Trigger)</f>
        <v>59036</v>
      </c>
      <c r="N550" s="546" t="str">
        <f>_xll.qlMakeDatedOIS(,L550,M550,"eonia",,,,,Trigger)</f>
        <v>obj_00ae9#0002</v>
      </c>
      <c r="O550" s="545">
        <f>_xll.qlIndexFixing("euribor3m",_xll.qlInterestRateIndexFixingDate("Euribor3M",L550),TRUE)</f>
        <v>1.9997601559406736E-2</v>
      </c>
      <c r="P550" s="545">
        <f>_xll.qlOvernightIndexedSwapFairRate(N550,Trigger)</f>
        <v>2.003382749631261E-2</v>
      </c>
      <c r="Q550" s="547">
        <f t="shared" si="10"/>
        <v>-3.6225936905873168E-5</v>
      </c>
    </row>
    <row r="551" spans="5:17" x14ac:dyDescent="0.2">
      <c r="E551" s="538"/>
      <c r="F551" s="538"/>
      <c r="G551" s="537"/>
      <c r="I551" s="537"/>
      <c r="J551" s="537"/>
      <c r="L551" s="553">
        <f>_xll.qlCalendarAdvance(Calendar,L550,"1M","f",,Trigger)</f>
        <v>58977</v>
      </c>
      <c r="M551" s="544">
        <f>_xll.qlCalendarAdvance(Calendar,L551,"3M","mf",,Trigger)</f>
        <v>59069</v>
      </c>
      <c r="N551" s="546" t="str">
        <f>_xll.qlMakeDatedOIS(,L551,M551,"eonia",,,,,Trigger)</f>
        <v>obj_00aeb#0002</v>
      </c>
      <c r="O551" s="545">
        <f>_xll.qlIndexFixing("euribor3m",_xll.qlInterestRateIndexFixingDate("Euribor3M",L551),TRUE)</f>
        <v>2.0001361421179965E-2</v>
      </c>
      <c r="P551" s="545">
        <f>_xll.qlOvernightIndexedSwapFairRate(N551,Trigger)</f>
        <v>2.003382749631348E-2</v>
      </c>
      <c r="Q551" s="547">
        <f t="shared" si="10"/>
        <v>-3.246607513351582E-5</v>
      </c>
    </row>
    <row r="552" spans="5:17" x14ac:dyDescent="0.2">
      <c r="E552" s="538"/>
      <c r="F552" s="538"/>
      <c r="G552" s="537"/>
      <c r="I552" s="537"/>
      <c r="J552" s="537"/>
      <c r="L552" s="553">
        <f>_xll.qlCalendarAdvance(Calendar,L551,"1M","f",,Trigger)</f>
        <v>59007</v>
      </c>
      <c r="M552" s="544">
        <f>_xll.qlCalendarAdvance(Calendar,L552,"3M","mf",,Trigger)</f>
        <v>59099</v>
      </c>
      <c r="N552" s="546" t="str">
        <f>_xll.qlMakeDatedOIS(,L552,M552,"eonia",,,,,Trigger)</f>
        <v>obj_00aed#0002</v>
      </c>
      <c r="O552" s="545">
        <f>_xll.qlIndexFixing("euribor3m",_xll.qlInterestRateIndexFixingDate("Euribor3M",L552),TRUE)</f>
        <v>2.0005138398488269E-2</v>
      </c>
      <c r="P552" s="545">
        <f>_xll.qlOvernightIndexedSwapFairRate(N552,Trigger)</f>
        <v>2.0033827496312613E-2</v>
      </c>
      <c r="Q552" s="547">
        <f t="shared" si="10"/>
        <v>-2.8689097824344256E-5</v>
      </c>
    </row>
    <row r="553" spans="5:17" x14ac:dyDescent="0.2">
      <c r="E553" s="538"/>
      <c r="F553" s="538"/>
      <c r="G553" s="537"/>
      <c r="I553" s="537"/>
      <c r="J553" s="537"/>
      <c r="L553" s="553">
        <f>_xll.qlCalendarAdvance(Calendar,L552,"1M","f",,Trigger)</f>
        <v>59040</v>
      </c>
      <c r="M553" s="544">
        <f>_xll.qlCalendarAdvance(Calendar,L553,"3M","mf",,Trigger)</f>
        <v>59132</v>
      </c>
      <c r="N553" s="546" t="str">
        <f>_xll.qlMakeDatedOIS(,L553,M553,"eonia",,,,,Trigger)</f>
        <v>obj_00aef#0002</v>
      </c>
      <c r="O553" s="545">
        <f>_xll.qlIndexFixing("euribor3m",_xll.qlInterestRateIndexFixingDate("Euribor3M",L553),TRUE)</f>
        <v>2.0009687888004685E-2</v>
      </c>
      <c r="P553" s="545">
        <f>_xll.qlOvernightIndexedSwapFairRate(N553,Trigger)</f>
        <v>2.003382749631261E-2</v>
      </c>
      <c r="Q553" s="547">
        <f t="shared" si="10"/>
        <v>-2.4139608307924276E-5</v>
      </c>
    </row>
    <row r="554" spans="5:17" x14ac:dyDescent="0.2">
      <c r="E554" s="538"/>
      <c r="F554" s="538"/>
      <c r="G554" s="537"/>
      <c r="I554" s="537"/>
      <c r="J554" s="537"/>
      <c r="L554" s="553">
        <f>_xll.qlCalendarAdvance(Calendar,L553,"1M","f",,Trigger)</f>
        <v>59071</v>
      </c>
      <c r="M554" s="544">
        <f>_xll.qlCalendarAdvance(Calendar,L554,"3M","mf",,Trigger)</f>
        <v>59162</v>
      </c>
      <c r="N554" s="546" t="str">
        <f>_xll.qlMakeDatedOIS(,L554,M554,"eonia",,,,,Trigger)</f>
        <v>obj_00af1#0002</v>
      </c>
      <c r="O554" s="545">
        <f>_xll.qlIndexFixing("euribor3m",_xll.qlInterestRateIndexFixingDate("Euribor3M",L554),TRUE)</f>
        <v>2.00137022332014E-2</v>
      </c>
      <c r="P554" s="545">
        <f>_xll.qlOvernightIndexedSwapFairRate(N554,Trigger)</f>
        <v>2.0033271019047654E-2</v>
      </c>
      <c r="Q554" s="547">
        <f t="shared" si="10"/>
        <v>-1.9568785846253711E-5</v>
      </c>
    </row>
    <row r="555" spans="5:17" x14ac:dyDescent="0.2">
      <c r="E555" s="538"/>
      <c r="F555" s="538"/>
      <c r="G555" s="537"/>
      <c r="I555" s="537"/>
      <c r="J555" s="537"/>
      <c r="L555" s="553">
        <f>_xll.qlCalendarAdvance(Calendar,L554,"1M","f",,Trigger)</f>
        <v>59103</v>
      </c>
      <c r="M555" s="544">
        <f>_xll.qlCalendarAdvance(Calendar,L555,"3M","mf",,Trigger)</f>
        <v>59195</v>
      </c>
      <c r="N555" s="546" t="str">
        <f>_xll.qlMakeDatedOIS(,L555,M555,"eonia",,,,,Trigger)</f>
        <v>obj_00af3#0002</v>
      </c>
      <c r="O555" s="545">
        <f>_xll.qlIndexFixing("euribor3m",_xll.qlInterestRateIndexFixingDate("Euribor3M",L555),TRUE)</f>
        <v>2.0019521833482618E-2</v>
      </c>
      <c r="P555" s="545">
        <f>_xll.qlOvernightIndexedSwapFairRate(N555,Trigger)</f>
        <v>2.0033827496313477E-2</v>
      </c>
      <c r="Q555" s="547">
        <f t="shared" si="10"/>
        <v>-1.4305662830858823E-5</v>
      </c>
    </row>
    <row r="556" spans="5:17" x14ac:dyDescent="0.2">
      <c r="E556" s="538"/>
      <c r="F556" s="538"/>
      <c r="G556" s="537"/>
      <c r="I556" s="537"/>
      <c r="J556" s="537"/>
      <c r="L556" s="553">
        <f>_xll.qlCalendarAdvance(Calendar,L555,"1M","f",,Trigger)</f>
        <v>59134</v>
      </c>
      <c r="M556" s="544">
        <f>_xll.qlCalendarAdvance(Calendar,L556,"3M","mf",,Trigger)</f>
        <v>59226</v>
      </c>
      <c r="N556" s="546" t="str">
        <f>_xll.qlMakeDatedOIS(,L556,M556,"eonia",,,,,Trigger)</f>
        <v>obj_00af5#0002</v>
      </c>
      <c r="O556" s="545">
        <f>_xll.qlIndexFixing("euribor3m",_xll.qlInterestRateIndexFixingDate("Euribor3M",L556),TRUE)</f>
        <v>2.0024914150271359E-2</v>
      </c>
      <c r="P556" s="545">
        <f>_xll.qlOvernightIndexedSwapFairRate(N556,Trigger)</f>
        <v>2.0033827496311746E-2</v>
      </c>
      <c r="Q556" s="547">
        <f t="shared" si="10"/>
        <v>-8.9133460403865994E-6</v>
      </c>
    </row>
    <row r="557" spans="5:17" x14ac:dyDescent="0.2">
      <c r="E557" s="538"/>
      <c r="F557" s="538"/>
      <c r="G557" s="537"/>
      <c r="I557" s="537"/>
      <c r="J557" s="537"/>
      <c r="L557" s="553">
        <f>_xll.qlCalendarAdvance(Calendar,L556,"1M","f",,Trigger)</f>
        <v>59167</v>
      </c>
      <c r="M557" s="544">
        <f>_xll.qlCalendarAdvance(Calendar,L557,"3M","mf",,Trigger)</f>
        <v>59258</v>
      </c>
      <c r="N557" s="546" t="str">
        <f>_xll.qlMakeDatedOIS(,L557,M557,"eonia",,,,,Trigger)</f>
        <v>obj_00af7#0002</v>
      </c>
      <c r="O557" s="545">
        <f>_xll.qlIndexFixing("euribor3m",_xll.qlInterestRateIndexFixingDate("Euribor3M",L557),TRUE)</f>
        <v>2.0030400095963335E-2</v>
      </c>
      <c r="P557" s="545">
        <f>_xll.qlOvernightIndexedSwapFairRate(N557,Trigger)</f>
        <v>2.0033271019048532E-2</v>
      </c>
      <c r="Q557" s="547">
        <f t="shared" si="10"/>
        <v>-2.8709230851971246E-6</v>
      </c>
    </row>
    <row r="558" spans="5:17" x14ac:dyDescent="0.2">
      <c r="E558" s="538"/>
      <c r="F558" s="538"/>
      <c r="G558" s="537"/>
      <c r="I558" s="537"/>
      <c r="J558" s="537"/>
      <c r="L558" s="553">
        <f>_xll.qlCalendarAdvance(Calendar,L557,"1M","f",,Trigger)</f>
        <v>59198</v>
      </c>
      <c r="M558" s="544">
        <f>_xll.qlCalendarAdvance(Calendar,L558,"3M","mf",,Trigger)</f>
        <v>59288</v>
      </c>
      <c r="N558" s="546" t="str">
        <f>_xll.qlMakeDatedOIS(,L558,M558,"eonia",,,,,Trigger)</f>
        <v>obj_00af9#0002</v>
      </c>
      <c r="O558" s="545">
        <f>_xll.qlIndexFixing("euribor3m",_xll.qlInterestRateIndexFixingDate("Euribor3M",L558),TRUE)</f>
        <v>2.0035878325503909E-2</v>
      </c>
      <c r="P558" s="545">
        <f>_xll.qlOvernightIndexedSwapFairRate(N558,Trigger)</f>
        <v>2.003271456238398E-2</v>
      </c>
      <c r="Q558" s="547">
        <f t="shared" si="10"/>
        <v>3.1637631199288307E-6</v>
      </c>
    </row>
    <row r="559" spans="5:17" x14ac:dyDescent="0.2">
      <c r="E559" s="538"/>
      <c r="F559" s="538"/>
      <c r="G559" s="537"/>
      <c r="I559" s="537"/>
      <c r="J559" s="537"/>
      <c r="L559" s="553">
        <f>_xll.qlCalendarAdvance(Calendar,L558,"1M","f",,Trigger)</f>
        <v>59229</v>
      </c>
      <c r="M559" s="544">
        <f>_xll.qlCalendarAdvance(Calendar,L559,"3M","mf",,Trigger)</f>
        <v>59320</v>
      </c>
      <c r="N559" s="546" t="str">
        <f>_xll.qlMakeDatedOIS(,L559,M559,"eonia",,,,,Trigger)</f>
        <v>obj_00afb#0002</v>
      </c>
      <c r="O559" s="545">
        <f>_xll.qlIndexFixing("euribor3m",_xll.qlInterestRateIndexFixingDate("Euribor3M",L559),TRUE)</f>
        <v>2.0043044380977516E-2</v>
      </c>
      <c r="P559" s="545">
        <f>_xll.qlOvernightIndexedSwapFairRate(N559,Trigger)</f>
        <v>2.0033271019048532E-2</v>
      </c>
      <c r="Q559" s="547">
        <f t="shared" si="10"/>
        <v>9.7733619289844254E-6</v>
      </c>
    </row>
    <row r="560" spans="5:17" x14ac:dyDescent="0.2">
      <c r="E560" s="538"/>
      <c r="F560" s="538"/>
      <c r="G560" s="537"/>
      <c r="I560" s="537"/>
      <c r="J560" s="537"/>
      <c r="L560" s="553">
        <f>_xll.qlCalendarAdvance(Calendar,L559,"1M","f",,Trigger)</f>
        <v>59258</v>
      </c>
      <c r="M560" s="544">
        <f>_xll.qlCalendarAdvance(Calendar,L560,"3M","mf",,Trigger)</f>
        <v>59350</v>
      </c>
      <c r="N560" s="546" t="str">
        <f>_xll.qlMakeDatedOIS(,L560,M560,"eonia",,,,,Trigger)</f>
        <v>obj_00afd#0002</v>
      </c>
      <c r="O560" s="545">
        <f>_xll.qlIndexFixing("euribor3m",_xll.qlInterestRateIndexFixingDate("Euribor3M",L560),TRUE)</f>
        <v>2.0050133481093288E-2</v>
      </c>
      <c r="P560" s="545">
        <f>_xll.qlOvernightIndexedSwapFairRate(N560,Trigger)</f>
        <v>2.003382749631261E-2</v>
      </c>
      <c r="Q560" s="547">
        <f t="shared" si="10"/>
        <v>1.6305984780678323E-5</v>
      </c>
    </row>
    <row r="561" spans="5:17" x14ac:dyDescent="0.2">
      <c r="E561" s="538"/>
      <c r="F561" s="538"/>
      <c r="G561" s="537"/>
      <c r="I561" s="537"/>
      <c r="J561" s="537"/>
      <c r="L561" s="553">
        <f>_xll.qlCalendarAdvance(Calendar,L560,"1M","f",,Trigger)</f>
        <v>59289</v>
      </c>
      <c r="M561" s="544">
        <f>_xll.qlCalendarAdvance(Calendar,L561,"3M","mf",,Trigger)</f>
        <v>59380</v>
      </c>
      <c r="N561" s="546" t="str">
        <f>_xll.qlMakeDatedOIS(,L561,M561,"eonia",,,,,Trigger)</f>
        <v>obj_00aff#0002</v>
      </c>
      <c r="O561" s="545">
        <f>_xll.qlIndexFixing("euribor3m",_xll.qlInterestRateIndexFixingDate("Euribor3M",L561),TRUE)</f>
        <v>2.0058711277449997E-2</v>
      </c>
      <c r="P561" s="545">
        <f>_xll.qlOvernightIndexedSwapFairRate(N561,Trigger)</f>
        <v>2.0033271019048535E-2</v>
      </c>
      <c r="Q561" s="547">
        <f t="shared" si="10"/>
        <v>2.5440258401461524E-5</v>
      </c>
    </row>
    <row r="562" spans="5:17" x14ac:dyDescent="0.2">
      <c r="E562" s="538"/>
      <c r="F562" s="538"/>
      <c r="G562" s="537"/>
      <c r="I562" s="537"/>
      <c r="J562" s="537"/>
      <c r="L562" s="553">
        <f>_xll.qlCalendarAdvance(Calendar,L561,"1M","f",,Trigger)</f>
        <v>59320</v>
      </c>
      <c r="M562" s="544">
        <f>_xll.qlCalendarAdvance(Calendar,L562,"3M","mf",,Trigger)</f>
        <v>59412</v>
      </c>
      <c r="N562" s="546" t="str">
        <f>_xll.qlMakeDatedOIS(,L562,M562,"eonia",,,,,Trigger)</f>
        <v>obj_00b01#0002</v>
      </c>
      <c r="O562" s="545">
        <f>_xll.qlIndexFixing("euribor3m",_xll.qlInterestRateIndexFixingDate("Euribor3M",L562),TRUE)</f>
        <v>2.0064933209632495E-2</v>
      </c>
      <c r="P562" s="545">
        <f>_xll.qlOvernightIndexedSwapFairRate(N562,Trigger)</f>
        <v>2.0033827496312613E-2</v>
      </c>
      <c r="Q562" s="547">
        <f t="shared" si="10"/>
        <v>3.110571331988235E-5</v>
      </c>
    </row>
    <row r="563" spans="5:17" x14ac:dyDescent="0.2">
      <c r="E563" s="538"/>
      <c r="F563" s="538"/>
      <c r="G563" s="537"/>
      <c r="I563" s="537"/>
      <c r="J563" s="537"/>
      <c r="L563" s="553">
        <f>_xll.qlCalendarAdvance(Calendar,L562,"1M","f",,Trigger)</f>
        <v>59351</v>
      </c>
      <c r="M563" s="544">
        <f>_xll.qlCalendarAdvance(Calendar,L563,"3M","mf",,Trigger)</f>
        <v>59443</v>
      </c>
      <c r="N563" s="546" t="str">
        <f>_xll.qlMakeDatedOIS(,L563,M563,"eonia",,,,,Trigger)</f>
        <v>obj_00b03#0002</v>
      </c>
      <c r="O563" s="545">
        <f>_xll.qlIndexFixing("euribor3m",_xll.qlInterestRateIndexFixingDate("Euribor3M",L563),TRUE)</f>
        <v>2.0072880596629688E-2</v>
      </c>
      <c r="P563" s="545">
        <f>_xll.qlOvernightIndexedSwapFairRate(N563,Trigger)</f>
        <v>2.003382749631261E-2</v>
      </c>
      <c r="Q563" s="547">
        <f t="shared" si="10"/>
        <v>3.905310031707826E-5</v>
      </c>
    </row>
    <row r="564" spans="5:17" x14ac:dyDescent="0.2">
      <c r="E564" s="538"/>
      <c r="F564" s="538"/>
      <c r="G564" s="537"/>
      <c r="I564" s="537"/>
      <c r="J564" s="537"/>
      <c r="L564" s="553">
        <f>_xll.qlCalendarAdvance(Calendar,L563,"1M","f",,Trigger)</f>
        <v>59383</v>
      </c>
      <c r="M564" s="544">
        <f>_xll.qlCalendarAdvance(Calendar,L564,"3M","mf",,Trigger)</f>
        <v>59475</v>
      </c>
      <c r="N564" s="546" t="str">
        <f>_xll.qlMakeDatedOIS(,L564,M564,"eonia",,,,,Trigger)</f>
        <v>obj_00b05#0002</v>
      </c>
      <c r="O564" s="545">
        <f>_xll.qlIndexFixing("euribor3m",_xll.qlInterestRateIndexFixingDate("Euribor3M",L564),TRUE)</f>
        <v>2.0081467221121991E-2</v>
      </c>
      <c r="P564" s="545">
        <f>_xll.qlOvernightIndexedSwapFairRate(N564,Trigger)</f>
        <v>2.003382749631348E-2</v>
      </c>
      <c r="Q564" s="547">
        <f t="shared" si="10"/>
        <v>4.7639724808510447E-5</v>
      </c>
    </row>
    <row r="565" spans="5:17" x14ac:dyDescent="0.2">
      <c r="E565" s="538"/>
      <c r="F565" s="538"/>
      <c r="G565" s="537"/>
      <c r="I565" s="537"/>
      <c r="J565" s="537"/>
      <c r="L565" s="553">
        <f>_xll.qlCalendarAdvance(Calendar,L564,"1M","f",,Trigger)</f>
        <v>59414</v>
      </c>
      <c r="M565" s="544">
        <f>_xll.qlCalendarAdvance(Calendar,L565,"3M","mf",,Trigger)</f>
        <v>59505</v>
      </c>
      <c r="N565" s="546" t="str">
        <f>_xll.qlMakeDatedOIS(,L565,M565,"eonia",,,,,Trigger)</f>
        <v>obj_00b07#0002</v>
      </c>
      <c r="O565" s="545">
        <f>_xll.qlIndexFixing("euribor3m",_xll.qlInterestRateIndexFixingDate("Euribor3M",L565),TRUE)</f>
        <v>2.0089450880605195E-2</v>
      </c>
      <c r="P565" s="545">
        <f>_xll.qlOvernightIndexedSwapFairRate(N565,Trigger)</f>
        <v>2.0033271019048532E-2</v>
      </c>
      <c r="Q565" s="547">
        <f t="shared" si="10"/>
        <v>5.6179861556662769E-5</v>
      </c>
    </row>
    <row r="566" spans="5:17" x14ac:dyDescent="0.2">
      <c r="E566" s="538"/>
      <c r="F566" s="538"/>
      <c r="G566" s="537"/>
      <c r="I566" s="537"/>
      <c r="J566" s="537"/>
      <c r="L566" s="553">
        <f>_xll.qlCalendarAdvance(Calendar,L565,"1M","f",,Trigger)</f>
        <v>59446</v>
      </c>
      <c r="M566" s="544">
        <f>_xll.qlCalendarAdvance(Calendar,L566,"3M","mf",,Trigger)</f>
        <v>59538</v>
      </c>
      <c r="N566" s="546" t="str">
        <f>_xll.qlMakeDatedOIS(,L566,M566,"eonia",,,,,Trigger)</f>
        <v>obj_00b09#0002</v>
      </c>
      <c r="O566" s="545">
        <f>_xll.qlIndexFixing("euribor3m",_xll.qlInterestRateIndexFixingDate("Euribor3M",L566),TRUE)</f>
        <v>2.0099508793797811E-2</v>
      </c>
      <c r="P566" s="545">
        <f>_xll.qlOvernightIndexedSwapFairRate(N566,Trigger)</f>
        <v>2.003382749631261E-2</v>
      </c>
      <c r="Q566" s="547">
        <f t="shared" si="10"/>
        <v>6.5681297485201129E-5</v>
      </c>
    </row>
    <row r="567" spans="5:17" x14ac:dyDescent="0.2">
      <c r="E567" s="538"/>
      <c r="F567" s="538"/>
      <c r="G567" s="537"/>
      <c r="I567" s="537"/>
      <c r="J567" s="537"/>
      <c r="L567" s="553">
        <f>_xll.qlCalendarAdvance(Calendar,L566,"1M","f",,Trigger)</f>
        <v>59477</v>
      </c>
      <c r="M567" s="544">
        <f>_xll.qlCalendarAdvance(Calendar,L567,"3M","mf",,Trigger)</f>
        <v>59569</v>
      </c>
      <c r="N567" s="546" t="str">
        <f>_xll.qlMakeDatedOIS(,L567,M567,"eonia",,,,,Trigger)</f>
        <v>obj_00b0b#0002</v>
      </c>
      <c r="O567" s="545">
        <f>_xll.qlIndexFixing("euribor3m",_xll.qlInterestRateIndexFixingDate("Euribor3M",L567),TRUE)</f>
        <v>2.0108939817465046E-2</v>
      </c>
      <c r="P567" s="545">
        <f>_xll.qlOvernightIndexedSwapFairRate(N567,Trigger)</f>
        <v>2.003382749631261E-2</v>
      </c>
      <c r="Q567" s="547">
        <f t="shared" si="10"/>
        <v>7.5112321152436684E-5</v>
      </c>
    </row>
    <row r="568" spans="5:17" x14ac:dyDescent="0.2">
      <c r="E568" s="538"/>
      <c r="F568" s="538"/>
      <c r="G568" s="537"/>
      <c r="I568" s="537"/>
      <c r="J568" s="537"/>
      <c r="L568" s="553">
        <f>_xll.qlCalendarAdvance(Calendar,L567,"1M","f",,Trigger)</f>
        <v>59509</v>
      </c>
      <c r="M568" s="544">
        <f>_xll.qlCalendarAdvance(Calendar,L568,"3M","mf",,Trigger)</f>
        <v>59600</v>
      </c>
      <c r="N568" s="546" t="str">
        <f>_xll.qlMakeDatedOIS(,L568,M568,"eonia",,,,,Trigger)</f>
        <v>obj_00b0d#0002</v>
      </c>
      <c r="O568" s="545">
        <f>_xll.qlIndexFixing("euribor3m",_xll.qlInterestRateIndexFixingDate("Euribor3M",L568),TRUE)</f>
        <v>2.0118332756263749E-2</v>
      </c>
      <c r="P568" s="545">
        <f>_xll.qlOvernightIndexedSwapFairRate(N568,Trigger)</f>
        <v>2.0033271019048528E-2</v>
      </c>
      <c r="Q568" s="547">
        <f t="shared" si="10"/>
        <v>8.5061737215220284E-5</v>
      </c>
    </row>
    <row r="569" spans="5:17" x14ac:dyDescent="0.2">
      <c r="E569" s="538"/>
      <c r="F569" s="538"/>
      <c r="G569" s="537"/>
      <c r="I569" s="537"/>
      <c r="J569" s="537"/>
      <c r="L569" s="553">
        <f>_xll.qlCalendarAdvance(Calendar,L568,"1M","f",,Trigger)</f>
        <v>59540</v>
      </c>
      <c r="M569" s="544">
        <f>_xll.qlCalendarAdvance(Calendar,L569,"3M","mf",,Trigger)</f>
        <v>59630</v>
      </c>
      <c r="N569" s="546" t="str">
        <f>_xll.qlMakeDatedOIS(,L569,M569,"eonia",,,,,Trigger)</f>
        <v>obj_00b0f#0002</v>
      </c>
      <c r="O569" s="545">
        <f>_xll.qlIndexFixing("euribor3m",_xll.qlInterestRateIndexFixingDate("Euribor3M",L569),TRUE)</f>
        <v>2.0127767679429809E-2</v>
      </c>
      <c r="P569" s="545">
        <f>_xll.qlOvernightIndexedSwapFairRate(N569,Trigger)</f>
        <v>2.0032714562384868E-2</v>
      </c>
      <c r="Q569" s="547">
        <f t="shared" si="10"/>
        <v>9.5053117044940905E-5</v>
      </c>
    </row>
    <row r="570" spans="5:17" x14ac:dyDescent="0.2">
      <c r="E570" s="538"/>
      <c r="F570" s="538"/>
      <c r="G570" s="537"/>
      <c r="I570" s="537"/>
      <c r="J570" s="537"/>
      <c r="L570" s="553">
        <f>_xll.qlCalendarAdvance(Calendar,L569,"1M","f",,Trigger)</f>
        <v>59572</v>
      </c>
      <c r="M570" s="544">
        <f>_xll.qlCalendarAdvance(Calendar,L570,"3M","mf",,Trigger)</f>
        <v>59663</v>
      </c>
      <c r="N570" s="546" t="str">
        <f>_xll.qlMakeDatedOIS(,L570,M570,"eonia",,,,,Trigger)</f>
        <v>obj_00b11#0002</v>
      </c>
      <c r="O570" s="545">
        <f>_xll.qlIndexFixing("euribor3m",_xll.qlInterestRateIndexFixingDate("Euribor3M",L570),TRUE)</f>
        <v>2.0139376376391953E-2</v>
      </c>
      <c r="P570" s="545">
        <f>_xll.qlOvernightIndexedSwapFairRate(N570,Trigger)</f>
        <v>2.0033271019047654E-2</v>
      </c>
      <c r="Q570" s="547">
        <f t="shared" si="10"/>
        <v>1.0610535734429868E-4</v>
      </c>
    </row>
    <row r="571" spans="5:17" x14ac:dyDescent="0.2">
      <c r="E571" s="538"/>
      <c r="F571" s="538"/>
      <c r="G571" s="537"/>
      <c r="I571" s="537"/>
      <c r="J571" s="537"/>
      <c r="L571" s="553">
        <f>_xll.qlCalendarAdvance(Calendar,L570,"1M","f",,Trigger)</f>
        <v>59600</v>
      </c>
      <c r="M571" s="544">
        <f>_xll.qlCalendarAdvance(Calendar,L571,"3M","mf",,Trigger)</f>
        <v>59692</v>
      </c>
      <c r="N571" s="546" t="str">
        <f>_xll.qlMakeDatedOIS(,L571,M571,"eonia",,,,,Trigger)</f>
        <v>obj_00b13#0002</v>
      </c>
      <c r="O571" s="545">
        <f>_xll.qlIndexFixing("euribor3m",_xll.qlInterestRateIndexFixingDate("Euribor3M",L571),TRUE)</f>
        <v>2.014995719567203E-2</v>
      </c>
      <c r="P571" s="545">
        <f>_xll.qlOvernightIndexedSwapFairRate(N571,Trigger)</f>
        <v>2.0033827496312613E-2</v>
      </c>
      <c r="Q571" s="547">
        <f t="shared" si="10"/>
        <v>1.1612969935941714E-4</v>
      </c>
    </row>
    <row r="572" spans="5:17" x14ac:dyDescent="0.2">
      <c r="E572" s="538"/>
      <c r="F572" s="538"/>
      <c r="G572" s="537"/>
      <c r="I572" s="537"/>
      <c r="J572" s="537"/>
      <c r="L572" s="553">
        <f>_xll.qlCalendarAdvance(Calendar,L571,"1M","f",,Trigger)</f>
        <v>59631</v>
      </c>
      <c r="M572" s="544">
        <f>_xll.qlCalendarAdvance(Calendar,L572,"3M","mf",,Trigger)</f>
        <v>59722</v>
      </c>
      <c r="N572" s="546" t="str">
        <f>_xll.qlMakeDatedOIS(,L572,M572,"eonia",,,,,Trigger)</f>
        <v>obj_00b15#0002</v>
      </c>
      <c r="O572" s="545">
        <f>_xll.qlIndexFixing("euribor3m",_xll.qlInterestRateIndexFixingDate("Euribor3M",L572),TRUE)</f>
        <v>2.0160450899270408E-2</v>
      </c>
      <c r="P572" s="545">
        <f>_xll.qlOvernightIndexedSwapFairRate(N572,Trigger)</f>
        <v>2.0033271019048535E-2</v>
      </c>
      <c r="Q572" s="547">
        <f t="shared" si="10"/>
        <v>1.2717988022187265E-4</v>
      </c>
    </row>
    <row r="573" spans="5:17" x14ac:dyDescent="0.2">
      <c r="E573" s="538"/>
      <c r="F573" s="538"/>
      <c r="G573" s="537"/>
      <c r="I573" s="537"/>
      <c r="J573" s="537"/>
      <c r="L573" s="553">
        <f>_xll.qlCalendarAdvance(Calendar,L572,"1M","f",,Trigger)</f>
        <v>59663</v>
      </c>
      <c r="M573" s="544">
        <f>_xll.qlCalendarAdvance(Calendar,L573,"3M","mf",,Trigger)</f>
        <v>59755</v>
      </c>
      <c r="N573" s="546" t="str">
        <f>_xll.qlMakeDatedOIS(,L573,M573,"eonia",,,,,Trigger)</f>
        <v>obj_00b17#0002</v>
      </c>
      <c r="O573" s="545">
        <f>_xll.qlIndexFixing("euribor3m",_xll.qlInterestRateIndexFixingDate("Euribor3M",L573),TRUE)</f>
        <v>2.0173191648711827E-2</v>
      </c>
      <c r="P573" s="545">
        <f>_xll.qlOvernightIndexedSwapFairRate(N573,Trigger)</f>
        <v>2.0033827496313474E-2</v>
      </c>
      <c r="Q573" s="547">
        <f t="shared" si="10"/>
        <v>1.3936415239835381E-4</v>
      </c>
    </row>
    <row r="574" spans="5:17" x14ac:dyDescent="0.2">
      <c r="E574" s="538"/>
      <c r="F574" s="538"/>
      <c r="G574" s="537"/>
      <c r="I574" s="537"/>
      <c r="J574" s="537"/>
      <c r="L574" s="553">
        <f>_xll.qlCalendarAdvance(Calendar,L573,"1M","f",,Trigger)</f>
        <v>59694</v>
      </c>
      <c r="M574" s="544">
        <f>_xll.qlCalendarAdvance(Calendar,L574,"3M","mf",,Trigger)</f>
        <v>59786</v>
      </c>
      <c r="N574" s="546" t="str">
        <f>_xll.qlMakeDatedOIS(,L574,M574,"eonia",,,,,Trigger)</f>
        <v>obj_00b19#0002</v>
      </c>
      <c r="O574" s="545">
        <f>_xll.qlIndexFixing("euribor3m",_xll.qlInterestRateIndexFixingDate("Euribor3M",L574),TRUE)</f>
        <v>2.0185177929954157E-2</v>
      </c>
      <c r="P574" s="545">
        <f>_xll.qlOvernightIndexedSwapFairRate(N574,Trigger)</f>
        <v>2.003382749631348E-2</v>
      </c>
      <c r="Q574" s="547">
        <f t="shared" si="10"/>
        <v>1.5135043364067693E-4</v>
      </c>
    </row>
    <row r="575" spans="5:17" x14ac:dyDescent="0.2">
      <c r="E575" s="538"/>
      <c r="F575" s="538"/>
      <c r="G575" s="537"/>
      <c r="I575" s="537"/>
      <c r="J575" s="537"/>
      <c r="L575" s="553">
        <f>_xll.qlCalendarAdvance(Calendar,L574,"1M","f",,Trigger)</f>
        <v>59726</v>
      </c>
      <c r="M575" s="544">
        <f>_xll.qlCalendarAdvance(Calendar,L575,"3M","mf",,Trigger)</f>
        <v>59818</v>
      </c>
      <c r="N575" s="546" t="str">
        <f>_xll.qlMakeDatedOIS(,L575,M575,"eonia",,,,,Trigger)</f>
        <v>obj_00b1b#0002</v>
      </c>
      <c r="O575" s="545">
        <f>_xll.qlIndexFixing("euribor3m",_xll.qlInterestRateIndexFixingDate("Euribor3M",L575),TRUE)</f>
        <v>2.0197933768410965E-2</v>
      </c>
      <c r="P575" s="545">
        <f>_xll.qlOvernightIndexedSwapFairRate(N575,Trigger)</f>
        <v>2.003382749631261E-2</v>
      </c>
      <c r="Q575" s="547">
        <f t="shared" si="10"/>
        <v>1.6410627209835493E-4</v>
      </c>
    </row>
    <row r="576" spans="5:17" x14ac:dyDescent="0.2">
      <c r="E576" s="538"/>
      <c r="F576" s="538"/>
      <c r="G576" s="537"/>
      <c r="I576" s="537"/>
      <c r="J576" s="537"/>
      <c r="L576" s="553">
        <f>_xll.qlCalendarAdvance(Calendar,L575,"1M","f",,Trigger)</f>
        <v>59757</v>
      </c>
      <c r="M576" s="544">
        <f>_xll.qlCalendarAdvance(Calendar,L576,"3M","mf",,Trigger)</f>
        <v>59849</v>
      </c>
      <c r="N576" s="546" t="str">
        <f>_xll.qlMakeDatedOIS(,L576,M576,"eonia",,,,,Trigger)</f>
        <v>obj_00b1d#0002</v>
      </c>
      <c r="O576" s="545">
        <f>_xll.qlIndexFixing("euribor3m",_xll.qlInterestRateIndexFixingDate("Euribor3M",L576),TRUE)</f>
        <v>2.021066192771228E-2</v>
      </c>
      <c r="P576" s="545">
        <f>_xll.qlOvernightIndexedSwapFairRate(N576,Trigger)</f>
        <v>2.0033827496313477E-2</v>
      </c>
      <c r="Q576" s="547">
        <f t="shared" si="10"/>
        <v>1.7683443139880281E-4</v>
      </c>
    </row>
    <row r="577" spans="5:17" x14ac:dyDescent="0.2">
      <c r="E577" s="538"/>
      <c r="F577" s="538"/>
      <c r="G577" s="537"/>
      <c r="I577" s="537"/>
      <c r="J577" s="537"/>
      <c r="L577" s="553">
        <f>_xll.qlCalendarAdvance(Calendar,L576,"1M","f",,Trigger)</f>
        <v>59789</v>
      </c>
      <c r="M577" s="544">
        <f>_xll.qlCalendarAdvance(Calendar,L577,"3M","mf",,Trigger)</f>
        <v>59880</v>
      </c>
      <c r="N577" s="546" t="str">
        <f>_xll.qlMakeDatedOIS(,L577,M577,"eonia",,,,,Trigger)</f>
        <v>obj_00b1f#0002</v>
      </c>
      <c r="O577" s="545">
        <f>_xll.qlIndexFixing("euribor3m",_xll.qlInterestRateIndexFixingDate("Euribor3M",L577),TRUE)</f>
        <v>2.0223399338583369E-2</v>
      </c>
      <c r="P577" s="545">
        <f>_xll.qlOvernightIndexedSwapFairRate(N577,Trigger)</f>
        <v>2.0033271019048532E-2</v>
      </c>
      <c r="Q577" s="547">
        <f t="shared" si="10"/>
        <v>1.901283195348373E-4</v>
      </c>
    </row>
    <row r="578" spans="5:17" x14ac:dyDescent="0.2">
      <c r="L578" s="553">
        <f>_xll.qlCalendarAdvance(Calendar,L577,"1M","f",,Trigger)</f>
        <v>59819</v>
      </c>
      <c r="M578" s="544">
        <f>_xll.qlCalendarAdvance(Calendar,L578,"3M","mf",,Trigger)</f>
        <v>59911</v>
      </c>
      <c r="N578" s="546" t="str">
        <f>_xll.qlMakeDatedOIS(,L578,M578,"eonia",,,,,Trigger)</f>
        <v>obj_00b21#0002</v>
      </c>
      <c r="O578" s="545">
        <f>_xll.qlIndexFixing("euribor3m",_xll.qlInterestRateIndexFixingDate("Euribor3M",L578),TRUE)</f>
        <v>2.0237213419240303E-2</v>
      </c>
      <c r="P578" s="545">
        <f>_xll.qlOvernightIndexedSwapFairRate(N578,Trigger)</f>
        <v>2.0033827496312613E-2</v>
      </c>
      <c r="Q578" s="547">
        <f t="shared" si="10"/>
        <v>2.0338592292768951E-4</v>
      </c>
    </row>
    <row r="579" spans="5:17" x14ac:dyDescent="0.2">
      <c r="L579" s="553">
        <f>_xll.qlCalendarAdvance(Calendar,L578,"1M","f",,Trigger)</f>
        <v>59852</v>
      </c>
      <c r="M579" s="544">
        <f>_xll.qlCalendarAdvance(Calendar,L579,"3M","mf",,Trigger)</f>
        <v>59944</v>
      </c>
      <c r="N579" s="546" t="str">
        <f>_xll.qlMakeDatedOIS(,L579,M579,"eonia",,,,,Trigger)</f>
        <v>obj_00b23#0002</v>
      </c>
      <c r="O579" s="545">
        <f>_xll.qlIndexFixing("euribor3m",_xll.qlInterestRateIndexFixingDate("Euribor3M",L579),TRUE)</f>
        <v>2.0251941123322674E-2</v>
      </c>
      <c r="P579" s="545">
        <f>_xll.qlOvernightIndexedSwapFairRate(N579,Trigger)</f>
        <v>2.003382749631261E-2</v>
      </c>
      <c r="Q579" s="547">
        <f t="shared" ref="Q579:Q581" si="11">O579-P579</f>
        <v>2.1811362701006434E-4</v>
      </c>
    </row>
    <row r="580" spans="5:17" x14ac:dyDescent="0.2">
      <c r="L580" s="553">
        <f>_xll.qlCalendarAdvance(Calendar,L579,"1M","f",,Trigger)</f>
        <v>59882</v>
      </c>
      <c r="M580" s="544">
        <f>_xll.qlCalendarAdvance(Calendar,L580,"3M","mf",,Trigger)</f>
        <v>59973</v>
      </c>
      <c r="N580" s="546" t="str">
        <f>_xll.qlMakeDatedOIS(,L580,M580,"eonia",,,,,Trigger)</f>
        <v>obj_00b25#0002</v>
      </c>
      <c r="O580" s="545">
        <f>_xll.qlIndexFixing("euribor3m",_xll.qlInterestRateIndexFixingDate("Euribor3M",L580),TRUE)</f>
        <v>2.026488469874237E-2</v>
      </c>
      <c r="P580" s="545">
        <f>_xll.qlOvernightIndexedSwapFairRate(N580,Trigger)</f>
        <v>2.0033271019048528E-2</v>
      </c>
      <c r="Q580" s="547">
        <f t="shared" si="11"/>
        <v>2.3161367969384145E-4</v>
      </c>
    </row>
    <row r="581" spans="5:17" ht="12" thickBot="1" x14ac:dyDescent="0.25">
      <c r="L581" s="554">
        <f>_xll.qlCalendarAdvance(Calendar,L580,"1M","f",,Trigger)</f>
        <v>59915</v>
      </c>
      <c r="M581" s="549">
        <f>_xll.qlCalendarAdvance(Calendar,L581,"3M","mf",,Trigger)</f>
        <v>60006</v>
      </c>
      <c r="N581" s="551" t="str">
        <f>_xll.qlMakeDatedOIS(,L581,M581,"eonia",,,,,Trigger)</f>
        <v>obj_00b27#0002</v>
      </c>
      <c r="O581" s="545">
        <f>_xll.qlIndexFixing("euribor3m",_xll.qlInterestRateIndexFixingDate("Euribor3M",L581),TRUE)</f>
        <v>2.028039504508504E-2</v>
      </c>
      <c r="P581" s="550">
        <f>_xll.qlOvernightIndexedSwapFairRate(N581,Trigger)</f>
        <v>2.0033271019047654E-2</v>
      </c>
      <c r="Q581" s="552">
        <f t="shared" si="11"/>
        <v>2.471240260373854E-4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5"/>
  <sheetViews>
    <sheetView showGridLines="0" workbookViewId="0"/>
  </sheetViews>
  <sheetFormatPr defaultRowHeight="11.25" x14ac:dyDescent="0.2"/>
  <cols>
    <col min="1" max="1" width="3.1640625" bestFit="1" customWidth="1"/>
    <col min="2" max="2" width="2.1640625" bestFit="1" customWidth="1"/>
    <col min="3" max="3" width="3.1640625" bestFit="1" customWidth="1"/>
    <col min="4" max="4" width="23.6640625" bestFit="1" customWidth="1"/>
    <col min="5" max="5" width="16.33203125" bestFit="1" customWidth="1"/>
    <col min="6" max="6" width="16.5" bestFit="1" customWidth="1"/>
    <col min="7" max="7" width="9.33203125" bestFit="1" customWidth="1"/>
    <col min="8" max="8" width="15.1640625" hidden="1" customWidth="1"/>
    <col min="9" max="10" width="8.33203125" bestFit="1" customWidth="1"/>
    <col min="12" max="13" width="16.6640625" bestFit="1" customWidth="1"/>
    <col min="14" max="14" width="14.6640625" hidden="1" customWidth="1"/>
    <col min="15" max="17" width="12.1640625" bestFit="1" customWidth="1"/>
  </cols>
  <sheetData>
    <row r="1" spans="1:17" ht="29.25" customHeight="1" x14ac:dyDescent="0.2">
      <c r="D1" s="540" t="s">
        <v>178</v>
      </c>
      <c r="E1" s="541" t="s">
        <v>173</v>
      </c>
      <c r="F1" s="541" t="s">
        <v>174</v>
      </c>
      <c r="G1" s="541" t="s">
        <v>184</v>
      </c>
      <c r="H1" s="541" t="s">
        <v>177</v>
      </c>
      <c r="I1" s="541" t="s">
        <v>185</v>
      </c>
      <c r="J1" s="542" t="s">
        <v>181</v>
      </c>
      <c r="L1" s="540" t="s">
        <v>173</v>
      </c>
      <c r="M1" s="541" t="s">
        <v>174</v>
      </c>
      <c r="N1" s="541"/>
      <c r="O1" s="541" t="s">
        <v>172</v>
      </c>
      <c r="P1" s="541" t="s">
        <v>186</v>
      </c>
      <c r="Q1" s="542" t="s">
        <v>181</v>
      </c>
    </row>
    <row r="2" spans="1:17" x14ac:dyDescent="0.2">
      <c r="C2">
        <v>6</v>
      </c>
      <c r="D2" s="543" t="str">
        <f>PROPER(Currency&amp;IborType)&amp;"6M"&amp;"LastFixing"&amp;QuoteSuffix</f>
        <v>Euribor6MLastFixing_Quote</v>
      </c>
      <c r="E2" s="544">
        <f>SettlementDate</f>
        <v>41866</v>
      </c>
      <c r="F2" s="544">
        <f>_xll.qlCalendarAdvance(Calendar,E2,"6M","mf")</f>
        <v>42051</v>
      </c>
      <c r="G2" s="545">
        <f>_xll.qlQuoteValue(D2)</f>
        <v>2.99E-3</v>
      </c>
      <c r="H2" s="546" t="str">
        <f>_xll.qlMakeDatedOIS(,E2,F2,"eonia")</f>
        <v>obj_00692#0000</v>
      </c>
      <c r="I2" s="545">
        <f>_xll.qlOvernightIndexedSwapFairRate(H2,Trigger)</f>
        <v>5.2124537933690329E-4</v>
      </c>
      <c r="J2" s="547">
        <f t="shared" ref="J2:J20" si="0">G2-I2</f>
        <v>2.4687546206630965E-3</v>
      </c>
      <c r="L2" s="553">
        <f>SettlementDate</f>
        <v>41866</v>
      </c>
      <c r="M2" s="544">
        <f>_xll.qlCalendarAdvance(Calendar,L2,"3M","f",,Trigger)</f>
        <v>41960</v>
      </c>
      <c r="N2" s="546" t="str">
        <f>_xll.qlMakeDatedOIS(,L2,M2,"eonia",,,,,Trigger)</f>
        <v>obj_00b31#0000</v>
      </c>
      <c r="O2" s="545">
        <f>_xll.qlIndexFixing("euribor6m",_xll.qlInterestRateIndexFixingDate("Euribor6M",L2),TRUE)</f>
        <v>2.9908541140523858E-3</v>
      </c>
      <c r="P2" s="545">
        <f>_xll.qlOvernightIndexedSwapFairRate(N2,Trigger)</f>
        <v>5.1204465057381218E-4</v>
      </c>
      <c r="Q2" s="547">
        <f>O2-P2</f>
        <v>2.4788094634785734E-3</v>
      </c>
    </row>
    <row r="3" spans="1:17" x14ac:dyDescent="0.2">
      <c r="A3">
        <v>1</v>
      </c>
      <c r="B3" t="s">
        <v>55</v>
      </c>
      <c r="C3">
        <f>A3+6</f>
        <v>7</v>
      </c>
      <c r="D3" s="543" t="str">
        <f t="shared" ref="D3:D20" si="1">Currency&amp;A3&amp;B3&amp;C3&amp;"F"&amp;QuoteSuffix</f>
        <v>EUR1x7F_Quote</v>
      </c>
      <c r="E3" s="544">
        <f>_xll.qlCalendarAdvance("target",$E$2,A3&amp;"M","mf")</f>
        <v>41897</v>
      </c>
      <c r="F3" s="544">
        <f>_xll.qlCalendarAdvance(Calendar,E3,"6M","mf")</f>
        <v>42079</v>
      </c>
      <c r="G3" s="545">
        <f>_xll.qlQuoteValue(D3)</f>
        <v>2.9400000000000003E-3</v>
      </c>
      <c r="H3" s="546" t="str">
        <f>_xll.qlMakeDatedOIS(,E3,F3,"eonia")</f>
        <v>obj_00697#0000</v>
      </c>
      <c r="I3" s="545">
        <f>_xll.qlOvernightIndexedSwapFairRate(H3,Trigger)</f>
        <v>5.2620898370263575E-4</v>
      </c>
      <c r="J3" s="547">
        <f t="shared" si="0"/>
        <v>2.4137910162973647E-3</v>
      </c>
      <c r="L3" s="553">
        <f>_xll.qlCalendarAdvance(Calendar,L2,"1M","f",,Trigger)</f>
        <v>41897</v>
      </c>
      <c r="M3" s="544">
        <f>_xll.qlCalendarAdvance(Calendar,L3,"3M","f",,Trigger)</f>
        <v>41988</v>
      </c>
      <c r="N3" s="546" t="str">
        <f>_xll.qlMakeDatedOIS(,L3,M3,"eonia",,,,,Trigger)</f>
        <v>obj_006a1#0000</v>
      </c>
      <c r="O3" s="545">
        <f>_xll.qlIndexFixing("euribor6m",_xll.qlInterestRateIndexFixingDate("Euribor6M",L3),TRUE)</f>
        <v>2.9300000000499838E-3</v>
      </c>
      <c r="P3" s="545">
        <f>_xll.qlOvernightIndexedSwapFairRate(N3,Trigger)</f>
        <v>5.010103952770976E-4</v>
      </c>
      <c r="Q3" s="547">
        <f t="shared" ref="Q3:Q66" si="2">O3-P3</f>
        <v>2.4289896047728862E-3</v>
      </c>
    </row>
    <row r="4" spans="1:17" x14ac:dyDescent="0.2">
      <c r="A4">
        <v>2</v>
      </c>
      <c r="B4" t="s">
        <v>55</v>
      </c>
      <c r="C4">
        <f t="shared" ref="C4:C20" si="3">A4+6</f>
        <v>8</v>
      </c>
      <c r="D4" s="543" t="str">
        <f t="shared" si="1"/>
        <v>EUR2x8F_Quote</v>
      </c>
      <c r="E4" s="544">
        <f>_xll.qlCalendarAdvance("target",$E$2,A4&amp;"M","mf")</f>
        <v>41927</v>
      </c>
      <c r="F4" s="544">
        <f>_xll.qlCalendarAdvance(Calendar,E4,"6M","mf")</f>
        <v>42109</v>
      </c>
      <c r="G4" s="545">
        <f>_xll.qlQuoteValue(D4)</f>
        <v>2.9200000000000003E-3</v>
      </c>
      <c r="H4" s="546" t="str">
        <f>_xll.qlMakeDatedOIS(,E4,F4,"eonia")</f>
        <v>obj_00693#0000</v>
      </c>
      <c r="I4" s="545">
        <f>_xll.qlOvernightIndexedSwapFairRate(H4,Trigger)</f>
        <v>4.9581695188439785E-4</v>
      </c>
      <c r="J4" s="547">
        <f t="shared" si="0"/>
        <v>2.4241830481156025E-3</v>
      </c>
      <c r="L4" s="553">
        <f>_xll.qlCalendarAdvance(Calendar,L3,"1M","f",,Trigger)</f>
        <v>41927</v>
      </c>
      <c r="M4" s="544">
        <f>_xll.qlCalendarAdvance(Calendar,L4,"3M","f",,Trigger)</f>
        <v>42019</v>
      </c>
      <c r="N4" s="546" t="str">
        <f>_xll.qlMakeDatedOIS(,L4,M4,"eonia",,,,,Trigger)</f>
        <v>obj_006a4#0000</v>
      </c>
      <c r="O4" s="545">
        <f>_xll.qlIndexFixing("euribor6m",_xll.qlInterestRateIndexFixingDate("Euribor6M",L4),TRUE)</f>
        <v>2.9200000004203034E-3</v>
      </c>
      <c r="P4" s="545">
        <f>_xll.qlOvernightIndexedSwapFairRate(N4,Trigger)</f>
        <v>4.8306097056242654E-4</v>
      </c>
      <c r="Q4" s="547">
        <f t="shared" si="2"/>
        <v>2.436939029857877E-3</v>
      </c>
    </row>
    <row r="5" spans="1:17" x14ac:dyDescent="0.2">
      <c r="A5">
        <f>A4+1</f>
        <v>3</v>
      </c>
      <c r="B5" t="s">
        <v>55</v>
      </c>
      <c r="C5">
        <f t="shared" si="3"/>
        <v>9</v>
      </c>
      <c r="D5" s="543" t="str">
        <f t="shared" si="1"/>
        <v>EUR3x9F_Quote</v>
      </c>
      <c r="E5" s="544">
        <f>_xll.qlCalendarAdvance("target",$E$2,A5&amp;"M","mf")</f>
        <v>41960</v>
      </c>
      <c r="F5" s="544">
        <f>_xll.qlCalendarAdvance(Calendar,E5,"6M","mf")</f>
        <v>42142</v>
      </c>
      <c r="G5" s="545">
        <f>_xll.qlQuoteValue(D5)</f>
        <v>2.9200000000000003E-3</v>
      </c>
      <c r="H5" s="546" t="str">
        <f>_xll.qlMakeDatedOIS(,E5,F5,"eonia")</f>
        <v>obj_00696#0000</v>
      </c>
      <c r="I5" s="545">
        <f>_xll.qlOvernightIndexedSwapFairRate(H5,Trigger)</f>
        <v>4.5853879297256346E-4</v>
      </c>
      <c r="J5" s="547">
        <f t="shared" si="0"/>
        <v>2.4614612070274367E-3</v>
      </c>
      <c r="L5" s="553">
        <f>_xll.qlCalendarAdvance(Calendar,L4,"1M","f",,Trigger)</f>
        <v>41960</v>
      </c>
      <c r="M5" s="544">
        <f>_xll.qlCalendarAdvance(Calendar,L5,"3M","f",,Trigger)</f>
        <v>42052</v>
      </c>
      <c r="N5" s="546" t="str">
        <f>_xll.qlMakeDatedOIS(,L5,M5,"eonia",,,,,Trigger)</f>
        <v>obj_006a6#0000</v>
      </c>
      <c r="O5" s="545">
        <f>_xll.qlIndexFixing("euribor6m",_xll.qlInterestRateIndexFixingDate("Euribor6M",L5),TRUE)</f>
        <v>2.9100000000000462E-3</v>
      </c>
      <c r="P5" s="545">
        <f>_xll.qlOvernightIndexedSwapFairRate(N5,Trigger)</f>
        <v>5.3197613612482081E-4</v>
      </c>
      <c r="Q5" s="547">
        <f t="shared" si="2"/>
        <v>2.3780238638752256E-3</v>
      </c>
    </row>
    <row r="6" spans="1:17" x14ac:dyDescent="0.2">
      <c r="A6">
        <f t="shared" ref="A6:A20" si="4">A5+1</f>
        <v>4</v>
      </c>
      <c r="B6" t="s">
        <v>55</v>
      </c>
      <c r="C6">
        <f t="shared" si="3"/>
        <v>10</v>
      </c>
      <c r="D6" s="543" t="str">
        <f t="shared" si="1"/>
        <v>EUR4x10F_Quote</v>
      </c>
      <c r="E6" s="544">
        <f>_xll.qlCalendarAdvance("target",$E$2,A6&amp;"M","mf")</f>
        <v>41988</v>
      </c>
      <c r="F6" s="544">
        <f>_xll.qlCalendarAdvance(Calendar,E6,"6M","mf")</f>
        <v>42170</v>
      </c>
      <c r="G6" s="545">
        <f>_xll.qlQuoteValue(D6)</f>
        <v>2.8900000000000002E-3</v>
      </c>
      <c r="H6" s="546" t="str">
        <f>_xll.qlMakeDatedOIS(,E6,F6,"eonia")</f>
        <v>obj_0069c#0000</v>
      </c>
      <c r="I6" s="545">
        <f>_xll.qlOvernightIndexedSwapFairRate(H6,Trigger)</f>
        <v>4.0567551764792483E-4</v>
      </c>
      <c r="J6" s="547">
        <f t="shared" si="0"/>
        <v>2.4843244823520754E-3</v>
      </c>
      <c r="L6" s="553">
        <f>_xll.qlCalendarAdvance(Calendar,L5,"1M","f",,Trigger)</f>
        <v>41990</v>
      </c>
      <c r="M6" s="544">
        <f>_xll.qlCalendarAdvance(Calendar,L6,"3M","f",,Trigger)</f>
        <v>42080</v>
      </c>
      <c r="N6" s="546" t="str">
        <f>_xll.qlMakeDatedOIS(,L6,M6,"eonia",,,,,Trigger)</f>
        <v>obj_006a8#0000</v>
      </c>
      <c r="O6" s="545">
        <f>_xll.qlIndexFixing("euribor6m",_xll.qlInterestRateIndexFixingDate("Euribor6M",L6),TRUE)</f>
        <v>2.8878802534513396E-3</v>
      </c>
      <c r="P6" s="545">
        <f>_xll.qlOvernightIndexedSwapFairRate(N6,Trigger)</f>
        <v>5.5068527577439852E-4</v>
      </c>
      <c r="Q6" s="547">
        <f t="shared" si="2"/>
        <v>2.337194977676941E-3</v>
      </c>
    </row>
    <row r="7" spans="1:17" x14ac:dyDescent="0.2">
      <c r="A7">
        <f t="shared" si="4"/>
        <v>5</v>
      </c>
      <c r="B7" t="s">
        <v>55</v>
      </c>
      <c r="C7">
        <f t="shared" si="3"/>
        <v>11</v>
      </c>
      <c r="D7" s="543" t="str">
        <f t="shared" si="1"/>
        <v>EUR5x11F_Quote</v>
      </c>
      <c r="E7" s="544">
        <f>_xll.qlCalendarAdvance("target",$E$2,A7&amp;"M","mf")</f>
        <v>42019</v>
      </c>
      <c r="F7" s="544">
        <f>_xll.qlCalendarAdvance(Calendar,E7,"6M","mf")</f>
        <v>42200</v>
      </c>
      <c r="G7" s="545">
        <f>_xll.qlQuoteValue(D7)</f>
        <v>2.8700000000000002E-3</v>
      </c>
      <c r="H7" s="546" t="str">
        <f>_xll.qlMakeDatedOIS(,E7,F7,"eonia")</f>
        <v>obj_006a3#0000</v>
      </c>
      <c r="I7" s="545">
        <f>_xll.qlOvernightIndexedSwapFairRate(H7,Trigger)</f>
        <v>3.6336581168900213E-4</v>
      </c>
      <c r="J7" s="547">
        <f t="shared" si="0"/>
        <v>2.5066341883109981E-3</v>
      </c>
      <c r="L7" s="553">
        <f>_xll.qlCalendarAdvance(Calendar,L6,"1M","f",,Trigger)</f>
        <v>42023</v>
      </c>
      <c r="M7" s="544">
        <f>_xll.qlCalendarAdvance(Calendar,L7,"3M","f",,Trigger)</f>
        <v>42114</v>
      </c>
      <c r="N7" s="546" t="str">
        <f>_xll.qlMakeDatedOIS(,L7,M7,"eonia",,,,,Trigger)</f>
        <v>obj_006aa#0000</v>
      </c>
      <c r="O7" s="545">
        <f>_xll.qlIndexFixing("euribor6m",_xll.qlInterestRateIndexFixingDate("Euribor6M",L7),TRUE)</f>
        <v>2.8572575854723826E-3</v>
      </c>
      <c r="P7" s="545">
        <f>_xll.qlOvernightIndexedSwapFairRate(N7,Trigger)</f>
        <v>5.013343786666643E-4</v>
      </c>
      <c r="Q7" s="547">
        <f t="shared" si="2"/>
        <v>2.3559232068057182E-3</v>
      </c>
    </row>
    <row r="8" spans="1:17" x14ac:dyDescent="0.2">
      <c r="A8">
        <f t="shared" si="4"/>
        <v>6</v>
      </c>
      <c r="B8" t="s">
        <v>55</v>
      </c>
      <c r="C8">
        <f t="shared" si="3"/>
        <v>12</v>
      </c>
      <c r="D8" s="543" t="str">
        <f t="shared" si="1"/>
        <v>EUR6x12F_Quote</v>
      </c>
      <c r="E8" s="544">
        <f>_xll.qlCalendarAdvance("target",$E$2,A8&amp;"M","mf")</f>
        <v>42051</v>
      </c>
      <c r="F8" s="544">
        <f>_xll.qlCalendarAdvance(Calendar,E8,"6M","mf")</f>
        <v>42233</v>
      </c>
      <c r="G8" s="545">
        <f>_xll.qlQuoteValue(D8)</f>
        <v>2.8500000000000001E-3</v>
      </c>
      <c r="H8" s="546" t="str">
        <f>_xll.qlMakeDatedOIS(,E8,F8,"eonia")</f>
        <v>obj_00b2f#0000</v>
      </c>
      <c r="I8" s="545">
        <f>_xll.qlOvernightIndexedSwapFairRate(H8,Trigger)</f>
        <v>2.9684139302818882E-4</v>
      </c>
      <c r="J8" s="547">
        <f t="shared" si="0"/>
        <v>2.5531586069718112E-3</v>
      </c>
      <c r="L8" s="553">
        <f>_xll.qlCalendarAdvance(Calendar,L7,"1M","f",,Trigger)</f>
        <v>42054</v>
      </c>
      <c r="M8" s="544">
        <f>_xll.qlCalendarAdvance(Calendar,L8,"3M","f",,Trigger)</f>
        <v>42143</v>
      </c>
      <c r="N8" s="546" t="str">
        <f>_xll.qlMakeDatedOIS(,L8,M8,"eonia",,,,,Trigger)</f>
        <v>obj_006ac#0000</v>
      </c>
      <c r="O8" s="545">
        <f>_xll.qlIndexFixing("euribor6m",_xll.qlInterestRateIndexFixingDate("Euribor6M",L8),TRUE)</f>
        <v>2.8478473256412433E-3</v>
      </c>
      <c r="P8" s="545">
        <f>_xll.qlOvernightIndexedSwapFairRate(N8,Trigger)</f>
        <v>3.7520501215364472E-4</v>
      </c>
      <c r="Q8" s="547">
        <f t="shared" si="2"/>
        <v>2.4726423134875984E-3</v>
      </c>
    </row>
    <row r="9" spans="1:17" x14ac:dyDescent="0.2">
      <c r="A9">
        <f t="shared" si="4"/>
        <v>7</v>
      </c>
      <c r="B9" t="s">
        <v>55</v>
      </c>
      <c r="C9">
        <f t="shared" si="3"/>
        <v>13</v>
      </c>
      <c r="D9" s="543" t="str">
        <f t="shared" si="1"/>
        <v>EUR7x13F_Quote</v>
      </c>
      <c r="E9" s="544">
        <f>_xll.qlCalendarAdvance("target",$E$2,A9&amp;"M","mf")</f>
        <v>42079</v>
      </c>
      <c r="F9" s="544">
        <f>_xll.qlCalendarAdvance(Calendar,E9,"6M","mf")</f>
        <v>42263</v>
      </c>
      <c r="G9" s="545">
        <f>_xll.qlQuoteValue(D9)</f>
        <v>2.8500000000000001E-3</v>
      </c>
      <c r="H9" s="546" t="str">
        <f>_xll.qlMakeDatedOIS(,E9,F9,"eonia")</f>
        <v>obj_00b2e#0000</v>
      </c>
      <c r="I9" s="545">
        <f>_xll.qlOvernightIndexedSwapFairRate(H9,Trigger)</f>
        <v>2.286649644686008E-4</v>
      </c>
      <c r="J9" s="547">
        <f t="shared" si="0"/>
        <v>2.6213350355313992E-3</v>
      </c>
      <c r="L9" s="553">
        <f>_xll.qlCalendarAdvance(Calendar,L8,"1M","f",,Trigger)</f>
        <v>42082</v>
      </c>
      <c r="M9" s="544">
        <f>_xll.qlCalendarAdvance(Calendar,L9,"3M","f",,Trigger)</f>
        <v>42174</v>
      </c>
      <c r="N9" s="546" t="str">
        <f>_xll.qlMakeDatedOIS(,L9,M9,"eonia",,,,,Trigger)</f>
        <v>obj_006ae#0000</v>
      </c>
      <c r="O9" s="545">
        <f>_xll.qlIndexFixing("euribor6m",_xll.qlInterestRateIndexFixingDate("Euribor6M",L9),TRUE)</f>
        <v>2.8454323017558197E-3</v>
      </c>
      <c r="P9" s="545">
        <f>_xll.qlOvernightIndexedSwapFairRate(N9,Trigger)</f>
        <v>2.556185164676281E-4</v>
      </c>
      <c r="Q9" s="547">
        <f t="shared" si="2"/>
        <v>2.5898137852881915E-3</v>
      </c>
    </row>
    <row r="10" spans="1:17" x14ac:dyDescent="0.2">
      <c r="A10">
        <f t="shared" si="4"/>
        <v>8</v>
      </c>
      <c r="B10" t="s">
        <v>55</v>
      </c>
      <c r="C10">
        <f t="shared" si="3"/>
        <v>14</v>
      </c>
      <c r="D10" s="543" t="str">
        <f t="shared" si="1"/>
        <v>EUR8x14F_Quote</v>
      </c>
      <c r="E10" s="544">
        <f>_xll.qlCalendarAdvance("target",$E$2,A10&amp;"M","mf")</f>
        <v>42109</v>
      </c>
      <c r="F10" s="544">
        <f>_xll.qlCalendarAdvance(Calendar,E10,"6M","mf")</f>
        <v>42292</v>
      </c>
      <c r="G10" s="545">
        <f>_xll.qlQuoteValue(D10)</f>
        <v>2.8800000000000002E-3</v>
      </c>
      <c r="H10" s="546" t="str">
        <f>_xll.qlMakeDatedOIS(,E10,F10,"eonia")</f>
        <v>obj_00b2b#0000</v>
      </c>
      <c r="I10" s="545">
        <f>_xll.qlOvernightIndexedSwapFairRate(H10,Trigger)</f>
        <v>1.9762730973060442E-4</v>
      </c>
      <c r="J10" s="547">
        <f t="shared" si="0"/>
        <v>2.6823726902693956E-3</v>
      </c>
      <c r="L10" s="553">
        <f>_xll.qlCalendarAdvance(Calendar,L9,"1M","f",,Trigger)</f>
        <v>42114</v>
      </c>
      <c r="M10" s="544">
        <f>_xll.qlCalendarAdvance(Calendar,L10,"3M","f",,Trigger)</f>
        <v>42205</v>
      </c>
      <c r="N10" s="546" t="str">
        <f>_xll.qlMakeDatedOIS(,L10,M10,"eonia",,,,,Trigger)</f>
        <v>obj_006b0#0000</v>
      </c>
      <c r="O10" s="545">
        <f>_xll.qlIndexFixing("euribor6m",_xll.qlInterestRateIndexFixingDate("Euribor6M",L10),TRUE)</f>
        <v>2.877235618295294E-3</v>
      </c>
      <c r="P10" s="545">
        <f>_xll.qlOvernightIndexedSwapFairRate(N10,Trigger)</f>
        <v>2.116780217105201E-4</v>
      </c>
      <c r="Q10" s="547">
        <f t="shared" si="2"/>
        <v>2.665557596584774E-3</v>
      </c>
    </row>
    <row r="11" spans="1:17" x14ac:dyDescent="0.2">
      <c r="A11">
        <f t="shared" si="4"/>
        <v>9</v>
      </c>
      <c r="B11" t="s">
        <v>55</v>
      </c>
      <c r="C11">
        <f t="shared" si="3"/>
        <v>15</v>
      </c>
      <c r="D11" s="543" t="str">
        <f t="shared" si="1"/>
        <v>EUR9x15F_Quote</v>
      </c>
      <c r="E11" s="544">
        <f>_xll.qlCalendarAdvance("target",$E$2,A11&amp;"M","mf")</f>
        <v>42139</v>
      </c>
      <c r="F11" s="544">
        <f>_xll.qlCalendarAdvance(Calendar,E11,"6M","mf")</f>
        <v>42324</v>
      </c>
      <c r="G11" s="545">
        <f>_xll.qlQuoteValue(D11)</f>
        <v>2.9100000000000003E-3</v>
      </c>
      <c r="H11" s="546" t="str">
        <f>_xll.qlMakeDatedOIS(,E11,F11,"eonia")</f>
        <v>obj_0069a#0000</v>
      </c>
      <c r="I11" s="545">
        <f>_xll.qlOvernightIndexedSwapFairRate(H11,Trigger)</f>
        <v>1.8288093512601805E-4</v>
      </c>
      <c r="J11" s="547">
        <f t="shared" si="0"/>
        <v>2.7271190648739821E-3</v>
      </c>
      <c r="L11" s="553">
        <f>_xll.qlCalendarAdvance(Calendar,L10,"1M","f",,Trigger)</f>
        <v>42144</v>
      </c>
      <c r="M11" s="544">
        <f>_xll.qlCalendarAdvance(Calendar,L11,"3M","f",,Trigger)</f>
        <v>42236</v>
      </c>
      <c r="N11" s="546" t="str">
        <f>_xll.qlMakeDatedOIS(,L11,M11,"eonia",,,,,Trigger)</f>
        <v>obj_006b2#0000</v>
      </c>
      <c r="O11" s="545">
        <f>_xll.qlIndexFixing("euribor6m",_xll.qlInterestRateIndexFixingDate("Euribor6M",L11),TRUE)</f>
        <v>2.91522930653661E-3</v>
      </c>
      <c r="P11" s="545">
        <f>_xll.qlOvernightIndexedSwapFairRate(N11,Trigger)</f>
        <v>2.0618739458148121E-4</v>
      </c>
      <c r="Q11" s="547">
        <f t="shared" si="2"/>
        <v>2.7090419119551287E-3</v>
      </c>
    </row>
    <row r="12" spans="1:17" x14ac:dyDescent="0.2">
      <c r="A12">
        <f t="shared" si="4"/>
        <v>10</v>
      </c>
      <c r="B12" t="s">
        <v>55</v>
      </c>
      <c r="C12">
        <f t="shared" si="3"/>
        <v>16</v>
      </c>
      <c r="D12" s="543" t="str">
        <f t="shared" si="1"/>
        <v>EUR10x16F_Quote</v>
      </c>
      <c r="E12" s="544">
        <f>_xll.qlCalendarAdvance("target",$E$2,A12&amp;"M","mf")</f>
        <v>42170</v>
      </c>
      <c r="F12" s="544">
        <f>_xll.qlCalendarAdvance(Calendar,E12,"6M","mf")</f>
        <v>42353</v>
      </c>
      <c r="G12" s="545">
        <f>_xll.qlQuoteValue(D12)</f>
        <v>2.9500000000000004E-3</v>
      </c>
      <c r="H12" s="546" t="str">
        <f>_xll.qlMakeDatedOIS(,E12,F12,"eonia")</f>
        <v>obj_00b30#0000</v>
      </c>
      <c r="I12" s="545">
        <f>_xll.qlOvernightIndexedSwapFairRate(H12,Trigger)</f>
        <v>2.1045989284957278E-4</v>
      </c>
      <c r="J12" s="547">
        <f t="shared" si="0"/>
        <v>2.7395401071504278E-3</v>
      </c>
      <c r="L12" s="553">
        <f>_xll.qlCalendarAdvance(Calendar,L11,"1M","f",,Trigger)</f>
        <v>42177</v>
      </c>
      <c r="M12" s="544">
        <f>_xll.qlCalendarAdvance(Calendar,L12,"3M","f",,Trigger)</f>
        <v>42269</v>
      </c>
      <c r="N12" s="546" t="str">
        <f>_xll.qlMakeDatedOIS(,L12,M12,"eonia",,,,,Trigger)</f>
        <v>obj_006b4#0000</v>
      </c>
      <c r="O12" s="545">
        <f>_xll.qlIndexFixing("euribor6m",_xll.qlInterestRateIndexFixingDate("Euribor6M",L12),TRUE)</f>
        <v>2.9662286332573381E-3</v>
      </c>
      <c r="P12" s="545">
        <f>_xll.qlOvernightIndexedSwapFairRate(N12,Trigger)</f>
        <v>1.9320138834071258E-4</v>
      </c>
      <c r="Q12" s="547">
        <f t="shared" si="2"/>
        <v>2.7730272449166256E-3</v>
      </c>
    </row>
    <row r="13" spans="1:17" x14ac:dyDescent="0.2">
      <c r="A13">
        <f t="shared" si="4"/>
        <v>11</v>
      </c>
      <c r="B13" t="s">
        <v>55</v>
      </c>
      <c r="C13">
        <f t="shared" si="3"/>
        <v>17</v>
      </c>
      <c r="D13" s="543" t="str">
        <f t="shared" si="1"/>
        <v>EUR11x17F_Quote</v>
      </c>
      <c r="E13" s="544">
        <f>_xll.qlCalendarAdvance("target",$E$2,A13&amp;"M","mf")</f>
        <v>42200</v>
      </c>
      <c r="F13" s="544">
        <f>_xll.qlCalendarAdvance(Calendar,E13,"6M","mf")</f>
        <v>42384</v>
      </c>
      <c r="G13" s="545">
        <f>_xll.qlQuoteValue(D13)</f>
        <v>3.0300000000000006E-3</v>
      </c>
      <c r="H13" s="546" t="str">
        <f>_xll.qlMakeDatedOIS(,E13,F13,"eonia")</f>
        <v>obj_0069d#0000</v>
      </c>
      <c r="I13" s="545">
        <f>_xll.qlOvernightIndexedSwapFairRate(H13,Trigger)</f>
        <v>2.3291186435384201E-4</v>
      </c>
      <c r="J13" s="547">
        <f t="shared" si="0"/>
        <v>2.7970881356461585E-3</v>
      </c>
      <c r="L13" s="553">
        <f>_xll.qlCalendarAdvance(Calendar,L12,"1M","f",,Trigger)</f>
        <v>42207</v>
      </c>
      <c r="M13" s="544">
        <f>_xll.qlCalendarAdvance(Calendar,L13,"3M","f",,Trigger)</f>
        <v>42299</v>
      </c>
      <c r="N13" s="546" t="str">
        <f>_xll.qlMakeDatedOIS(,L13,M13,"eonia",,,,,Trigger)</f>
        <v>obj_006b6#0000</v>
      </c>
      <c r="O13" s="545">
        <f>_xll.qlIndexFixing("euribor6m",_xll.qlInterestRateIndexFixingDate("Euribor6M",L13),TRUE)</f>
        <v>3.0466066354241433E-3</v>
      </c>
      <c r="P13" s="545">
        <f>_xll.qlOvernightIndexedSwapFairRate(N13,Trigger)</f>
        <v>1.7223458510884842E-4</v>
      </c>
      <c r="Q13" s="547">
        <f t="shared" si="2"/>
        <v>2.8743720503152949E-3</v>
      </c>
    </row>
    <row r="14" spans="1:17" x14ac:dyDescent="0.2">
      <c r="A14">
        <f t="shared" si="4"/>
        <v>12</v>
      </c>
      <c r="B14" t="s">
        <v>55</v>
      </c>
      <c r="C14">
        <f t="shared" si="3"/>
        <v>18</v>
      </c>
      <c r="D14" s="543" t="str">
        <f t="shared" si="1"/>
        <v>EUR12x18F_Quote</v>
      </c>
      <c r="E14" s="544">
        <f>_xll.qlCalendarAdvance("target",$E$2,A14&amp;"M","mf")</f>
        <v>42233</v>
      </c>
      <c r="F14" s="544">
        <f>_xll.qlCalendarAdvance(Calendar,E14,"6M","mf")</f>
        <v>42417</v>
      </c>
      <c r="G14" s="545">
        <f>_xll.qlQuoteValue(D14)</f>
        <v>3.1000000000000003E-3</v>
      </c>
      <c r="H14" s="546" t="str">
        <f>_xll.qlMakeDatedOIS(,E14,F14,"eonia")</f>
        <v>obj_0069b#0000</v>
      </c>
      <c r="I14" s="545">
        <f>_xll.qlOvernightIndexedSwapFairRate(H14,Trigger)</f>
        <v>2.6255163924351541E-4</v>
      </c>
      <c r="J14" s="547">
        <f t="shared" si="0"/>
        <v>2.8374483607564848E-3</v>
      </c>
      <c r="L14" s="553">
        <f>_xll.qlCalendarAdvance(Calendar,L13,"1M","f",,Trigger)</f>
        <v>42240</v>
      </c>
      <c r="M14" s="544">
        <f>_xll.qlCalendarAdvance(Calendar,L14,"3M","f",,Trigger)</f>
        <v>42332</v>
      </c>
      <c r="N14" s="546" t="str">
        <f>_xll.qlMakeDatedOIS(,L14,M14,"eonia",,,,,Trigger)</f>
        <v>obj_006b8#0000</v>
      </c>
      <c r="O14" s="545">
        <f>_xll.qlIndexFixing("euribor6m",_xll.qlInterestRateIndexFixingDate("Euribor6M",L14),TRUE)</f>
        <v>3.1161307177696648E-3</v>
      </c>
      <c r="P14" s="545">
        <f>_xll.qlOvernightIndexedSwapFairRate(N14,Trigger)</f>
        <v>1.7587570496316925E-4</v>
      </c>
      <c r="Q14" s="547">
        <f t="shared" si="2"/>
        <v>2.9402550128064956E-3</v>
      </c>
    </row>
    <row r="15" spans="1:17" x14ac:dyDescent="0.2">
      <c r="A15">
        <f t="shared" si="4"/>
        <v>13</v>
      </c>
      <c r="B15" t="s">
        <v>55</v>
      </c>
      <c r="C15">
        <f t="shared" si="3"/>
        <v>19</v>
      </c>
      <c r="D15" s="543" t="str">
        <f t="shared" si="1"/>
        <v>EUR13x19F_Quote</v>
      </c>
      <c r="E15" s="544">
        <f>_xll.qlCalendarAdvance("target",$E$2,A15&amp;"M","mf")</f>
        <v>42262</v>
      </c>
      <c r="F15" s="544">
        <f>_xll.qlCalendarAdvance(Calendar,E15,"6M","mf")</f>
        <v>42444</v>
      </c>
      <c r="G15" s="545">
        <f>_xll.qlQuoteValue(D15)</f>
        <v>3.16E-3</v>
      </c>
      <c r="H15" s="546" t="str">
        <f>_xll.qlMakeDatedOIS(,E15,F15,"eonia")</f>
        <v>obj_00698#0000</v>
      </c>
      <c r="I15" s="545">
        <f>_xll.qlOvernightIndexedSwapFairRate(H15,Trigger)</f>
        <v>3.2490620761607361E-4</v>
      </c>
      <c r="J15" s="547">
        <f t="shared" si="0"/>
        <v>2.8350937923839266E-3</v>
      </c>
      <c r="L15" s="553">
        <f>_xll.qlCalendarAdvance(Calendar,L14,"1M","f",,Trigger)</f>
        <v>42271</v>
      </c>
      <c r="M15" s="544">
        <f>_xll.qlCalendarAdvance(Calendar,L15,"3M","f",,Trigger)</f>
        <v>42362</v>
      </c>
      <c r="N15" s="546" t="str">
        <f>_xll.qlMakeDatedOIS(,L15,M15,"eonia",,,,,Trigger)</f>
        <v>obj_006ba#0000</v>
      </c>
      <c r="O15" s="545">
        <f>_xll.qlIndexFixing("euribor6m",_xll.qlInterestRateIndexFixingDate("Euribor6M",L15),TRUE)</f>
        <v>3.1951131888955341E-3</v>
      </c>
      <c r="P15" s="545">
        <f>_xll.qlOvernightIndexedSwapFairRate(N15,Trigger)</f>
        <v>2.4253682550587203E-4</v>
      </c>
      <c r="Q15" s="547">
        <f t="shared" si="2"/>
        <v>2.9525763633896618E-3</v>
      </c>
    </row>
    <row r="16" spans="1:17" x14ac:dyDescent="0.2">
      <c r="A16">
        <f t="shared" si="4"/>
        <v>14</v>
      </c>
      <c r="B16" t="s">
        <v>55</v>
      </c>
      <c r="C16">
        <f t="shared" si="3"/>
        <v>20</v>
      </c>
      <c r="D16" s="543" t="str">
        <f t="shared" si="1"/>
        <v>EUR14x20F_Quote</v>
      </c>
      <c r="E16" s="544">
        <f>_xll.qlCalendarAdvance("target",$E$2,A16&amp;"M","mf")</f>
        <v>42292</v>
      </c>
      <c r="F16" s="544">
        <f>_xll.qlCalendarAdvance(Calendar,E16,"6M","mf")</f>
        <v>42475</v>
      </c>
      <c r="G16" s="545">
        <f>_xll.qlQuoteValue(D16)</f>
        <v>3.2600000000000003E-3</v>
      </c>
      <c r="H16" s="546" t="str">
        <f>_xll.qlMakeDatedOIS(,E16,F16,"eonia")</f>
        <v>obj_006a0#0000</v>
      </c>
      <c r="I16" s="545">
        <f>_xll.qlOvernightIndexedSwapFairRate(H16,Trigger)</f>
        <v>3.9389219157660019E-4</v>
      </c>
      <c r="J16" s="547">
        <f t="shared" si="0"/>
        <v>2.8661078084234E-3</v>
      </c>
      <c r="L16" s="553">
        <f>_xll.qlCalendarAdvance(Calendar,L15,"1M","f",,Trigger)</f>
        <v>42303</v>
      </c>
      <c r="M16" s="544">
        <f>_xll.qlCalendarAdvance(Calendar,L16,"3M","f",,Trigger)</f>
        <v>42395</v>
      </c>
      <c r="N16" s="546" t="str">
        <f>_xll.qlMakeDatedOIS(,L16,M16,"eonia",,,,,Trigger)</f>
        <v>obj_006bc#0000</v>
      </c>
      <c r="O16" s="545">
        <f>_xll.qlIndexFixing("euribor6m",_xll.qlInterestRateIndexFixingDate("Euribor6M",L16),TRUE)</f>
        <v>3.294383683154089E-3</v>
      </c>
      <c r="P16" s="545">
        <f>_xll.qlOvernightIndexedSwapFairRate(N16,Trigger)</f>
        <v>3.1394368155743621E-4</v>
      </c>
      <c r="Q16" s="547">
        <f t="shared" si="2"/>
        <v>2.9804400015966529E-3</v>
      </c>
    </row>
    <row r="17" spans="1:17" x14ac:dyDescent="0.2">
      <c r="A17">
        <f t="shared" si="4"/>
        <v>15</v>
      </c>
      <c r="B17" t="s">
        <v>55</v>
      </c>
      <c r="C17">
        <f t="shared" si="3"/>
        <v>21</v>
      </c>
      <c r="D17" s="543" t="str">
        <f t="shared" si="1"/>
        <v>EUR15x21F_Quote</v>
      </c>
      <c r="E17" s="544">
        <f>_xll.qlCalendarAdvance("target",$E$2,A17&amp;"M","mf")</f>
        <v>42324</v>
      </c>
      <c r="F17" s="544">
        <f>_xll.qlCalendarAdvance(Calendar,E17,"6M","mf")</f>
        <v>42506</v>
      </c>
      <c r="G17" s="545">
        <f>_xll.qlQuoteValue(D17)</f>
        <v>3.3599999999999997E-3</v>
      </c>
      <c r="H17" s="546" t="str">
        <f>_xll.qlMakeDatedOIS(,E17,F17,"eonia")</f>
        <v>obj_00b2c#0000</v>
      </c>
      <c r="I17" s="545">
        <f>_xll.qlOvernightIndexedSwapFairRate(H17,Trigger)</f>
        <v>4.654688053277386E-4</v>
      </c>
      <c r="J17" s="547">
        <f t="shared" si="0"/>
        <v>2.8945311946722611E-3</v>
      </c>
      <c r="L17" s="553">
        <f>_xll.qlCalendarAdvance(Calendar,L16,"1M","f",,Trigger)</f>
        <v>42334</v>
      </c>
      <c r="M17" s="544">
        <f>_xll.qlCalendarAdvance(Calendar,L17,"3M","f",,Trigger)</f>
        <v>42426</v>
      </c>
      <c r="N17" s="546" t="str">
        <f>_xll.qlMakeDatedOIS(,L17,M17,"eonia",,,,,Trigger)</f>
        <v>obj_006be#0000</v>
      </c>
      <c r="O17" s="545">
        <f>_xll.qlIndexFixing("euribor6m",_xll.qlInterestRateIndexFixingDate("Euribor6M",L17),TRUE)</f>
        <v>3.3905979098139082E-3</v>
      </c>
      <c r="P17" s="545">
        <f>_xll.qlOvernightIndexedSwapFairRate(N17,Trigger)</f>
        <v>3.8518928024417647E-4</v>
      </c>
      <c r="Q17" s="547">
        <f t="shared" si="2"/>
        <v>3.0054086295697316E-3</v>
      </c>
    </row>
    <row r="18" spans="1:17" x14ac:dyDescent="0.2">
      <c r="A18">
        <f t="shared" si="4"/>
        <v>16</v>
      </c>
      <c r="B18" t="s">
        <v>55</v>
      </c>
      <c r="C18">
        <f t="shared" si="3"/>
        <v>22</v>
      </c>
      <c r="D18" s="543" t="str">
        <f t="shared" si="1"/>
        <v>EUR16x22F_Quote</v>
      </c>
      <c r="E18" s="544">
        <f>_xll.qlCalendarAdvance("target",$E$2,A18&amp;"M","mf")</f>
        <v>42353</v>
      </c>
      <c r="F18" s="544">
        <f>_xll.qlCalendarAdvance(Calendar,E18,"6M","mf")</f>
        <v>42536</v>
      </c>
      <c r="G18" s="545">
        <f>_xll.qlQuoteValue(D18)</f>
        <v>3.4599999999999995E-3</v>
      </c>
      <c r="H18" s="546" t="str">
        <f>_xll.qlMakeDatedOIS(,E18,F18,"eonia")</f>
        <v>obj_0069e#0000</v>
      </c>
      <c r="I18" s="545">
        <f>_xll.qlOvernightIndexedSwapFairRate(H18,Trigger)</f>
        <v>5.3564510003664548E-4</v>
      </c>
      <c r="J18" s="547">
        <f t="shared" si="0"/>
        <v>2.9243548999633539E-3</v>
      </c>
      <c r="L18" s="553">
        <f>_xll.qlCalendarAdvance(Calendar,L17,"1M","f",,Trigger)</f>
        <v>42366</v>
      </c>
      <c r="M18" s="544">
        <f>_xll.qlCalendarAdvance(Calendar,L18,"3M","f",,Trigger)</f>
        <v>42458</v>
      </c>
      <c r="N18" s="546" t="str">
        <f>_xll.qlMakeDatedOIS(,L18,M18,"eonia",,,,,Trigger)</f>
        <v>obj_006c0#0000</v>
      </c>
      <c r="O18" s="545">
        <f>_xll.qlIndexFixing("euribor6m",_xll.qlInterestRateIndexFixingDate("Euribor6M",L18),TRUE)</f>
        <v>3.4946816878595913E-3</v>
      </c>
      <c r="P18" s="545">
        <f>_xll.qlOvernightIndexedSwapFairRate(N18,Trigger)</f>
        <v>4.5856288031384898E-4</v>
      </c>
      <c r="Q18" s="547">
        <f t="shared" si="2"/>
        <v>3.0361188075457421E-3</v>
      </c>
    </row>
    <row r="19" spans="1:17" x14ac:dyDescent="0.2">
      <c r="A19">
        <f t="shared" si="4"/>
        <v>17</v>
      </c>
      <c r="B19" t="s">
        <v>55</v>
      </c>
      <c r="C19">
        <f t="shared" si="3"/>
        <v>23</v>
      </c>
      <c r="D19" s="543" t="str">
        <f t="shared" si="1"/>
        <v>EUR17x23F_Quote</v>
      </c>
      <c r="E19" s="544">
        <f>_xll.qlCalendarAdvance("target",$E$2,A19&amp;"M","mf")</f>
        <v>42384</v>
      </c>
      <c r="F19" s="544">
        <f>_xll.qlCalendarAdvance(Calendar,E19,"6M","mf")</f>
        <v>42566</v>
      </c>
      <c r="G19" s="545">
        <f>_xll.qlQuoteValue(D19)</f>
        <v>3.5699999999999998E-3</v>
      </c>
      <c r="H19" s="546" t="str">
        <f>_xll.qlMakeDatedOIS(,E19,F19,"eonia")</f>
        <v>obj_00699#0000</v>
      </c>
      <c r="I19" s="545">
        <f>_xll.qlOvernightIndexedSwapFairRate(H19,Trigger)</f>
        <v>6.0775358359580812E-4</v>
      </c>
      <c r="J19" s="547">
        <f t="shared" si="0"/>
        <v>2.9622464164041915E-3</v>
      </c>
      <c r="L19" s="553">
        <f>_xll.qlCalendarAdvance(Calendar,L18,"1M","f",,Trigger)</f>
        <v>42397</v>
      </c>
      <c r="M19" s="544">
        <f>_xll.qlCalendarAdvance(Calendar,L19,"3M","f",,Trigger)</f>
        <v>42488</v>
      </c>
      <c r="N19" s="546" t="str">
        <f>_xll.qlMakeDatedOIS(,L19,M19,"eonia",,,,,Trigger)</f>
        <v>obj_006c2#0000</v>
      </c>
      <c r="O19" s="545">
        <f>_xll.qlIndexFixing("euribor6m",_xll.qlInterestRateIndexFixingDate("Euribor6M",L19),TRUE)</f>
        <v>3.6098993099465825E-3</v>
      </c>
      <c r="P19" s="545">
        <f>_xll.qlOvernightIndexedSwapFairRate(N19,Trigger)</f>
        <v>5.2919092026229E-4</v>
      </c>
      <c r="Q19" s="547">
        <f t="shared" si="2"/>
        <v>3.0807083896842924E-3</v>
      </c>
    </row>
    <row r="20" spans="1:17" ht="12" thickBot="1" x14ac:dyDescent="0.25">
      <c r="A20">
        <f t="shared" si="4"/>
        <v>18</v>
      </c>
      <c r="B20" t="s">
        <v>55</v>
      </c>
      <c r="C20">
        <f t="shared" si="3"/>
        <v>24</v>
      </c>
      <c r="D20" s="548" t="str">
        <f t="shared" si="1"/>
        <v>EUR18x24F_Quote</v>
      </c>
      <c r="E20" s="549">
        <f>_xll.qlCalendarAdvance("target",$E$2,A20&amp;"M","mf")</f>
        <v>42415</v>
      </c>
      <c r="F20" s="549">
        <f>_xll.qlCalendarAdvance(Calendar,E20,"6M","mf")</f>
        <v>42597</v>
      </c>
      <c r="G20" s="550">
        <f>_xll.qlQuoteValue(D20)</f>
        <v>3.6900000000000001E-3</v>
      </c>
      <c r="H20" s="551" t="str">
        <f>_xll.qlMakeDatedOIS(,E20,F20,"eonia")</f>
        <v>obj_0069f#0000</v>
      </c>
      <c r="I20" s="550">
        <f>_xll.qlOvernightIndexedSwapFairRate(H20,Trigger)</f>
        <v>6.8127139482183679E-4</v>
      </c>
      <c r="J20" s="552">
        <f t="shared" si="0"/>
        <v>3.0087286051781632E-3</v>
      </c>
      <c r="L20" s="553">
        <f>_xll.qlCalendarAdvance(Calendar,L19,"1M","f",,Trigger)</f>
        <v>42429</v>
      </c>
      <c r="M20" s="544">
        <f>_xll.qlCalendarAdvance(Calendar,L20,"3M","f",,Trigger)</f>
        <v>42520</v>
      </c>
      <c r="N20" s="546" t="str">
        <f>_xll.qlMakeDatedOIS(,L20,M20,"eonia",,,,,Trigger)</f>
        <v>obj_006c4#0000</v>
      </c>
      <c r="O20" s="545">
        <f>_xll.qlIndexFixing("euribor6m",_xll.qlInterestRateIndexFixingDate("Euribor6M",L20),TRUE)</f>
        <v>3.7378998264410257E-3</v>
      </c>
      <c r="P20" s="545">
        <f>_xll.qlOvernightIndexedSwapFairRate(N20,Trigger)</f>
        <v>6.0485480678820541E-4</v>
      </c>
      <c r="Q20" s="547">
        <f t="shared" si="2"/>
        <v>3.1330450196528203E-3</v>
      </c>
    </row>
    <row r="21" spans="1:17" x14ac:dyDescent="0.2">
      <c r="E21" s="538"/>
      <c r="F21" s="538"/>
      <c r="G21" s="537"/>
      <c r="I21" s="537"/>
      <c r="J21" s="537"/>
      <c r="L21" s="553">
        <f>_xll.qlCalendarAdvance(Calendar,L20,"1M","f",,Trigger)</f>
        <v>42458</v>
      </c>
      <c r="M21" s="544">
        <f>_xll.qlCalendarAdvance(Calendar,L21,"3M","f",,Trigger)</f>
        <v>42550</v>
      </c>
      <c r="N21" s="546" t="str">
        <f>_xll.qlMakeDatedOIS(,L21,M21,"eonia",,,,,Trigger)</f>
        <v>obj_006c6#0000</v>
      </c>
      <c r="O21" s="545">
        <f>_xll.qlIndexFixing("euribor6m",_xll.qlInterestRateIndexFixingDate("Euribor6M",L21),TRUE)</f>
        <v>3.8213101855993194E-3</v>
      </c>
      <c r="P21" s="545">
        <f>_xll.qlOvernightIndexedSwapFairRate(N21,Trigger)</f>
        <v>6.7641791002121215E-4</v>
      </c>
      <c r="Q21" s="547">
        <f t="shared" si="2"/>
        <v>3.144892275578107E-3</v>
      </c>
    </row>
    <row r="22" spans="1:17" x14ac:dyDescent="0.2">
      <c r="E22" s="538"/>
      <c r="F22" s="538"/>
      <c r="G22" s="537"/>
      <c r="I22" s="537"/>
      <c r="J22" s="537"/>
      <c r="L22" s="553">
        <f>_xll.qlCalendarAdvance(Calendar,L21,"1M","f",,Trigger)</f>
        <v>42489</v>
      </c>
      <c r="M22" s="544">
        <f>_xll.qlCalendarAdvance(Calendar,L22,"3M","f",,Trigger)</f>
        <v>42580</v>
      </c>
      <c r="N22" s="546" t="str">
        <f>_xll.qlMakeDatedOIS(,L22,M22,"eonia",,,,,Trigger)</f>
        <v>obj_006c8#0000</v>
      </c>
      <c r="O22" s="545">
        <f>_xll.qlIndexFixing("euribor6m",_xll.qlInterestRateIndexFixingDate("Euribor6M",L22),TRUE)</f>
        <v>3.9151381074001039E-3</v>
      </c>
      <c r="P22" s="545">
        <f>_xll.qlOvernightIndexedSwapFairRate(N22,Trigger)</f>
        <v>7.5029976640452844E-4</v>
      </c>
      <c r="Q22" s="547">
        <f t="shared" si="2"/>
        <v>3.1648383409955752E-3</v>
      </c>
    </row>
    <row r="23" spans="1:17" x14ac:dyDescent="0.2">
      <c r="E23" s="538"/>
      <c r="F23" s="538"/>
      <c r="G23" s="537"/>
      <c r="I23" s="537"/>
      <c r="J23" s="537"/>
      <c r="L23" s="553">
        <f>_xll.qlCalendarAdvance(Calendar,L22,"1M","f",,Trigger)</f>
        <v>42520</v>
      </c>
      <c r="M23" s="544">
        <f>_xll.qlCalendarAdvance(Calendar,L23,"3M","f",,Trigger)</f>
        <v>42612</v>
      </c>
      <c r="N23" s="546" t="str">
        <f>_xll.qlMakeDatedOIS(,L23,M23,"eonia",,,,,Trigger)</f>
        <v>obj_006ca#0000</v>
      </c>
      <c r="O23" s="545">
        <f>_xll.qlIndexFixing("euribor6m",_xll.qlInterestRateIndexFixingDate("Euribor6M",L23),TRUE)</f>
        <v>4.0674658832319105E-3</v>
      </c>
      <c r="P23" s="545">
        <f>_xll.qlOvernightIndexedSwapFairRate(N23,Trigger)</f>
        <v>9.3989788626243646E-4</v>
      </c>
      <c r="Q23" s="547">
        <f t="shared" si="2"/>
        <v>3.1275679969694739E-3</v>
      </c>
    </row>
    <row r="24" spans="1:17" x14ac:dyDescent="0.2">
      <c r="E24" s="538"/>
      <c r="F24" s="538"/>
      <c r="G24" s="537"/>
      <c r="I24" s="537"/>
      <c r="J24" s="537"/>
      <c r="L24" s="553">
        <f>_xll.qlCalendarAdvance(Calendar,L23,"1M","f",,Trigger)</f>
        <v>42551</v>
      </c>
      <c r="M24" s="544">
        <f>_xll.qlCalendarAdvance(Calendar,L24,"3M","f",,Trigger)</f>
        <v>42643</v>
      </c>
      <c r="N24" s="546" t="str">
        <f>_xll.qlMakeDatedOIS(,L24,M24,"eonia",,,,,Trigger)</f>
        <v>obj_006cc#0000</v>
      </c>
      <c r="O24" s="545">
        <f>_xll.qlIndexFixing("euribor6m",_xll.qlInterestRateIndexFixingDate("Euribor6M",L24),TRUE)</f>
        <v>4.2351692402570838E-3</v>
      </c>
      <c r="P24" s="545">
        <f>_xll.qlOvernightIndexedSwapFairRate(N24,Trigger)</f>
        <v>1.2465819174868188E-3</v>
      </c>
      <c r="Q24" s="547">
        <f t="shared" si="2"/>
        <v>2.988587322770265E-3</v>
      </c>
    </row>
    <row r="25" spans="1:17" x14ac:dyDescent="0.2">
      <c r="E25" s="538"/>
      <c r="F25" s="538"/>
      <c r="G25" s="537"/>
      <c r="I25" s="537"/>
      <c r="J25" s="537"/>
      <c r="L25" s="553">
        <f>_xll.qlCalendarAdvance(Calendar,L24,"1M","f",,Trigger)</f>
        <v>42583</v>
      </c>
      <c r="M25" s="544">
        <f>_xll.qlCalendarAdvance(Calendar,L25,"3M","f",,Trigger)</f>
        <v>42675</v>
      </c>
      <c r="N25" s="546" t="str">
        <f>_xll.qlMakeDatedOIS(,L25,M25,"eonia",,,,,Trigger)</f>
        <v>obj_006ce#0000</v>
      </c>
      <c r="O25" s="545">
        <f>_xll.qlIndexFixing("euribor6m",_xll.qlInterestRateIndexFixingDate("Euribor6M",L25),TRUE)</f>
        <v>4.391463767972832E-3</v>
      </c>
      <c r="P25" s="545">
        <f>_xll.qlOvernightIndexedSwapFairRate(N25,Trigger)</f>
        <v>1.5631841877968796E-3</v>
      </c>
      <c r="Q25" s="547">
        <f t="shared" si="2"/>
        <v>2.8282795801759524E-3</v>
      </c>
    </row>
    <row r="26" spans="1:17" x14ac:dyDescent="0.2">
      <c r="E26" s="538"/>
      <c r="F26" s="538"/>
      <c r="G26" s="537"/>
      <c r="I26" s="537"/>
      <c r="J26" s="537"/>
      <c r="L26" s="553">
        <f>_xll.qlCalendarAdvance(Calendar,L25,"1M","f",,Trigger)</f>
        <v>42614</v>
      </c>
      <c r="M26" s="544">
        <f>_xll.qlCalendarAdvance(Calendar,L26,"3M","f",,Trigger)</f>
        <v>42705</v>
      </c>
      <c r="N26" s="546" t="str">
        <f>_xll.qlMakeDatedOIS(,L26,M26,"eonia",,,,,Trigger)</f>
        <v>obj_006d0#0000</v>
      </c>
      <c r="O26" s="545">
        <f>_xll.qlIndexFixing("euribor6m",_xll.qlInterestRateIndexFixingDate("Euribor6M",L26),TRUE)</f>
        <v>4.5262598139892618E-3</v>
      </c>
      <c r="P26" s="545">
        <f>_xll.qlOvernightIndexedSwapFairRate(N26,Trigger)</f>
        <v>1.7017017120812949E-3</v>
      </c>
      <c r="Q26" s="547">
        <f t="shared" si="2"/>
        <v>2.8245581019079669E-3</v>
      </c>
    </row>
    <row r="27" spans="1:17" x14ac:dyDescent="0.2">
      <c r="E27" s="538"/>
      <c r="F27" s="538"/>
      <c r="G27" s="537"/>
      <c r="I27" s="537"/>
      <c r="J27" s="537"/>
      <c r="L27" s="553">
        <f>_xll.qlCalendarAdvance(Calendar,L26,"1M","f",,Trigger)</f>
        <v>42646</v>
      </c>
      <c r="M27" s="544">
        <f>_xll.qlCalendarAdvance(Calendar,L27,"3M","f",,Trigger)</f>
        <v>42738</v>
      </c>
      <c r="N27" s="546" t="str">
        <f>_xll.qlMakeDatedOIS(,L27,M27,"eonia",,,,,Trigger)</f>
        <v>obj_006d2#0000</v>
      </c>
      <c r="O27" s="545">
        <f>_xll.qlIndexFixing("euribor6m",_xll.qlInterestRateIndexFixingDate("Euribor6M",L27),TRUE)</f>
        <v>4.6821666871542673E-3</v>
      </c>
      <c r="P27" s="545">
        <f>_xll.qlOvernightIndexedSwapFairRate(N27,Trigger)</f>
        <v>1.7017057334404221E-3</v>
      </c>
      <c r="Q27" s="547">
        <f t="shared" si="2"/>
        <v>2.9804609537138452E-3</v>
      </c>
    </row>
    <row r="28" spans="1:17" x14ac:dyDescent="0.2">
      <c r="E28" s="538"/>
      <c r="F28" s="538"/>
      <c r="G28" s="537"/>
      <c r="I28" s="537"/>
      <c r="J28" s="537"/>
      <c r="L28" s="553">
        <f>_xll.qlCalendarAdvance(Calendar,L27,"1M","f",,Trigger)</f>
        <v>42677</v>
      </c>
      <c r="M28" s="544">
        <f>_xll.qlCalendarAdvance(Calendar,L28,"3M","f",,Trigger)</f>
        <v>42769</v>
      </c>
      <c r="N28" s="546" t="str">
        <f>_xll.qlMakeDatedOIS(,L28,M28,"eonia",,,,,Trigger)</f>
        <v>obj_006d4#0000</v>
      </c>
      <c r="O28" s="545">
        <f>_xll.qlIndexFixing("euribor6m",_xll.qlInterestRateIndexFixingDate("Euribor6M",L28),TRUE)</f>
        <v>4.8351743397887703E-3</v>
      </c>
      <c r="P28" s="545">
        <f>_xll.qlOvernightIndexedSwapFairRate(N28,Trigger)</f>
        <v>1.7017057334395534E-3</v>
      </c>
      <c r="Q28" s="547">
        <f t="shared" si="2"/>
        <v>3.1334686063492169E-3</v>
      </c>
    </row>
    <row r="29" spans="1:17" x14ac:dyDescent="0.2">
      <c r="E29" s="538"/>
      <c r="F29" s="538"/>
      <c r="G29" s="537"/>
      <c r="I29" s="537"/>
      <c r="J29" s="537"/>
      <c r="L29" s="553">
        <f>_xll.qlCalendarAdvance(Calendar,L28,"1M","f",,Trigger)</f>
        <v>42709</v>
      </c>
      <c r="M29" s="544">
        <f>_xll.qlCalendarAdvance(Calendar,L29,"3M","f",,Trigger)</f>
        <v>42800</v>
      </c>
      <c r="N29" s="546" t="str">
        <f>_xll.qlMakeDatedOIS(,L29,M29,"eonia",,,,,Trigger)</f>
        <v>obj_006d6#0000</v>
      </c>
      <c r="O29" s="545">
        <f>_xll.qlIndexFixing("euribor6m",_xll.qlInterestRateIndexFixingDate("Euribor6M",L29),TRUE)</f>
        <v>5.0059334936742306E-3</v>
      </c>
      <c r="P29" s="545">
        <f>_xll.qlOvernightIndexedSwapFairRate(N29,Trigger)</f>
        <v>1.7017017120821733E-3</v>
      </c>
      <c r="Q29" s="547">
        <f t="shared" si="2"/>
        <v>3.3042317815920571E-3</v>
      </c>
    </row>
    <row r="30" spans="1:17" x14ac:dyDescent="0.2">
      <c r="E30" s="538"/>
      <c r="F30" s="538"/>
      <c r="G30" s="537"/>
      <c r="I30" s="537"/>
      <c r="J30" s="537"/>
      <c r="L30" s="553">
        <f>_xll.qlCalendarAdvance(Calendar,L29,"1M","f",,Trigger)</f>
        <v>42740</v>
      </c>
      <c r="M30" s="544">
        <f>_xll.qlCalendarAdvance(Calendar,L30,"3M","f",,Trigger)</f>
        <v>42830</v>
      </c>
      <c r="N30" s="546" t="str">
        <f>_xll.qlMakeDatedOIS(,L30,M30,"eonia",,,,,Trigger)</f>
        <v>obj_006d8#0000</v>
      </c>
      <c r="O30" s="545">
        <f>_xll.qlIndexFixing("euribor6m",_xll.qlInterestRateIndexFixingDate("Euribor6M",L30),TRUE)</f>
        <v>5.1728743586797535E-3</v>
      </c>
      <c r="P30" s="545">
        <f>_xll.qlOvernightIndexedSwapFairRate(N30,Trigger)</f>
        <v>1.7016976907360259E-3</v>
      </c>
      <c r="Q30" s="547">
        <f t="shared" si="2"/>
        <v>3.4711766679437275E-3</v>
      </c>
    </row>
    <row r="31" spans="1:17" x14ac:dyDescent="0.2">
      <c r="E31" s="538"/>
      <c r="F31" s="538"/>
      <c r="G31" s="537"/>
      <c r="I31" s="537"/>
      <c r="J31" s="537"/>
      <c r="L31" s="553">
        <f>_xll.qlCalendarAdvance(Calendar,L30,"1M","f",,Trigger)</f>
        <v>42772</v>
      </c>
      <c r="M31" s="544">
        <f>_xll.qlCalendarAdvance(Calendar,L31,"3M","f",,Trigger)</f>
        <v>42863</v>
      </c>
      <c r="N31" s="546" t="str">
        <f>_xll.qlMakeDatedOIS(,L31,M31,"eonia",,,,,Trigger)</f>
        <v>obj_006da#0000</v>
      </c>
      <c r="O31" s="545">
        <f>_xll.qlIndexFixing("euribor6m",_xll.qlInterestRateIndexFixingDate("Euribor6M",L31),TRUE)</f>
        <v>5.3584938932297772E-3</v>
      </c>
      <c r="P31" s="545">
        <f>_xll.qlOvernightIndexedSwapFairRate(N31,Trigger)</f>
        <v>1.7017017120821733E-3</v>
      </c>
      <c r="Q31" s="547">
        <f t="shared" si="2"/>
        <v>3.6567921811476037E-3</v>
      </c>
    </row>
    <row r="32" spans="1:17" x14ac:dyDescent="0.2">
      <c r="E32" s="538"/>
      <c r="F32" s="538"/>
      <c r="G32" s="537"/>
      <c r="I32" s="537"/>
      <c r="J32" s="537"/>
      <c r="L32" s="553">
        <f>_xll.qlCalendarAdvance(Calendar,L31,"1M","f",,Trigger)</f>
        <v>42800</v>
      </c>
      <c r="M32" s="544">
        <f>_xll.qlCalendarAdvance(Calendar,L32,"3M","f",,Trigger)</f>
        <v>42892</v>
      </c>
      <c r="N32" s="546" t="str">
        <f>_xll.qlMakeDatedOIS(,L32,M32,"eonia",,,,,Trigger)</f>
        <v>obj_006dc#0000</v>
      </c>
      <c r="O32" s="545">
        <f>_xll.qlIndexFixing("euribor6m",_xll.qlInterestRateIndexFixingDate("Euribor6M",L32),TRUE)</f>
        <v>5.5307495403248471E-3</v>
      </c>
      <c r="P32" s="545">
        <f>_xll.qlOvernightIndexedSwapFairRate(N32,Trigger)</f>
        <v>1.7017057334404223E-3</v>
      </c>
      <c r="Q32" s="547">
        <f t="shared" si="2"/>
        <v>3.8290438068844246E-3</v>
      </c>
    </row>
    <row r="33" spans="5:17" x14ac:dyDescent="0.2">
      <c r="E33" s="538"/>
      <c r="F33" s="538"/>
      <c r="G33" s="537"/>
      <c r="I33" s="537"/>
      <c r="J33" s="537"/>
      <c r="L33" s="553">
        <f>_xll.qlCalendarAdvance(Calendar,L32,"1M","f",,Trigger)</f>
        <v>42831</v>
      </c>
      <c r="M33" s="544">
        <f>_xll.qlCalendarAdvance(Calendar,L33,"3M","f",,Trigger)</f>
        <v>42922</v>
      </c>
      <c r="N33" s="546" t="str">
        <f>_xll.qlMakeDatedOIS(,L33,M33,"eonia",,,,,Trigger)</f>
        <v>obj_006de#0000</v>
      </c>
      <c r="O33" s="545">
        <f>_xll.qlIndexFixing("euribor6m",_xll.qlInterestRateIndexFixingDate("Euribor6M",L33),TRUE)</f>
        <v>5.7177876519965776E-3</v>
      </c>
      <c r="P33" s="545">
        <f>_xll.qlOvernightIndexedSwapFairRate(N33,Trigger)</f>
        <v>1.7017017120812951E-3</v>
      </c>
      <c r="Q33" s="547">
        <f t="shared" si="2"/>
        <v>4.0160859399152827E-3</v>
      </c>
    </row>
    <row r="34" spans="5:17" x14ac:dyDescent="0.2">
      <c r="E34" s="538"/>
      <c r="F34" s="538"/>
      <c r="G34" s="537"/>
      <c r="I34" s="537"/>
      <c r="J34" s="537"/>
      <c r="L34" s="553">
        <f>_xll.qlCalendarAdvance(Calendar,L33,"1M","f",,Trigger)</f>
        <v>42863</v>
      </c>
      <c r="M34" s="544">
        <f>_xll.qlCalendarAdvance(Calendar,L34,"3M","f",,Trigger)</f>
        <v>42955</v>
      </c>
      <c r="N34" s="546" t="str">
        <f>_xll.qlMakeDatedOIS(,L34,M34,"eonia",,,,,Trigger)</f>
        <v>obj_006e0#0000</v>
      </c>
      <c r="O34" s="545">
        <f>_xll.qlIndexFixing("euribor6m",_xll.qlInterestRateIndexFixingDate("Euribor6M",L34),TRUE)</f>
        <v>5.9241694011521904E-3</v>
      </c>
      <c r="P34" s="545">
        <f>_xll.qlOvernightIndexedSwapFairRate(N34,Trigger)</f>
        <v>1.7017057334404223E-3</v>
      </c>
      <c r="Q34" s="547">
        <f t="shared" si="2"/>
        <v>4.2224636677117679E-3</v>
      </c>
    </row>
    <row r="35" spans="5:17" x14ac:dyDescent="0.2">
      <c r="E35" s="538"/>
      <c r="F35" s="538"/>
      <c r="G35" s="537"/>
      <c r="I35" s="537"/>
      <c r="J35" s="537"/>
      <c r="L35" s="553">
        <f>_xll.qlCalendarAdvance(Calendar,L34,"1M","f",,Trigger)</f>
        <v>42894</v>
      </c>
      <c r="M35" s="544">
        <f>_xll.qlCalendarAdvance(Calendar,L35,"3M","f",,Trigger)</f>
        <v>42986</v>
      </c>
      <c r="N35" s="546" t="str">
        <f>_xll.qlMakeDatedOIS(,L35,M35,"eonia",,,,,Trigger)</f>
        <v>obj_006e2#0000</v>
      </c>
      <c r="O35" s="545">
        <f>_xll.qlIndexFixing("euribor6m",_xll.qlInterestRateIndexFixingDate("Euribor6M",L35),TRUE)</f>
        <v>6.1235611980046348E-3</v>
      </c>
      <c r="P35" s="545">
        <f>_xll.qlOvernightIndexedSwapFairRate(N35,Trigger)</f>
        <v>2.2458157296280433E-3</v>
      </c>
      <c r="Q35" s="547">
        <f t="shared" si="2"/>
        <v>3.8777454683765916E-3</v>
      </c>
    </row>
    <row r="36" spans="5:17" x14ac:dyDescent="0.2">
      <c r="E36" s="538"/>
      <c r="F36" s="538"/>
      <c r="G36" s="537"/>
      <c r="I36" s="537"/>
      <c r="J36" s="537"/>
      <c r="L36" s="553">
        <f>_xll.qlCalendarAdvance(Calendar,L35,"1M","f",,Trigger)</f>
        <v>42926</v>
      </c>
      <c r="M36" s="544">
        <f>_xll.qlCalendarAdvance(Calendar,L36,"3M","f",,Trigger)</f>
        <v>43018</v>
      </c>
      <c r="N36" s="546" t="str">
        <f>_xll.qlMakeDatedOIS(,L36,M36,"eonia",,,,,Trigger)</f>
        <v>obj_006e4#0000</v>
      </c>
      <c r="O36" s="545">
        <f>_xll.qlIndexFixing("euribor6m",_xll.qlInterestRateIndexFixingDate("Euribor6M",L36),TRUE)</f>
        <v>6.3423016427434434E-3</v>
      </c>
      <c r="P36" s="545">
        <f>_xll.qlOvernightIndexedSwapFairRate(N36,Trigger)</f>
        <v>2.9714133664767188E-3</v>
      </c>
      <c r="Q36" s="547">
        <f t="shared" si="2"/>
        <v>3.3708882762667246E-3</v>
      </c>
    </row>
    <row r="37" spans="5:17" x14ac:dyDescent="0.2">
      <c r="E37" s="538"/>
      <c r="F37" s="538"/>
      <c r="G37" s="537"/>
      <c r="I37" s="537"/>
      <c r="J37" s="537"/>
      <c r="L37" s="553">
        <f>_xll.qlCalendarAdvance(Calendar,L36,"1M","f",,Trigger)</f>
        <v>42957</v>
      </c>
      <c r="M37" s="544">
        <f>_xll.qlCalendarAdvance(Calendar,L37,"3M","f",,Trigger)</f>
        <v>43049</v>
      </c>
      <c r="N37" s="546" t="str">
        <f>_xll.qlMakeDatedOIS(,L37,M37,"eonia",,,,,Trigger)</f>
        <v>obj_006e6#0000</v>
      </c>
      <c r="O37" s="545">
        <f>_xll.qlIndexFixing("euribor6m",_xll.qlInterestRateIndexFixingDate("Euribor6M",L37),TRUE)</f>
        <v>6.5634507162918897E-3</v>
      </c>
      <c r="P37" s="545">
        <f>_xll.qlOvernightIndexedSwapFairRate(N37,Trigger)</f>
        <v>3.6744643100295395E-3</v>
      </c>
      <c r="Q37" s="547">
        <f t="shared" si="2"/>
        <v>2.8889864062623502E-3</v>
      </c>
    </row>
    <row r="38" spans="5:17" x14ac:dyDescent="0.2">
      <c r="E38" s="538"/>
      <c r="F38" s="538"/>
      <c r="G38" s="537"/>
      <c r="I38" s="537"/>
      <c r="J38" s="537"/>
      <c r="L38" s="553">
        <f>_xll.qlCalendarAdvance(Calendar,L37,"1M","f",,Trigger)</f>
        <v>42989</v>
      </c>
      <c r="M38" s="544">
        <f>_xll.qlCalendarAdvance(Calendar,L38,"3M","f",,Trigger)</f>
        <v>43080</v>
      </c>
      <c r="N38" s="546" t="str">
        <f>_xll.qlMakeDatedOIS(,L38,M38,"eonia",,,,,Trigger)</f>
        <v>obj_006e8#0000</v>
      </c>
      <c r="O38" s="545">
        <f>_xll.qlIndexFixing("euribor6m",_xll.qlInterestRateIndexFixingDate("Euribor6M",L38),TRUE)</f>
        <v>6.774727250933945E-3</v>
      </c>
      <c r="P38" s="545">
        <f>_xll.qlOvernightIndexedSwapFairRate(N38,Trigger)</f>
        <v>3.787851522514775E-3</v>
      </c>
      <c r="Q38" s="547">
        <f t="shared" si="2"/>
        <v>2.98687572841917E-3</v>
      </c>
    </row>
    <row r="39" spans="5:17" x14ac:dyDescent="0.2">
      <c r="E39" s="538"/>
      <c r="F39" s="538"/>
      <c r="G39" s="537"/>
      <c r="I39" s="537"/>
      <c r="J39" s="537"/>
      <c r="L39" s="553">
        <f>_xll.qlCalendarAdvance(Calendar,L38,"1M","f",,Trigger)</f>
        <v>43019</v>
      </c>
      <c r="M39" s="544">
        <f>_xll.qlCalendarAdvance(Calendar,L39,"3M","f",,Trigger)</f>
        <v>43111</v>
      </c>
      <c r="N39" s="546" t="str">
        <f>_xll.qlMakeDatedOIS(,L39,M39,"eonia",,,,,Trigger)</f>
        <v>obj_006ea#0000</v>
      </c>
      <c r="O39" s="545">
        <f>_xll.qlIndexFixing("euribor6m",_xll.qlInterestRateIndexFixingDate("Euribor6M",L39),TRUE)</f>
        <v>6.9910705680687286E-3</v>
      </c>
      <c r="P39" s="545">
        <f>_xll.qlOvernightIndexedSwapFairRate(N39,Trigger)</f>
        <v>3.7878714437542828E-3</v>
      </c>
      <c r="Q39" s="547">
        <f t="shared" si="2"/>
        <v>3.2031991243144458E-3</v>
      </c>
    </row>
    <row r="40" spans="5:17" x14ac:dyDescent="0.2">
      <c r="E40" s="538"/>
      <c r="F40" s="538"/>
      <c r="G40" s="537"/>
      <c r="I40" s="537"/>
      <c r="J40" s="537"/>
      <c r="L40" s="553">
        <f>_xll.qlCalendarAdvance(Calendar,L39,"1M","f",,Trigger)</f>
        <v>43052</v>
      </c>
      <c r="M40" s="544">
        <f>_xll.qlCalendarAdvance(Calendar,L40,"3M","f",,Trigger)</f>
        <v>43144</v>
      </c>
      <c r="N40" s="546" t="str">
        <f>_xll.qlMakeDatedOIS(,L40,M40,"eonia",,,,,Trigger)</f>
        <v>obj_006ec#0000</v>
      </c>
      <c r="O40" s="545">
        <f>_xll.qlIndexFixing("euribor6m",_xll.qlInterestRateIndexFixingDate("Euribor6M",L40),TRUE)</f>
        <v>7.2342717184308248E-3</v>
      </c>
      <c r="P40" s="545">
        <f>_xll.qlOvernightIndexedSwapFairRate(N40,Trigger)</f>
        <v>3.7878714437534142E-3</v>
      </c>
      <c r="Q40" s="547">
        <f t="shared" si="2"/>
        <v>3.4464002746774107E-3</v>
      </c>
    </row>
    <row r="41" spans="5:17" x14ac:dyDescent="0.2">
      <c r="E41" s="538"/>
      <c r="F41" s="538"/>
      <c r="G41" s="537"/>
      <c r="I41" s="537"/>
      <c r="J41" s="537"/>
      <c r="L41" s="553">
        <f>_xll.qlCalendarAdvance(Calendar,L40,"1M","f",,Trigger)</f>
        <v>43082</v>
      </c>
      <c r="M41" s="544">
        <f>_xll.qlCalendarAdvance(Calendar,L41,"3M","f",,Trigger)</f>
        <v>43172</v>
      </c>
      <c r="N41" s="546" t="str">
        <f>_xll.qlMakeDatedOIS(,L41,M41,"eonia",,,,,Trigger)</f>
        <v>obj_006ee#0000</v>
      </c>
      <c r="O41" s="545">
        <f>_xll.qlIndexFixing("euribor6m",_xll.qlInterestRateIndexFixingDate("Euribor6M",L41),TRUE)</f>
        <v>7.4601139448849446E-3</v>
      </c>
      <c r="P41" s="545">
        <f>_xll.qlOvernightIndexedSwapFairRate(N41,Trigger)</f>
        <v>3.7878316014143816E-3</v>
      </c>
      <c r="Q41" s="547">
        <f t="shared" si="2"/>
        <v>3.672282343470563E-3</v>
      </c>
    </row>
    <row r="42" spans="5:17" x14ac:dyDescent="0.2">
      <c r="E42" s="538"/>
      <c r="F42" s="538"/>
      <c r="G42" s="537"/>
      <c r="I42" s="537"/>
      <c r="J42" s="537"/>
      <c r="L42" s="553">
        <f>_xll.qlCalendarAdvance(Calendar,L41,"1M","f",,Trigger)</f>
        <v>43115</v>
      </c>
      <c r="M42" s="544">
        <f>_xll.qlCalendarAdvance(Calendar,L42,"3M","f",,Trigger)</f>
        <v>43206</v>
      </c>
      <c r="N42" s="546" t="str">
        <f>_xll.qlMakeDatedOIS(,L42,M42,"eonia",,,,,Trigger)</f>
        <v>obj_006f0#0000</v>
      </c>
      <c r="O42" s="545">
        <f>_xll.qlIndexFixing("euribor6m",_xll.qlInterestRateIndexFixingDate("Euribor6M",L42),TRUE)</f>
        <v>7.7137675879289797E-3</v>
      </c>
      <c r="P42" s="545">
        <f>_xll.qlOvernightIndexedSwapFairRate(N42,Trigger)</f>
        <v>3.7878515225138972E-3</v>
      </c>
      <c r="Q42" s="547">
        <f t="shared" si="2"/>
        <v>3.9259160654150829E-3</v>
      </c>
    </row>
    <row r="43" spans="5:17" x14ac:dyDescent="0.2">
      <c r="E43" s="538"/>
      <c r="F43" s="538"/>
      <c r="G43" s="537"/>
      <c r="I43" s="537"/>
      <c r="J43" s="537"/>
      <c r="L43" s="553">
        <f>_xll.qlCalendarAdvance(Calendar,L42,"1M","f",,Trigger)</f>
        <v>43146</v>
      </c>
      <c r="M43" s="544">
        <f>_xll.qlCalendarAdvance(Calendar,L43,"3M","f",,Trigger)</f>
        <v>43235</v>
      </c>
      <c r="N43" s="546" t="str">
        <f>_xll.qlMakeDatedOIS(,L43,M43,"eonia",,,,,Trigger)</f>
        <v>obj_006f2#0000</v>
      </c>
      <c r="O43" s="545">
        <f>_xll.qlIndexFixing("euribor6m",_xll.qlInterestRateIndexFixingDate("Euribor6M",L43),TRUE)</f>
        <v>7.9529129752484978E-3</v>
      </c>
      <c r="P43" s="545">
        <f>_xll.qlOvernightIndexedSwapFairRate(N43,Trigger)</f>
        <v>3.7878116804541998E-3</v>
      </c>
      <c r="Q43" s="547">
        <f t="shared" si="2"/>
        <v>4.1651012947942975E-3</v>
      </c>
    </row>
    <row r="44" spans="5:17" x14ac:dyDescent="0.2">
      <c r="E44" s="538"/>
      <c r="F44" s="538"/>
      <c r="G44" s="537"/>
      <c r="I44" s="537"/>
      <c r="J44" s="537"/>
      <c r="L44" s="553">
        <f>_xll.qlCalendarAdvance(Calendar,L43,"1M","f",,Trigger)</f>
        <v>43174</v>
      </c>
      <c r="M44" s="544">
        <f>_xll.qlCalendarAdvance(Calendar,L44,"3M","f",,Trigger)</f>
        <v>43266</v>
      </c>
      <c r="N44" s="546" t="str">
        <f>_xll.qlMakeDatedOIS(,L44,M44,"eonia",,,,,Trigger)</f>
        <v>obj_006f4#0000</v>
      </c>
      <c r="O44" s="545">
        <f>_xll.qlIndexFixing("euribor6m",_xll.qlInterestRateIndexFixingDate("Euribor6M",L44),TRUE)</f>
        <v>8.1977524148011821E-3</v>
      </c>
      <c r="P44" s="545">
        <f>_xll.qlOvernightIndexedSwapFairRate(N44,Trigger)</f>
        <v>3.7878714437534142E-3</v>
      </c>
      <c r="Q44" s="547">
        <f t="shared" si="2"/>
        <v>4.4098809710477679E-3</v>
      </c>
    </row>
    <row r="45" spans="5:17" x14ac:dyDescent="0.2">
      <c r="E45" s="538"/>
      <c r="F45" s="538"/>
      <c r="G45" s="537"/>
      <c r="I45" s="537"/>
      <c r="J45" s="537"/>
      <c r="L45" s="553">
        <f>_xll.qlCalendarAdvance(Calendar,L44,"1M","f",,Trigger)</f>
        <v>43206</v>
      </c>
      <c r="M45" s="544">
        <f>_xll.qlCalendarAdvance(Calendar,L45,"3M","f",,Trigger)</f>
        <v>43297</v>
      </c>
      <c r="N45" s="546" t="str">
        <f>_xll.qlMakeDatedOIS(,L45,M45,"eonia",,,,,Trigger)</f>
        <v>obj_006f6#0000</v>
      </c>
      <c r="O45" s="545">
        <f>_xll.qlIndexFixing("euribor6m",_xll.qlInterestRateIndexFixingDate("Euribor6M",L45),TRUE)</f>
        <v>8.4459582892018204E-3</v>
      </c>
      <c r="P45" s="545">
        <f>_xll.qlOvernightIndexedSwapFairRate(N45,Trigger)</f>
        <v>3.7878515225138968E-3</v>
      </c>
      <c r="Q45" s="547">
        <f t="shared" si="2"/>
        <v>4.6581067666879236E-3</v>
      </c>
    </row>
    <row r="46" spans="5:17" x14ac:dyDescent="0.2">
      <c r="E46" s="538"/>
      <c r="F46" s="538"/>
      <c r="G46" s="537"/>
      <c r="I46" s="537"/>
      <c r="J46" s="537"/>
      <c r="L46" s="553">
        <f>_xll.qlCalendarAdvance(Calendar,L45,"1M","f",,Trigger)</f>
        <v>43236</v>
      </c>
      <c r="M46" s="544">
        <f>_xll.qlCalendarAdvance(Calendar,L46,"3M","f",,Trigger)</f>
        <v>43328</v>
      </c>
      <c r="N46" s="546" t="str">
        <f>_xll.qlMakeDatedOIS(,L46,M46,"eonia",,,,,Trigger)</f>
        <v>obj_006f8#0000</v>
      </c>
      <c r="O46" s="545">
        <f>_xll.qlIndexFixing("euribor6m",_xll.qlInterestRateIndexFixingDate("Euribor6M",L46),TRUE)</f>
        <v>8.6996071629224358E-3</v>
      </c>
      <c r="P46" s="545">
        <f>_xll.qlOvernightIndexedSwapFairRate(N46,Trigger)</f>
        <v>3.8191772231717684E-3</v>
      </c>
      <c r="Q46" s="547">
        <f t="shared" si="2"/>
        <v>4.8804299397506674E-3</v>
      </c>
    </row>
    <row r="47" spans="5:17" x14ac:dyDescent="0.2">
      <c r="E47" s="538"/>
      <c r="F47" s="538"/>
      <c r="G47" s="537"/>
      <c r="I47" s="537"/>
      <c r="J47" s="537"/>
      <c r="L47" s="553">
        <f>_xll.qlCalendarAdvance(Calendar,L46,"1M","f",,Trigger)</f>
        <v>43269</v>
      </c>
      <c r="M47" s="544">
        <f>_xll.qlCalendarAdvance(Calendar,L47,"3M","f",,Trigger)</f>
        <v>43361</v>
      </c>
      <c r="N47" s="546" t="str">
        <f>_xll.qlMakeDatedOIS(,L47,M47,"eonia",,,,,Trigger)</f>
        <v>obj_006fa#0000</v>
      </c>
      <c r="O47" s="545">
        <f>_xll.qlIndexFixing("euribor6m",_xll.qlInterestRateIndexFixingDate("Euribor6M",L47),TRUE)</f>
        <v>8.9747743102989667E-3</v>
      </c>
      <c r="P47" s="545">
        <f>_xll.qlOvernightIndexedSwapFairRate(N47,Trigger)</f>
        <v>4.8524083268219409E-3</v>
      </c>
      <c r="Q47" s="547">
        <f t="shared" si="2"/>
        <v>4.1223659834770257E-3</v>
      </c>
    </row>
    <row r="48" spans="5:17" x14ac:dyDescent="0.2">
      <c r="E48" s="538"/>
      <c r="F48" s="538"/>
      <c r="G48" s="537"/>
      <c r="I48" s="537"/>
      <c r="J48" s="537"/>
      <c r="L48" s="553">
        <f>_xll.qlCalendarAdvance(Calendar,L47,"1M","f",,Trigger)</f>
        <v>43299</v>
      </c>
      <c r="M48" s="544">
        <f>_xll.qlCalendarAdvance(Calendar,L48,"3M","f",,Trigger)</f>
        <v>43391</v>
      </c>
      <c r="N48" s="546" t="str">
        <f>_xll.qlMakeDatedOIS(,L48,M48,"eonia",,,,,Trigger)</f>
        <v>obj_006fc#0000</v>
      </c>
      <c r="O48" s="545">
        <f>_xll.qlIndexFixing("euribor6m",_xll.qlInterestRateIndexFixingDate("Euribor6M",L48),TRUE)</f>
        <v>9.2383525163843572E-3</v>
      </c>
      <c r="P48" s="545">
        <f>_xll.qlOvernightIndexedSwapFairRate(N48,Trigger)</f>
        <v>5.7919458442513422E-3</v>
      </c>
      <c r="Q48" s="547">
        <f t="shared" si="2"/>
        <v>3.446406672133015E-3</v>
      </c>
    </row>
    <row r="49" spans="5:17" x14ac:dyDescent="0.2">
      <c r="E49" s="538"/>
      <c r="F49" s="538"/>
      <c r="G49" s="537"/>
      <c r="I49" s="537"/>
      <c r="J49" s="537"/>
      <c r="L49" s="553">
        <f>_xll.qlCalendarAdvance(Calendar,L48,"1M","f",,Trigger)</f>
        <v>43332</v>
      </c>
      <c r="M49" s="544">
        <f>_xll.qlCalendarAdvance(Calendar,L49,"3M","f",,Trigger)</f>
        <v>43424</v>
      </c>
      <c r="N49" s="546" t="str">
        <f>_xll.qlMakeDatedOIS(,L49,M49,"eonia",,,,,Trigger)</f>
        <v>obj_006fe#0000</v>
      </c>
      <c r="O49" s="545">
        <f>_xll.qlIndexFixing("euribor6m",_xll.qlInterestRateIndexFixingDate("Euribor6M",L49),TRUE)</f>
        <v>9.5287940242589526E-3</v>
      </c>
      <c r="P49" s="545">
        <f>_xll.qlOvernightIndexedSwapFairRate(N49,Trigger)</f>
        <v>6.6690508034010203E-3</v>
      </c>
      <c r="Q49" s="547">
        <f t="shared" si="2"/>
        <v>2.8597432208579323E-3</v>
      </c>
    </row>
    <row r="50" spans="5:17" x14ac:dyDescent="0.2">
      <c r="E50" s="538"/>
      <c r="F50" s="538"/>
      <c r="G50" s="537"/>
      <c r="I50" s="537"/>
      <c r="J50" s="537"/>
      <c r="L50" s="553">
        <f>_xll.qlCalendarAdvance(Calendar,L49,"1M","f",,Trigger)</f>
        <v>43363</v>
      </c>
      <c r="M50" s="544">
        <f>_xll.qlCalendarAdvance(Calendar,L50,"3M","f",,Trigger)</f>
        <v>43454</v>
      </c>
      <c r="N50" s="546" t="str">
        <f>_xll.qlMakeDatedOIS(,L50,M50,"eonia",,,,,Trigger)</f>
        <v>obj_00700#0000</v>
      </c>
      <c r="O50" s="545">
        <f>_xll.qlIndexFixing("euribor6m",_xll.qlInterestRateIndexFixingDate("Euribor6M",L50),TRUE)</f>
        <v>9.7926287973852423E-3</v>
      </c>
      <c r="P50" s="545">
        <f>_xll.qlOvernightIndexedSwapFairRate(N50,Trigger)</f>
        <v>6.6689890662919981E-3</v>
      </c>
      <c r="Q50" s="547">
        <f t="shared" si="2"/>
        <v>3.1236397310932442E-3</v>
      </c>
    </row>
    <row r="51" spans="5:17" x14ac:dyDescent="0.2">
      <c r="E51" s="538"/>
      <c r="F51" s="538"/>
      <c r="G51" s="537"/>
      <c r="I51" s="537"/>
      <c r="J51" s="537"/>
      <c r="L51" s="553">
        <f>_xll.qlCalendarAdvance(Calendar,L50,"1M","f",,Trigger)</f>
        <v>43395</v>
      </c>
      <c r="M51" s="544">
        <f>_xll.qlCalendarAdvance(Calendar,L51,"3M","f",,Trigger)</f>
        <v>43487</v>
      </c>
      <c r="N51" s="546" t="str">
        <f>_xll.qlMakeDatedOIS(,L51,M51,"eonia",,,,,Trigger)</f>
        <v>obj_00702#0000</v>
      </c>
      <c r="O51" s="545">
        <f>_xll.qlIndexFixing("euribor6m",_xll.qlInterestRateIndexFixingDate("Euribor6M",L51),TRUE)</f>
        <v>1.0094307850419018E-2</v>
      </c>
      <c r="P51" s="545">
        <f>_xll.qlOvernightIndexedSwapFairRate(N51,Trigger)</f>
        <v>6.6690508034018894E-3</v>
      </c>
      <c r="Q51" s="547">
        <f t="shared" si="2"/>
        <v>3.425257047017129E-3</v>
      </c>
    </row>
    <row r="52" spans="5:17" x14ac:dyDescent="0.2">
      <c r="E52" s="538"/>
      <c r="F52" s="538"/>
      <c r="G52" s="537"/>
      <c r="I52" s="537"/>
      <c r="J52" s="537"/>
      <c r="L52" s="553">
        <f>_xll.qlCalendarAdvance(Calendar,L51,"1M","f",,Trigger)</f>
        <v>43426</v>
      </c>
      <c r="M52" s="544">
        <f>_xll.qlCalendarAdvance(Calendar,L52,"3M","f",,Trigger)</f>
        <v>43518</v>
      </c>
      <c r="N52" s="546" t="str">
        <f>_xll.qlMakeDatedOIS(,L52,M52,"eonia",,,,,Trigger)</f>
        <v>obj_00704#0000</v>
      </c>
      <c r="O52" s="545">
        <f>_xll.qlIndexFixing("euribor6m",_xll.qlInterestRateIndexFixingDate("Euribor6M",L52),TRUE)</f>
        <v>1.0372682850072389E-2</v>
      </c>
      <c r="P52" s="545">
        <f>_xll.qlOvernightIndexedSwapFairRate(N52,Trigger)</f>
        <v>6.6690508034018886E-3</v>
      </c>
      <c r="Q52" s="547">
        <f t="shared" si="2"/>
        <v>3.7036320466705E-3</v>
      </c>
    </row>
    <row r="53" spans="5:17" x14ac:dyDescent="0.2">
      <c r="E53" s="538"/>
      <c r="F53" s="538"/>
      <c r="G53" s="537"/>
      <c r="I53" s="537"/>
      <c r="J53" s="537"/>
      <c r="L53" s="553">
        <f>_xll.qlCalendarAdvance(Calendar,L52,"1M","f",,Trigger)</f>
        <v>43458</v>
      </c>
      <c r="M53" s="544">
        <f>_xll.qlCalendarAdvance(Calendar,L53,"3M","f",,Trigger)</f>
        <v>43549</v>
      </c>
      <c r="N53" s="546" t="str">
        <f>_xll.qlMakeDatedOIS(,L53,M53,"eonia",,,,,Trigger)</f>
        <v>obj_00706#0000</v>
      </c>
      <c r="O53" s="545">
        <f>_xll.qlIndexFixing("euribor6m",_xll.qlInterestRateIndexFixingDate("Euribor6M",L53),TRUE)</f>
        <v>1.0680305572668225E-2</v>
      </c>
      <c r="P53" s="545">
        <f>_xll.qlOvernightIndexedSwapFairRate(N53,Trigger)</f>
        <v>6.6689890662919972E-3</v>
      </c>
      <c r="Q53" s="547">
        <f t="shared" si="2"/>
        <v>4.0113165063762274E-3</v>
      </c>
    </row>
    <row r="54" spans="5:17" x14ac:dyDescent="0.2">
      <c r="E54" s="538"/>
      <c r="F54" s="538"/>
      <c r="G54" s="537"/>
      <c r="I54" s="537"/>
      <c r="J54" s="537"/>
      <c r="L54" s="553">
        <f>_xll.qlCalendarAdvance(Calendar,L53,"1M","f",,Trigger)</f>
        <v>43489</v>
      </c>
      <c r="M54" s="544">
        <f>_xll.qlCalendarAdvance(Calendar,L54,"3M","f",,Trigger)</f>
        <v>43579</v>
      </c>
      <c r="N54" s="546" t="str">
        <f>_xll.qlMakeDatedOIS(,L54,M54,"eonia",,,,,Trigger)</f>
        <v>obj_00708#0000</v>
      </c>
      <c r="O54" s="545">
        <f>_xll.qlIndexFixing("euribor6m",_xll.qlInterestRateIndexFixingDate("Euribor6M",L54),TRUE)</f>
        <v>1.0973587863382605E-2</v>
      </c>
      <c r="P54" s="545">
        <f>_xll.qlOvernightIndexedSwapFairRate(N54,Trigger)</f>
        <v>6.6689273299447285E-3</v>
      </c>
      <c r="Q54" s="547">
        <f t="shared" si="2"/>
        <v>4.3046605334378764E-3</v>
      </c>
    </row>
    <row r="55" spans="5:17" x14ac:dyDescent="0.2">
      <c r="E55" s="538"/>
      <c r="F55" s="538"/>
      <c r="G55" s="537"/>
      <c r="I55" s="537"/>
      <c r="J55" s="537"/>
      <c r="L55" s="553">
        <f>_xll.qlCalendarAdvance(Calendar,L54,"1M","f",,Trigger)</f>
        <v>43521</v>
      </c>
      <c r="M55" s="544">
        <f>_xll.qlCalendarAdvance(Calendar,L55,"3M","f",,Trigger)</f>
        <v>43612</v>
      </c>
      <c r="N55" s="546" t="str">
        <f>_xll.qlMakeDatedOIS(,L55,M55,"eonia",,,,,Trigger)</f>
        <v>obj_0070a#0000</v>
      </c>
      <c r="O55" s="545">
        <f>_xll.qlIndexFixing("euribor6m",_xll.qlInterestRateIndexFixingDate("Euribor6M",L55),TRUE)</f>
        <v>1.129198447323923E-2</v>
      </c>
      <c r="P55" s="545">
        <f>_xll.qlOvernightIndexedSwapFairRate(N55,Trigger)</f>
        <v>6.6689890662919972E-3</v>
      </c>
      <c r="Q55" s="547">
        <f t="shared" si="2"/>
        <v>4.6229954069472333E-3</v>
      </c>
    </row>
    <row r="56" spans="5:17" x14ac:dyDescent="0.2">
      <c r="E56" s="538"/>
      <c r="F56" s="538"/>
      <c r="G56" s="537"/>
      <c r="I56" s="537"/>
      <c r="J56" s="537"/>
      <c r="L56" s="553">
        <f>_xll.qlCalendarAdvance(Calendar,L55,"1M","f",,Trigger)</f>
        <v>43549</v>
      </c>
      <c r="M56" s="544">
        <f>_xll.qlCalendarAdvance(Calendar,L56,"3M","f",,Trigger)</f>
        <v>43641</v>
      </c>
      <c r="N56" s="546" t="str">
        <f>_xll.qlMakeDatedOIS(,L56,M56,"eonia",,,,,Trigger)</f>
        <v>obj_0070c#0000</v>
      </c>
      <c r="O56" s="545">
        <f>_xll.qlIndexFixing("euribor6m",_xll.qlInterestRateIndexFixingDate("Euribor6M",L56),TRUE)</f>
        <v>1.1580677372528861E-2</v>
      </c>
      <c r="P56" s="545">
        <f>_xll.qlOvernightIndexedSwapFairRate(N56,Trigger)</f>
        <v>6.6690508034010212E-3</v>
      </c>
      <c r="Q56" s="547">
        <f t="shared" si="2"/>
        <v>4.91162656912784E-3</v>
      </c>
    </row>
    <row r="57" spans="5:17" x14ac:dyDescent="0.2">
      <c r="E57" s="538"/>
      <c r="F57" s="538"/>
      <c r="G57" s="537"/>
      <c r="I57" s="537"/>
      <c r="J57" s="537"/>
      <c r="L57" s="553">
        <f>_xll.qlCalendarAdvance(Calendar,L56,"1M","f",,Trigger)</f>
        <v>43580</v>
      </c>
      <c r="M57" s="544">
        <f>_xll.qlCalendarAdvance(Calendar,L57,"3M","f",,Trigger)</f>
        <v>43671</v>
      </c>
      <c r="N57" s="546" t="str">
        <f>_xll.qlMakeDatedOIS(,L57,M57,"eonia",,,,,Trigger)</f>
        <v>obj_0070e#0000</v>
      </c>
      <c r="O57" s="545">
        <f>_xll.qlIndexFixing("euribor6m",_xll.qlInterestRateIndexFixingDate("Euribor6M",L57),TRUE)</f>
        <v>1.1886880227064613E-2</v>
      </c>
      <c r="P57" s="545">
        <f>_xll.qlOvernightIndexedSwapFairRate(N57,Trigger)</f>
        <v>6.6689890662919972E-3</v>
      </c>
      <c r="Q57" s="547">
        <f t="shared" si="2"/>
        <v>5.2178911607726154E-3</v>
      </c>
    </row>
    <row r="58" spans="5:17" x14ac:dyDescent="0.2">
      <c r="E58" s="538"/>
      <c r="F58" s="538"/>
      <c r="G58" s="537"/>
      <c r="I58" s="537"/>
      <c r="J58" s="537"/>
      <c r="L58" s="553">
        <f>_xll.qlCalendarAdvance(Calendar,L57,"1M","f",,Trigger)</f>
        <v>43612</v>
      </c>
      <c r="M58" s="544">
        <f>_xll.qlCalendarAdvance(Calendar,L58,"3M","f",,Trigger)</f>
        <v>43704</v>
      </c>
      <c r="N58" s="546" t="str">
        <f>_xll.qlMakeDatedOIS(,L58,M58,"eonia",,,,,Trigger)</f>
        <v>obj_00710#0000</v>
      </c>
      <c r="O58" s="545">
        <f>_xll.qlIndexFixing("euribor6m",_xll.qlInterestRateIndexFixingDate("Euribor6M",L58),TRUE)</f>
        <v>1.2216257306773391E-2</v>
      </c>
      <c r="P58" s="545">
        <f>_xll.qlOvernightIndexedSwapFairRate(N58,Trigger)</f>
        <v>7.1756325189664197E-3</v>
      </c>
      <c r="Q58" s="547">
        <f t="shared" si="2"/>
        <v>5.0406247878069712E-3</v>
      </c>
    </row>
    <row r="59" spans="5:17" x14ac:dyDescent="0.2">
      <c r="E59" s="538"/>
      <c r="F59" s="538"/>
      <c r="G59" s="537"/>
      <c r="I59" s="537"/>
      <c r="J59" s="537"/>
      <c r="L59" s="553">
        <f>_xll.qlCalendarAdvance(Calendar,L58,"1M","f",,Trigger)</f>
        <v>43643</v>
      </c>
      <c r="M59" s="544">
        <f>_xll.qlCalendarAdvance(Calendar,L59,"3M","f",,Trigger)</f>
        <v>43735</v>
      </c>
      <c r="N59" s="546" t="str">
        <f>_xll.qlMakeDatedOIS(,L59,M59,"eonia",,,,,Trigger)</f>
        <v>obj_00712#0000</v>
      </c>
      <c r="O59" s="545">
        <f>_xll.qlIndexFixing("euribor6m",_xll.qlInterestRateIndexFixingDate("Euribor6M",L59),TRUE)</f>
        <v>1.2526239406892079E-2</v>
      </c>
      <c r="P59" s="545">
        <f>_xll.qlOvernightIndexedSwapFairRate(N59,Trigger)</f>
        <v>8.4846049993084326E-3</v>
      </c>
      <c r="Q59" s="547">
        <f t="shared" si="2"/>
        <v>4.0416344075836462E-3</v>
      </c>
    </row>
    <row r="60" spans="5:17" x14ac:dyDescent="0.2">
      <c r="E60" s="538"/>
      <c r="F60" s="538"/>
      <c r="G60" s="537"/>
      <c r="I60" s="537"/>
      <c r="J60" s="537"/>
      <c r="L60" s="553">
        <f>_xll.qlCalendarAdvance(Calendar,L59,"1M","f",,Trigger)</f>
        <v>43675</v>
      </c>
      <c r="M60" s="544">
        <f>_xll.qlCalendarAdvance(Calendar,L60,"3M","f",,Trigger)</f>
        <v>43767</v>
      </c>
      <c r="N60" s="546" t="str">
        <f>_xll.qlMakeDatedOIS(,L60,M60,"eonia",,,,,Trigger)</f>
        <v>obj_00714#0000</v>
      </c>
      <c r="O60" s="545">
        <f>_xll.qlIndexFixing("euribor6m",_xll.qlInterestRateIndexFixingDate("Euribor6M",L60),TRUE)</f>
        <v>1.2857145587994688E-2</v>
      </c>
      <c r="P60" s="545">
        <f>_xll.qlOvernightIndexedSwapFairRate(N60,Trigger)</f>
        <v>9.8362608456442867E-3</v>
      </c>
      <c r="Q60" s="547">
        <f t="shared" si="2"/>
        <v>3.0208847423504014E-3</v>
      </c>
    </row>
    <row r="61" spans="5:17" x14ac:dyDescent="0.2">
      <c r="E61" s="538"/>
      <c r="F61" s="538"/>
      <c r="G61" s="537"/>
      <c r="I61" s="537"/>
      <c r="J61" s="537"/>
      <c r="L61" s="553">
        <f>_xll.qlCalendarAdvance(Calendar,L60,"1M","f",,Trigger)</f>
        <v>43706</v>
      </c>
      <c r="M61" s="544">
        <f>_xll.qlCalendarAdvance(Calendar,L61,"3M","f",,Trigger)</f>
        <v>43798</v>
      </c>
      <c r="N61" s="546" t="str">
        <f>_xll.qlMakeDatedOIS(,L61,M61,"eonia",,,,,Trigger)</f>
        <v>obj_00716#0000</v>
      </c>
      <c r="O61" s="545">
        <f>_xll.qlIndexFixing("euribor6m",_xll.qlInterestRateIndexFixingDate("Euribor6M",L61),TRUE)</f>
        <v>1.3166315451202948E-2</v>
      </c>
      <c r="P61" s="545">
        <f>_xll.qlOvernightIndexedSwapFairRate(N61,Trigger)</f>
        <v>1.0554517496283614E-2</v>
      </c>
      <c r="Q61" s="547">
        <f t="shared" si="2"/>
        <v>2.6117979549193336E-3</v>
      </c>
    </row>
    <row r="62" spans="5:17" x14ac:dyDescent="0.2">
      <c r="E62" s="538"/>
      <c r="F62" s="538"/>
      <c r="G62" s="537"/>
      <c r="I62" s="537"/>
      <c r="J62" s="537"/>
      <c r="L62" s="553">
        <f>_xll.qlCalendarAdvance(Calendar,L61,"1M","f",,Trigger)</f>
        <v>43738</v>
      </c>
      <c r="M62" s="544">
        <f>_xll.qlCalendarAdvance(Calendar,L62,"3M","f",,Trigger)</f>
        <v>43829</v>
      </c>
      <c r="N62" s="546" t="str">
        <f>_xll.qlMakeDatedOIS(,L62,M62,"eonia",,,,,Trigger)</f>
        <v>obj_00718#0000</v>
      </c>
      <c r="O62" s="545">
        <f>_xll.qlIndexFixing("euribor6m",_xll.qlInterestRateIndexFixingDate("Euribor6M",L62),TRUE)</f>
        <v>1.3489248862863585E-2</v>
      </c>
      <c r="P62" s="545">
        <f>_xll.qlOvernightIndexedSwapFairRate(N62,Trigger)</f>
        <v>1.0554362917490522E-2</v>
      </c>
      <c r="Q62" s="547">
        <f t="shared" si="2"/>
        <v>2.9348859453730627E-3</v>
      </c>
    </row>
    <row r="63" spans="5:17" x14ac:dyDescent="0.2">
      <c r="E63" s="538"/>
      <c r="F63" s="538"/>
      <c r="G63" s="537"/>
      <c r="I63" s="537"/>
      <c r="J63" s="537"/>
      <c r="L63" s="553">
        <f>_xll.qlCalendarAdvance(Calendar,L62,"1M","f",,Trigger)</f>
        <v>43768</v>
      </c>
      <c r="M63" s="544">
        <f>_xll.qlCalendarAdvance(Calendar,L63,"3M","f",,Trigger)</f>
        <v>43860</v>
      </c>
      <c r="N63" s="546" t="str">
        <f>_xll.qlMakeDatedOIS(,L63,M63,"eonia",,,,,Trigger)</f>
        <v>obj_0071a#0000</v>
      </c>
      <c r="O63" s="545">
        <f>_xll.qlIndexFixing("euribor6m",_xll.qlInterestRateIndexFixingDate("Euribor6M",L63),TRUE)</f>
        <v>1.3790429765841612E-2</v>
      </c>
      <c r="P63" s="545">
        <f>_xll.qlOvernightIndexedSwapFairRate(N63,Trigger)</f>
        <v>1.0554517496283614E-2</v>
      </c>
      <c r="Q63" s="547">
        <f t="shared" si="2"/>
        <v>3.235912269557998E-3</v>
      </c>
    </row>
    <row r="64" spans="5:17" x14ac:dyDescent="0.2">
      <c r="E64" s="538"/>
      <c r="F64" s="538"/>
      <c r="G64" s="537"/>
      <c r="I64" s="537"/>
      <c r="J64" s="537"/>
      <c r="L64" s="553">
        <f>_xll.qlCalendarAdvance(Calendar,L63,"1M","f",,Trigger)</f>
        <v>43801</v>
      </c>
      <c r="M64" s="544">
        <f>_xll.qlCalendarAdvance(Calendar,L64,"3M","f",,Trigger)</f>
        <v>43892</v>
      </c>
      <c r="N64" s="546" t="str">
        <f>_xll.qlMakeDatedOIS(,L64,M64,"eonia",,,,,Trigger)</f>
        <v>obj_0071c#0000</v>
      </c>
      <c r="O64" s="545">
        <f>_xll.qlIndexFixing("euribor6m",_xll.qlInterestRateIndexFixingDate("Euribor6M",L64),TRUE)</f>
        <v>1.4119973969870853E-2</v>
      </c>
      <c r="P64" s="545">
        <f>_xll.qlOvernightIndexedSwapFairRate(N64,Trigger)</f>
        <v>1.0554362917490522E-2</v>
      </c>
      <c r="Q64" s="547">
        <f t="shared" si="2"/>
        <v>3.5656110523803308E-3</v>
      </c>
    </row>
    <row r="65" spans="5:17" x14ac:dyDescent="0.2">
      <c r="E65" s="538"/>
      <c r="F65" s="538"/>
      <c r="G65" s="537"/>
      <c r="I65" s="537"/>
      <c r="J65" s="537"/>
      <c r="L65" s="553">
        <f>_xll.qlCalendarAdvance(Calendar,L64,"1M","f",,Trigger)</f>
        <v>43832</v>
      </c>
      <c r="M65" s="544">
        <f>_xll.qlCalendarAdvance(Calendar,L65,"3M","f",,Trigger)</f>
        <v>43923</v>
      </c>
      <c r="N65" s="546" t="str">
        <f>_xll.qlMakeDatedOIS(,L65,M65,"eonia",,,,,Trigger)</f>
        <v>obj_0071e#0000</v>
      </c>
      <c r="O65" s="545">
        <f>_xll.qlIndexFixing("euribor6m",_xll.qlInterestRateIndexFixingDate("Euribor6M",L65),TRUE)</f>
        <v>1.4422655435593386E-2</v>
      </c>
      <c r="P65" s="545">
        <f>_xll.qlOvernightIndexedSwapFairRate(N65,Trigger)</f>
        <v>1.0554362917489644E-2</v>
      </c>
      <c r="Q65" s="547">
        <f t="shared" si="2"/>
        <v>3.8682925181037411E-3</v>
      </c>
    </row>
    <row r="66" spans="5:17" x14ac:dyDescent="0.2">
      <c r="E66" s="538"/>
      <c r="F66" s="538"/>
      <c r="G66" s="537"/>
      <c r="I66" s="537"/>
      <c r="J66" s="537"/>
      <c r="L66" s="553">
        <f>_xll.qlCalendarAdvance(Calendar,L65,"1M","f",,Trigger)</f>
        <v>43864</v>
      </c>
      <c r="M66" s="544">
        <f>_xll.qlCalendarAdvance(Calendar,L66,"3M","f",,Trigger)</f>
        <v>43955</v>
      </c>
      <c r="N66" s="546" t="str">
        <f>_xll.qlMakeDatedOIS(,L66,M66,"eonia",,,,,Trigger)</f>
        <v>obj_00720#0000</v>
      </c>
      <c r="O66" s="545">
        <f>_xll.qlIndexFixing("euribor6m",_xll.qlInterestRateIndexFixingDate("Euribor6M",L66),TRUE)</f>
        <v>1.4738795009851749E-2</v>
      </c>
      <c r="P66" s="545">
        <f>_xll.qlOvernightIndexedSwapFairRate(N66,Trigger)</f>
        <v>1.0554362917490522E-2</v>
      </c>
      <c r="Q66" s="547">
        <f t="shared" si="2"/>
        <v>4.1844320923612264E-3</v>
      </c>
    </row>
    <row r="67" spans="5:17" x14ac:dyDescent="0.2">
      <c r="E67" s="538"/>
      <c r="F67" s="538"/>
      <c r="G67" s="537"/>
      <c r="I67" s="537"/>
      <c r="J67" s="537"/>
      <c r="L67" s="553">
        <f>_xll.qlCalendarAdvance(Calendar,L66,"1M","f",,Trigger)</f>
        <v>43893</v>
      </c>
      <c r="M67" s="544">
        <f>_xll.qlCalendarAdvance(Calendar,L67,"3M","f",,Trigger)</f>
        <v>43985</v>
      </c>
      <c r="N67" s="546" t="str">
        <f>_xll.qlMakeDatedOIS(,L67,M67,"eonia",,,,,Trigger)</f>
        <v>obj_00722#0000</v>
      </c>
      <c r="O67" s="545">
        <f>_xll.qlIndexFixing("euribor6m",_xll.qlInterestRateIndexFixingDate("Euribor6M",L67),TRUE)</f>
        <v>1.5034166714005936E-2</v>
      </c>
      <c r="P67" s="545">
        <f>_xll.qlOvernightIndexedSwapFairRate(N67,Trigger)</f>
        <v>1.0554517496284483E-2</v>
      </c>
      <c r="Q67" s="547">
        <f t="shared" ref="Q67:Q130" si="5">O67-P67</f>
        <v>4.4796492177214525E-3</v>
      </c>
    </row>
    <row r="68" spans="5:17" x14ac:dyDescent="0.2">
      <c r="E68" s="538"/>
      <c r="F68" s="538"/>
      <c r="G68" s="537"/>
      <c r="I68" s="537"/>
      <c r="J68" s="537"/>
      <c r="L68" s="553">
        <f>_xll.qlCalendarAdvance(Calendar,L67,"1M","f",,Trigger)</f>
        <v>43924</v>
      </c>
      <c r="M68" s="544">
        <f>_xll.qlCalendarAdvance(Calendar,L68,"3M","f",,Trigger)</f>
        <v>44015</v>
      </c>
      <c r="N68" s="546" t="str">
        <f>_xll.qlMakeDatedOIS(,L68,M68,"eonia",,,,,Trigger)</f>
        <v>obj_00724#0000</v>
      </c>
      <c r="O68" s="545">
        <f>_xll.qlIndexFixing("euribor6m",_xll.qlInterestRateIndexFixingDate("Euribor6M",L68),TRUE)</f>
        <v>1.5342175702962695E-2</v>
      </c>
      <c r="P68" s="545">
        <f>_xll.qlOvernightIndexedSwapFairRate(N68,Trigger)</f>
        <v>1.0554362917490524E-2</v>
      </c>
      <c r="Q68" s="547">
        <f t="shared" si="5"/>
        <v>4.7878127854721706E-3</v>
      </c>
    </row>
    <row r="69" spans="5:17" x14ac:dyDescent="0.2">
      <c r="E69" s="538"/>
      <c r="F69" s="538"/>
      <c r="G69" s="537"/>
      <c r="I69" s="537"/>
      <c r="J69" s="537"/>
      <c r="L69" s="553">
        <f>_xll.qlCalendarAdvance(Calendar,L68,"1M","f",,Trigger)</f>
        <v>43955</v>
      </c>
      <c r="M69" s="544">
        <f>_xll.qlCalendarAdvance(Calendar,L69,"3M","f",,Trigger)</f>
        <v>44047</v>
      </c>
      <c r="N69" s="546" t="str">
        <f>_xll.qlMakeDatedOIS(,L69,M69,"eonia",,,,,Trigger)</f>
        <v>obj_00726#0000</v>
      </c>
      <c r="O69" s="545">
        <f>_xll.qlIndexFixing("euribor6m",_xll.qlInterestRateIndexFixingDate("Euribor6M",L69),TRUE)</f>
        <v>1.5637676923260527E-2</v>
      </c>
      <c r="P69" s="545">
        <f>_xll.qlOvernightIndexedSwapFairRate(N69,Trigger)</f>
        <v>1.0554517496283614E-2</v>
      </c>
      <c r="Q69" s="547">
        <f t="shared" si="5"/>
        <v>5.0831594269769124E-3</v>
      </c>
    </row>
    <row r="70" spans="5:17" x14ac:dyDescent="0.2">
      <c r="E70" s="538"/>
      <c r="F70" s="538"/>
      <c r="G70" s="537"/>
      <c r="I70" s="537"/>
      <c r="J70" s="537"/>
      <c r="L70" s="553">
        <f>_xll.qlCalendarAdvance(Calendar,L69,"1M","f",,Trigger)</f>
        <v>43986</v>
      </c>
      <c r="M70" s="544">
        <f>_xll.qlCalendarAdvance(Calendar,L70,"3M","f",,Trigger)</f>
        <v>44078</v>
      </c>
      <c r="N70" s="546" t="str">
        <f>_xll.qlMakeDatedOIS(,L70,M70,"eonia",,,,,Trigger)</f>
        <v>obj_00728#0000</v>
      </c>
      <c r="O70" s="545">
        <f>_xll.qlIndexFixing("euribor6m",_xll.qlInterestRateIndexFixingDate("Euribor6M",L70),TRUE)</f>
        <v>1.5930701981420561E-2</v>
      </c>
      <c r="P70" s="545">
        <f>_xll.qlOvernightIndexedSwapFairRate(N70,Trigger)</f>
        <v>1.1259500971200065E-2</v>
      </c>
      <c r="Q70" s="547">
        <f t="shared" si="5"/>
        <v>4.6712010102204961E-3</v>
      </c>
    </row>
    <row r="71" spans="5:17" x14ac:dyDescent="0.2">
      <c r="E71" s="538"/>
      <c r="F71" s="538"/>
      <c r="G71" s="537"/>
      <c r="I71" s="537"/>
      <c r="J71" s="537"/>
      <c r="L71" s="553">
        <f>_xll.qlCalendarAdvance(Calendar,L70,"1M","f",,Trigger)</f>
        <v>44018</v>
      </c>
      <c r="M71" s="544">
        <f>_xll.qlCalendarAdvance(Calendar,L71,"3M","f",,Trigger)</f>
        <v>44110</v>
      </c>
      <c r="N71" s="546" t="str">
        <f>_xll.qlMakeDatedOIS(,L71,M71,"eonia",,,,,Trigger)</f>
        <v>obj_0072a#0000</v>
      </c>
      <c r="O71" s="545">
        <f>_xll.qlIndexFixing("euribor6m",_xll.qlInterestRateIndexFixingDate("Euribor6M",L71),TRUE)</f>
        <v>1.6240464865001927E-2</v>
      </c>
      <c r="P71" s="545">
        <f>_xll.qlOvernightIndexedSwapFairRate(N71,Trigger)</f>
        <v>1.2513117706319654E-2</v>
      </c>
      <c r="Q71" s="547">
        <f t="shared" si="5"/>
        <v>3.7273471586822728E-3</v>
      </c>
    </row>
    <row r="72" spans="5:17" x14ac:dyDescent="0.2">
      <c r="E72" s="538"/>
      <c r="F72" s="538"/>
      <c r="G72" s="537"/>
      <c r="I72" s="537"/>
      <c r="J72" s="537"/>
      <c r="L72" s="553">
        <f>_xll.qlCalendarAdvance(Calendar,L71,"1M","f",,Trigger)</f>
        <v>44049</v>
      </c>
      <c r="M72" s="544">
        <f>_xll.qlCalendarAdvance(Calendar,L72,"3M","f",,Trigger)</f>
        <v>44141</v>
      </c>
      <c r="N72" s="546" t="str">
        <f>_xll.qlMakeDatedOIS(,L72,M72,"eonia",,,,,Trigger)</f>
        <v>obj_0072c#0000</v>
      </c>
      <c r="O72" s="545">
        <f>_xll.qlIndexFixing("euribor6m",_xll.qlInterestRateIndexFixingDate("Euribor6M",L72),TRUE)</f>
        <v>1.6542273909240054E-2</v>
      </c>
      <c r="P72" s="545">
        <f>_xll.qlOvernightIndexedSwapFairRate(N72,Trigger)</f>
        <v>1.3727940808108324E-2</v>
      </c>
      <c r="Q72" s="547">
        <f t="shared" si="5"/>
        <v>2.8143331011317302E-3</v>
      </c>
    </row>
    <row r="73" spans="5:17" x14ac:dyDescent="0.2">
      <c r="E73" s="538"/>
      <c r="F73" s="538"/>
      <c r="G73" s="537"/>
      <c r="I73" s="537"/>
      <c r="J73" s="537"/>
      <c r="L73" s="553">
        <f>_xll.qlCalendarAdvance(Calendar,L72,"1M","f",,Trigger)</f>
        <v>44081</v>
      </c>
      <c r="M73" s="544">
        <f>_xll.qlCalendarAdvance(Calendar,L73,"3M","f",,Trigger)</f>
        <v>44172</v>
      </c>
      <c r="N73" s="546" t="str">
        <f>_xll.qlMakeDatedOIS(,L73,M73,"eonia",,,,,Trigger)</f>
        <v>obj_0072e#0000</v>
      </c>
      <c r="O73" s="545">
        <f>_xll.qlIndexFixing("euribor6m",_xll.qlInterestRateIndexFixingDate("Euribor6M",L73),TRUE)</f>
        <v>1.6819806823414628E-2</v>
      </c>
      <c r="P73" s="545">
        <f>_xll.qlOvernightIndexedSwapFairRate(N73,Trigger)</f>
        <v>1.415881932614084E-2</v>
      </c>
      <c r="Q73" s="547">
        <f t="shared" si="5"/>
        <v>2.6609874972737882E-3</v>
      </c>
    </row>
    <row r="74" spans="5:17" x14ac:dyDescent="0.2">
      <c r="E74" s="538"/>
      <c r="F74" s="538"/>
      <c r="G74" s="537"/>
      <c r="I74" s="537"/>
      <c r="J74" s="537"/>
      <c r="L74" s="553">
        <f>_xll.qlCalendarAdvance(Calendar,L73,"1M","f",,Trigger)</f>
        <v>44111</v>
      </c>
      <c r="M74" s="544">
        <f>_xll.qlCalendarAdvance(Calendar,L74,"3M","f",,Trigger)</f>
        <v>44203</v>
      </c>
      <c r="N74" s="546" t="str">
        <f>_xll.qlMakeDatedOIS(,L74,M74,"eonia",,,,,Trigger)</f>
        <v>obj_00730#0000</v>
      </c>
      <c r="O74" s="545">
        <f>_xll.qlIndexFixing("euribor6m",_xll.qlInterestRateIndexFixingDate("Euribor6M",L74),TRUE)</f>
        <v>1.7095075926079988E-2</v>
      </c>
      <c r="P74" s="545">
        <f>_xll.qlOvernightIndexedSwapFairRate(N74,Trigger)</f>
        <v>1.415909743176243E-2</v>
      </c>
      <c r="Q74" s="547">
        <f t="shared" si="5"/>
        <v>2.9359784943175579E-3</v>
      </c>
    </row>
    <row r="75" spans="5:17" x14ac:dyDescent="0.2">
      <c r="E75" s="538"/>
      <c r="F75" s="538"/>
      <c r="G75" s="537"/>
      <c r="I75" s="537"/>
      <c r="J75" s="537"/>
      <c r="L75" s="553">
        <f>_xll.qlCalendarAdvance(Calendar,L74,"1M","f",,Trigger)</f>
        <v>44144</v>
      </c>
      <c r="M75" s="544">
        <f>_xll.qlCalendarAdvance(Calendar,L75,"3M","f",,Trigger)</f>
        <v>44236</v>
      </c>
      <c r="N75" s="546" t="str">
        <f>_xll.qlMakeDatedOIS(,L75,M75,"eonia",,,,,Trigger)</f>
        <v>obj_00732#0000</v>
      </c>
      <c r="O75" s="545">
        <f>_xll.qlIndexFixing("euribor6m",_xll.qlInterestRateIndexFixingDate("Euribor6M",L75),TRUE)</f>
        <v>1.7393783103638132E-2</v>
      </c>
      <c r="P75" s="545">
        <f>_xll.qlOvernightIndexedSwapFairRate(N75,Trigger)</f>
        <v>1.415909743176243E-2</v>
      </c>
      <c r="Q75" s="547">
        <f t="shared" si="5"/>
        <v>3.2346856718757019E-3</v>
      </c>
    </row>
    <row r="76" spans="5:17" x14ac:dyDescent="0.2">
      <c r="E76" s="538"/>
      <c r="F76" s="538"/>
      <c r="G76" s="537"/>
      <c r="I76" s="537"/>
      <c r="J76" s="537"/>
      <c r="L76" s="553">
        <f>_xll.qlCalendarAdvance(Calendar,L75,"1M","f",,Trigger)</f>
        <v>44174</v>
      </c>
      <c r="M76" s="544">
        <f>_xll.qlCalendarAdvance(Calendar,L76,"3M","f",,Trigger)</f>
        <v>44264</v>
      </c>
      <c r="N76" s="546" t="str">
        <f>_xll.qlMakeDatedOIS(,L76,M76,"eonia",,,,,Trigger)</f>
        <v>obj_00734#0000</v>
      </c>
      <c r="O76" s="545">
        <f>_xll.qlIndexFixing("euribor6m",_xll.qlInterestRateIndexFixingDate("Euribor6M",L76),TRUE)</f>
        <v>1.7661616380650697E-2</v>
      </c>
      <c r="P76" s="545">
        <f>_xll.qlOvernightIndexedSwapFairRate(N76,Trigger)</f>
        <v>1.415854122780047E-2</v>
      </c>
      <c r="Q76" s="547">
        <f t="shared" si="5"/>
        <v>3.5030751528502269E-3</v>
      </c>
    </row>
    <row r="77" spans="5:17" x14ac:dyDescent="0.2">
      <c r="E77" s="538"/>
      <c r="F77" s="538"/>
      <c r="G77" s="537"/>
      <c r="I77" s="537"/>
      <c r="J77" s="537"/>
      <c r="L77" s="553">
        <f>_xll.qlCalendarAdvance(Calendar,L76,"1M","f",,Trigger)</f>
        <v>44207</v>
      </c>
      <c r="M77" s="544">
        <f>_xll.qlCalendarAdvance(Calendar,L77,"3M","f",,Trigger)</f>
        <v>44298</v>
      </c>
      <c r="N77" s="546" t="str">
        <f>_xll.qlMakeDatedOIS(,L77,M77,"eonia",,,,,Trigger)</f>
        <v>obj_00736#0000</v>
      </c>
      <c r="O77" s="545">
        <f>_xll.qlIndexFixing("euribor6m",_xll.qlInterestRateIndexFixingDate("Euribor6M",L77),TRUE)</f>
        <v>1.7952140643396713E-2</v>
      </c>
      <c r="P77" s="545">
        <f>_xll.qlOvernightIndexedSwapFairRate(N77,Trigger)</f>
        <v>1.4158819326141719E-2</v>
      </c>
      <c r="Q77" s="547">
        <f t="shared" si="5"/>
        <v>3.7933213172549936E-3</v>
      </c>
    </row>
    <row r="78" spans="5:17" x14ac:dyDescent="0.2">
      <c r="E78" s="538"/>
      <c r="F78" s="538"/>
      <c r="G78" s="537"/>
      <c r="I78" s="537"/>
      <c r="J78" s="537"/>
      <c r="L78" s="553">
        <f>_xll.qlCalendarAdvance(Calendar,L77,"1M","f",,Trigger)</f>
        <v>44238</v>
      </c>
      <c r="M78" s="544">
        <f>_xll.qlCalendarAdvance(Calendar,L78,"3M","f",,Trigger)</f>
        <v>44327</v>
      </c>
      <c r="N78" s="546" t="str">
        <f>_xll.qlMakeDatedOIS(,L78,M78,"eonia",,,,,Trigger)</f>
        <v>obj_00738#0000</v>
      </c>
      <c r="O78" s="545">
        <f>_xll.qlIndexFixing("euribor6m",_xll.qlInterestRateIndexFixingDate("Euribor6M",L78),TRUE)</f>
        <v>1.821644223742086E-2</v>
      </c>
      <c r="P78" s="545">
        <f>_xll.qlOvernightIndexedSwapFairRate(N78,Trigger)</f>
        <v>1.4158263136741555E-2</v>
      </c>
      <c r="Q78" s="547">
        <f t="shared" si="5"/>
        <v>4.0581791006793055E-3</v>
      </c>
    </row>
    <row r="79" spans="5:17" x14ac:dyDescent="0.2">
      <c r="E79" s="538"/>
      <c r="F79" s="538"/>
      <c r="G79" s="537"/>
      <c r="I79" s="537"/>
      <c r="J79" s="537"/>
      <c r="L79" s="553">
        <f>_xll.qlCalendarAdvance(Calendar,L78,"1M","f",,Trigger)</f>
        <v>44266</v>
      </c>
      <c r="M79" s="544">
        <f>_xll.qlCalendarAdvance(Calendar,L79,"3M","f",,Trigger)</f>
        <v>44358</v>
      </c>
      <c r="N79" s="546" t="str">
        <f>_xll.qlMakeDatedOIS(,L79,M79,"eonia",,,,,Trigger)</f>
        <v>obj_0073a#0000</v>
      </c>
      <c r="O79" s="545">
        <f>_xll.qlIndexFixing("euribor6m",_xll.qlInterestRateIndexFixingDate("Euribor6M",L79),TRUE)</f>
        <v>1.8479483544747457E-2</v>
      </c>
      <c r="P79" s="545">
        <f>_xll.qlOvernightIndexedSwapFairRate(N79,Trigger)</f>
        <v>1.415909743176243E-2</v>
      </c>
      <c r="Q79" s="547">
        <f t="shared" si="5"/>
        <v>4.3203861129850266E-3</v>
      </c>
    </row>
    <row r="80" spans="5:17" x14ac:dyDescent="0.2">
      <c r="E80" s="538"/>
      <c r="F80" s="538"/>
      <c r="G80" s="537"/>
      <c r="I80" s="537"/>
      <c r="J80" s="537"/>
      <c r="L80" s="553">
        <f>_xll.qlCalendarAdvance(Calendar,L79,"1M","f",,Trigger)</f>
        <v>44298</v>
      </c>
      <c r="M80" s="544">
        <f>_xll.qlCalendarAdvance(Calendar,L80,"3M","f",,Trigger)</f>
        <v>44389</v>
      </c>
      <c r="N80" s="546" t="str">
        <f>_xll.qlMakeDatedOIS(,L80,M80,"eonia",,,,,Trigger)</f>
        <v>obj_0073c#0000</v>
      </c>
      <c r="O80" s="545">
        <f>_xll.qlIndexFixing("euribor6m",_xll.qlInterestRateIndexFixingDate("Euribor6M",L80),TRUE)</f>
        <v>1.8735322154413162E-2</v>
      </c>
      <c r="P80" s="545">
        <f>_xll.qlOvernightIndexedSwapFairRate(N80,Trigger)</f>
        <v>1.415881932614084E-2</v>
      </c>
      <c r="Q80" s="547">
        <f t="shared" si="5"/>
        <v>4.5765028282723219E-3</v>
      </c>
    </row>
    <row r="81" spans="5:17" x14ac:dyDescent="0.2">
      <c r="E81" s="538"/>
      <c r="F81" s="538"/>
      <c r="G81" s="537"/>
      <c r="I81" s="537"/>
      <c r="J81" s="537"/>
      <c r="L81" s="553">
        <f>_xll.qlCalendarAdvance(Calendar,L80,"1M","f",,Trigger)</f>
        <v>44328</v>
      </c>
      <c r="M81" s="544">
        <f>_xll.qlCalendarAdvance(Calendar,L81,"3M","f",,Trigger)</f>
        <v>44420</v>
      </c>
      <c r="N81" s="546" t="str">
        <f>_xll.qlMakeDatedOIS(,L81,M81,"eonia",,,,,Trigger)</f>
        <v>obj_0073e#0000</v>
      </c>
      <c r="O81" s="545">
        <f>_xll.qlIndexFixing("euribor6m",_xll.qlInterestRateIndexFixingDate("Euribor6M",L81),TRUE)</f>
        <v>1.8988544712877437E-2</v>
      </c>
      <c r="P81" s="545">
        <f>_xll.qlOvernightIndexedSwapFairRate(N81,Trigger)</f>
        <v>1.4159097431762432E-2</v>
      </c>
      <c r="Q81" s="547">
        <f t="shared" si="5"/>
        <v>4.8294472811150051E-3</v>
      </c>
    </row>
    <row r="82" spans="5:17" x14ac:dyDescent="0.2">
      <c r="E82" s="538"/>
      <c r="F82" s="538"/>
      <c r="G82" s="537"/>
      <c r="I82" s="537"/>
      <c r="J82" s="537"/>
      <c r="L82" s="553">
        <f>_xll.qlCalendarAdvance(Calendar,L81,"1M","f",,Trigger)</f>
        <v>44361</v>
      </c>
      <c r="M82" s="544">
        <f>_xll.qlCalendarAdvance(Calendar,L82,"3M","f",,Trigger)</f>
        <v>44453</v>
      </c>
      <c r="N82" s="546" t="str">
        <f>_xll.qlMakeDatedOIS(,L82,M82,"eonia",,,,,Trigger)</f>
        <v>obj_00740#0000</v>
      </c>
      <c r="O82" s="545">
        <f>_xll.qlIndexFixing("euribor6m",_xll.qlInterestRateIndexFixingDate("Euribor6M",L82),TRUE)</f>
        <v>1.9252436222499347E-2</v>
      </c>
      <c r="P82" s="545">
        <f>_xll.qlOvernightIndexedSwapFairRate(N82,Trigger)</f>
        <v>1.5184548801882171E-2</v>
      </c>
      <c r="Q82" s="547">
        <f t="shared" si="5"/>
        <v>4.0678874206171757E-3</v>
      </c>
    </row>
    <row r="83" spans="5:17" x14ac:dyDescent="0.2">
      <c r="E83" s="538"/>
      <c r="F83" s="538"/>
      <c r="G83" s="537"/>
      <c r="I83" s="537"/>
      <c r="J83" s="537"/>
      <c r="L83" s="553">
        <f>_xll.qlCalendarAdvance(Calendar,L82,"1M","f",,Trigger)</f>
        <v>44391</v>
      </c>
      <c r="M83" s="544">
        <f>_xll.qlCalendarAdvance(Calendar,L83,"3M","f",,Trigger)</f>
        <v>44483</v>
      </c>
      <c r="N83" s="546" t="str">
        <f>_xll.qlMakeDatedOIS(,L83,M83,"eonia",,,,,Trigger)</f>
        <v>obj_00742#0000</v>
      </c>
      <c r="O83" s="545">
        <f>_xll.qlIndexFixing("euribor6m",_xll.qlInterestRateIndexFixingDate("Euribor6M",L83),TRUE)</f>
        <v>1.9495831356052602E-2</v>
      </c>
      <c r="P83" s="545">
        <f>_xll.qlOvernightIndexedSwapFairRate(N83,Trigger)</f>
        <v>1.6245642334504182E-2</v>
      </c>
      <c r="Q83" s="547">
        <f t="shared" si="5"/>
        <v>3.2501890215484198E-3</v>
      </c>
    </row>
    <row r="84" spans="5:17" x14ac:dyDescent="0.2">
      <c r="E84" s="538"/>
      <c r="F84" s="538"/>
      <c r="G84" s="537"/>
      <c r="I84" s="537"/>
      <c r="J84" s="537"/>
      <c r="L84" s="553">
        <f>_xll.qlCalendarAdvance(Calendar,L83,"1M","f",,Trigger)</f>
        <v>44424</v>
      </c>
      <c r="M84" s="544">
        <f>_xll.qlCalendarAdvance(Calendar,L84,"3M","f",,Trigger)</f>
        <v>44516</v>
      </c>
      <c r="N84" s="546" t="str">
        <f>_xll.qlMakeDatedOIS(,L84,M84,"eonia",,,,,Trigger)</f>
        <v>obj_00744#0000</v>
      </c>
      <c r="O84" s="545">
        <f>_xll.qlIndexFixing("euribor6m",_xll.qlInterestRateIndexFixingDate("Euribor6M",L84),TRUE)</f>
        <v>1.9752782588880979E-2</v>
      </c>
      <c r="P84" s="545">
        <f>_xll.qlOvernightIndexedSwapFairRate(N84,Trigger)</f>
        <v>1.7413176272634882E-2</v>
      </c>
      <c r="Q84" s="547">
        <f t="shared" si="5"/>
        <v>2.3396063162460963E-3</v>
      </c>
    </row>
    <row r="85" spans="5:17" x14ac:dyDescent="0.2">
      <c r="E85" s="538"/>
      <c r="F85" s="538"/>
      <c r="G85" s="537"/>
      <c r="I85" s="537"/>
      <c r="J85" s="537"/>
      <c r="L85" s="553">
        <f>_xll.qlCalendarAdvance(Calendar,L84,"1M","f",,Trigger)</f>
        <v>44455</v>
      </c>
      <c r="M85" s="544">
        <f>_xll.qlCalendarAdvance(Calendar,L85,"3M","f",,Trigger)</f>
        <v>44546</v>
      </c>
      <c r="N85" s="546" t="str">
        <f>_xll.qlMakeDatedOIS(,L85,M85,"eonia",,,,,Trigger)</f>
        <v>obj_00746#0000</v>
      </c>
      <c r="O85" s="545">
        <f>_xll.qlIndexFixing("euribor6m",_xll.qlInterestRateIndexFixingDate("Euribor6M",L85),TRUE)</f>
        <v>1.9975607302293728E-2</v>
      </c>
      <c r="P85" s="545">
        <f>_xll.qlOvernightIndexedSwapFairRate(N85,Trigger)</f>
        <v>1.7412755765612797E-2</v>
      </c>
      <c r="Q85" s="547">
        <f t="shared" si="5"/>
        <v>2.5628515366809303E-3</v>
      </c>
    </row>
    <row r="86" spans="5:17" x14ac:dyDescent="0.2">
      <c r="E86" s="538"/>
      <c r="F86" s="538"/>
      <c r="G86" s="537"/>
      <c r="I86" s="537"/>
      <c r="J86" s="537"/>
      <c r="L86" s="553">
        <f>_xll.qlCalendarAdvance(Calendar,L85,"1M","f",,Trigger)</f>
        <v>44487</v>
      </c>
      <c r="M86" s="544">
        <f>_xll.qlCalendarAdvance(Calendar,L86,"3M","f",,Trigger)</f>
        <v>44579</v>
      </c>
      <c r="N86" s="546" t="str">
        <f>_xll.qlMakeDatedOIS(,L86,M86,"eonia",,,,,Trigger)</f>
        <v>obj_00748#0000</v>
      </c>
      <c r="O86" s="545">
        <f>_xll.qlIndexFixing("euribor6m",_xll.qlInterestRateIndexFixingDate("Euribor6M",L86),TRUE)</f>
        <v>2.022110638662182E-2</v>
      </c>
      <c r="P86" s="545">
        <f>_xll.qlOvernightIndexedSwapFairRate(N86,Trigger)</f>
        <v>1.7413176272634882E-2</v>
      </c>
      <c r="Q86" s="547">
        <f t="shared" si="5"/>
        <v>2.8079301139869381E-3</v>
      </c>
    </row>
    <row r="87" spans="5:17" x14ac:dyDescent="0.2">
      <c r="E87" s="538"/>
      <c r="F87" s="538"/>
      <c r="G87" s="537"/>
      <c r="I87" s="537"/>
      <c r="J87" s="537"/>
      <c r="L87" s="553">
        <f>_xll.qlCalendarAdvance(Calendar,L86,"1M","f",,Trigger)</f>
        <v>44518</v>
      </c>
      <c r="M87" s="544">
        <f>_xll.qlCalendarAdvance(Calendar,L87,"3M","f",,Trigger)</f>
        <v>44610</v>
      </c>
      <c r="N87" s="546" t="str">
        <f>_xll.qlMakeDatedOIS(,L87,M87,"eonia",,,,,Trigger)</f>
        <v>obj_0074a#0000</v>
      </c>
      <c r="O87" s="545">
        <f>_xll.qlIndexFixing("euribor6m",_xll.qlInterestRateIndexFixingDate("Euribor6M",L87),TRUE)</f>
        <v>2.0436780698222183E-2</v>
      </c>
      <c r="P87" s="545">
        <f>_xll.qlOvernightIndexedSwapFairRate(N87,Trigger)</f>
        <v>1.7413176272634882E-2</v>
      </c>
      <c r="Q87" s="547">
        <f t="shared" si="5"/>
        <v>3.0236044255873007E-3</v>
      </c>
    </row>
    <row r="88" spans="5:17" x14ac:dyDescent="0.2">
      <c r="E88" s="538"/>
      <c r="F88" s="538"/>
      <c r="G88" s="537"/>
      <c r="I88" s="537"/>
      <c r="J88" s="537"/>
      <c r="L88" s="553">
        <f>_xll.qlCalendarAdvance(Calendar,L87,"1M","f",,Trigger)</f>
        <v>44550</v>
      </c>
      <c r="M88" s="544">
        <f>_xll.qlCalendarAdvance(Calendar,L88,"3M","f",,Trigger)</f>
        <v>44641</v>
      </c>
      <c r="N88" s="546" t="str">
        <f>_xll.qlMakeDatedOIS(,L88,M88,"eonia",,,,,Trigger)</f>
        <v>obj_0074c#0000</v>
      </c>
      <c r="O88" s="545">
        <f>_xll.qlIndexFixing("euribor6m",_xll.qlInterestRateIndexFixingDate("Euribor6M",L88),TRUE)</f>
        <v>2.0665830412870023E-2</v>
      </c>
      <c r="P88" s="545">
        <f>_xll.qlOvernightIndexedSwapFairRate(N88,Trigger)</f>
        <v>1.7412755765613675E-2</v>
      </c>
      <c r="Q88" s="547">
        <f t="shared" si="5"/>
        <v>3.2530746472563474E-3</v>
      </c>
    </row>
    <row r="89" spans="5:17" x14ac:dyDescent="0.2">
      <c r="E89" s="538"/>
      <c r="F89" s="538"/>
      <c r="G89" s="537"/>
      <c r="I89" s="537"/>
      <c r="J89" s="537"/>
      <c r="L89" s="553">
        <f>_xll.qlCalendarAdvance(Calendar,L88,"1M","f",,Trigger)</f>
        <v>44581</v>
      </c>
      <c r="M89" s="544">
        <f>_xll.qlCalendarAdvance(Calendar,L89,"3M","f",,Trigger)</f>
        <v>44671</v>
      </c>
      <c r="N89" s="546" t="str">
        <f>_xll.qlMakeDatedOIS(,L89,M89,"eonia",,,,,Trigger)</f>
        <v>obj_0074e#0000</v>
      </c>
      <c r="O89" s="545">
        <f>_xll.qlIndexFixing("euribor6m",_xll.qlInterestRateIndexFixingDate("Euribor6M",L89),TRUE)</f>
        <v>2.0874021285480091E-2</v>
      </c>
      <c r="P89" s="545">
        <f>_xll.qlOvernightIndexedSwapFairRate(N89,Trigger)</f>
        <v>1.7412335272126711E-2</v>
      </c>
      <c r="Q89" s="547">
        <f t="shared" si="5"/>
        <v>3.4616860133533794E-3</v>
      </c>
    </row>
    <row r="90" spans="5:17" x14ac:dyDescent="0.2">
      <c r="E90" s="538"/>
      <c r="F90" s="538"/>
      <c r="G90" s="537"/>
      <c r="I90" s="537"/>
      <c r="J90" s="537"/>
      <c r="L90" s="553">
        <f>_xll.qlCalendarAdvance(Calendar,L89,"1M","f",,Trigger)</f>
        <v>44613</v>
      </c>
      <c r="M90" s="544">
        <f>_xll.qlCalendarAdvance(Calendar,L90,"3M","f",,Trigger)</f>
        <v>44704</v>
      </c>
      <c r="N90" s="546" t="str">
        <f>_xll.qlMakeDatedOIS(,L90,M90,"eonia",,,,,Trigger)</f>
        <v>obj_00750#0000</v>
      </c>
      <c r="O90" s="545">
        <f>_xll.qlIndexFixing("euribor6m",_xll.qlInterestRateIndexFixingDate("Euribor6M",L90),TRUE)</f>
        <v>2.1090742995050486E-2</v>
      </c>
      <c r="P90" s="545">
        <f>_xll.qlOvernightIndexedSwapFairRate(N90,Trigger)</f>
        <v>1.7412755765613679E-2</v>
      </c>
      <c r="Q90" s="547">
        <f t="shared" si="5"/>
        <v>3.677987229436807E-3</v>
      </c>
    </row>
    <row r="91" spans="5:17" x14ac:dyDescent="0.2">
      <c r="E91" s="538"/>
      <c r="F91" s="538"/>
      <c r="G91" s="537"/>
      <c r="I91" s="537"/>
      <c r="J91" s="537"/>
      <c r="L91" s="553">
        <f>_xll.qlCalendarAdvance(Calendar,L90,"1M","f",,Trigger)</f>
        <v>44641</v>
      </c>
      <c r="M91" s="544">
        <f>_xll.qlCalendarAdvance(Calendar,L91,"3M","f",,Trigger)</f>
        <v>44733</v>
      </c>
      <c r="N91" s="546" t="str">
        <f>_xll.qlMakeDatedOIS(,L91,M91,"eonia",,,,,Trigger)</f>
        <v>obj_00752#0000</v>
      </c>
      <c r="O91" s="545">
        <f>_xll.qlIndexFixing("euribor6m",_xll.qlInterestRateIndexFixingDate("Euribor6M",L91),TRUE)</f>
        <v>2.1279350801226608E-2</v>
      </c>
      <c r="P91" s="545">
        <f>_xll.qlOvernightIndexedSwapFairRate(N91,Trigger)</f>
        <v>1.7413176272634886E-2</v>
      </c>
      <c r="Q91" s="547">
        <f t="shared" si="5"/>
        <v>3.8661745285917225E-3</v>
      </c>
    </row>
    <row r="92" spans="5:17" x14ac:dyDescent="0.2">
      <c r="E92" s="538"/>
      <c r="F92" s="538"/>
      <c r="G92" s="537"/>
      <c r="I92" s="537"/>
      <c r="J92" s="537"/>
      <c r="L92" s="553">
        <f>_xll.qlCalendarAdvance(Calendar,L91,"1M","f",,Trigger)</f>
        <v>44672</v>
      </c>
      <c r="M92" s="544">
        <f>_xll.qlCalendarAdvance(Calendar,L92,"3M","f",,Trigger)</f>
        <v>44763</v>
      </c>
      <c r="N92" s="546" t="str">
        <f>_xll.qlMakeDatedOIS(,L92,M92,"eonia",,,,,Trigger)</f>
        <v>obj_00754#0000</v>
      </c>
      <c r="O92" s="545">
        <f>_xll.qlIndexFixing("euribor6m",_xll.qlInterestRateIndexFixingDate("Euribor6M",L92),TRUE)</f>
        <v>2.1470572966660502E-2</v>
      </c>
      <c r="P92" s="545">
        <f>_xll.qlOvernightIndexedSwapFairRate(N92,Trigger)</f>
        <v>1.7412755765613675E-2</v>
      </c>
      <c r="Q92" s="547">
        <f t="shared" si="5"/>
        <v>4.0578172010468268E-3</v>
      </c>
    </row>
    <row r="93" spans="5:17" x14ac:dyDescent="0.2">
      <c r="E93" s="538"/>
      <c r="F93" s="538"/>
      <c r="G93" s="537"/>
      <c r="I93" s="537"/>
      <c r="J93" s="537"/>
      <c r="L93" s="553">
        <f>_xll.qlCalendarAdvance(Calendar,L92,"1M","f",,Trigger)</f>
        <v>44704</v>
      </c>
      <c r="M93" s="544">
        <f>_xll.qlCalendarAdvance(Calendar,L93,"3M","f",,Trigger)</f>
        <v>44796</v>
      </c>
      <c r="N93" s="546" t="str">
        <f>_xll.qlMakeDatedOIS(,L93,M93,"eonia",,,,,Trigger)</f>
        <v>obj_00756#0000</v>
      </c>
      <c r="O93" s="545">
        <f>_xll.qlIndexFixing("euribor6m",_xll.qlInterestRateIndexFixingDate("Euribor6M",L93),TRUE)</f>
        <v>2.1669241962285916E-2</v>
      </c>
      <c r="P93" s="545">
        <f>_xll.qlOvernightIndexedSwapFairRate(N93,Trigger)</f>
        <v>1.7608316586555688E-2</v>
      </c>
      <c r="Q93" s="547">
        <f t="shared" si="5"/>
        <v>4.0609253757302281E-3</v>
      </c>
    </row>
    <row r="94" spans="5:17" x14ac:dyDescent="0.2">
      <c r="E94" s="538"/>
      <c r="F94" s="538"/>
      <c r="G94" s="537"/>
      <c r="I94" s="537"/>
      <c r="J94" s="537"/>
      <c r="L94" s="553">
        <f>_xll.qlCalendarAdvance(Calendar,L93,"1M","f",,Trigger)</f>
        <v>44735</v>
      </c>
      <c r="M94" s="544">
        <f>_xll.qlCalendarAdvance(Calendar,L94,"3M","f",,Trigger)</f>
        <v>44827</v>
      </c>
      <c r="N94" s="546" t="str">
        <f>_xll.qlMakeDatedOIS(,L94,M94,"eonia",,,,,Trigger)</f>
        <v>obj_00758#0000</v>
      </c>
      <c r="O94" s="545">
        <f>_xll.qlIndexFixing("euribor6m",_xll.qlInterestRateIndexFixingDate("Euribor6M",L94),TRUE)</f>
        <v>2.1848755457443539E-2</v>
      </c>
      <c r="P94" s="545">
        <f>_xll.qlOvernightIndexedSwapFairRate(N94,Trigger)</f>
        <v>1.8364576817089348E-2</v>
      </c>
      <c r="Q94" s="547">
        <f t="shared" si="5"/>
        <v>3.4841786403541908E-3</v>
      </c>
    </row>
    <row r="95" spans="5:17" x14ac:dyDescent="0.2">
      <c r="E95" s="538"/>
      <c r="F95" s="538"/>
      <c r="G95" s="537"/>
      <c r="I95" s="537"/>
      <c r="J95" s="537"/>
      <c r="L95" s="553">
        <f>_xll.qlCalendarAdvance(Calendar,L94,"1M","f",,Trigger)</f>
        <v>44767</v>
      </c>
      <c r="M95" s="544">
        <f>_xll.qlCalendarAdvance(Calendar,L95,"3M","f",,Trigger)</f>
        <v>44859</v>
      </c>
      <c r="N95" s="546" t="str">
        <f>_xll.qlMakeDatedOIS(,L95,M95,"eonia",,,,,Trigger)</f>
        <v>obj_0075a#0000</v>
      </c>
      <c r="O95" s="545">
        <f>_xll.qlIndexFixing("euribor6m",_xll.qlInterestRateIndexFixingDate("Euribor6M",L95),TRUE)</f>
        <v>2.2034958040173382E-2</v>
      </c>
      <c r="P95" s="545">
        <f>_xll.qlOvernightIndexedSwapFairRate(N95,Trigger)</f>
        <v>1.914538516052804E-2</v>
      </c>
      <c r="Q95" s="547">
        <f t="shared" si="5"/>
        <v>2.8895728796453427E-3</v>
      </c>
    </row>
    <row r="96" spans="5:17" x14ac:dyDescent="0.2">
      <c r="E96" s="538"/>
      <c r="F96" s="538"/>
      <c r="G96" s="537"/>
      <c r="I96" s="537"/>
      <c r="J96" s="537"/>
      <c r="L96" s="553">
        <f>_xll.qlCalendarAdvance(Calendar,L95,"1M","f",,Trigger)</f>
        <v>44798</v>
      </c>
      <c r="M96" s="544">
        <f>_xll.qlCalendarAdvance(Calendar,L96,"3M","f",,Trigger)</f>
        <v>44890</v>
      </c>
      <c r="N96" s="546" t="str">
        <f>_xll.qlMakeDatedOIS(,L96,M96,"eonia",,,,,Trigger)</f>
        <v>obj_0075c#0000</v>
      </c>
      <c r="O96" s="545">
        <f>_xll.qlIndexFixing("euribor6m",_xll.qlInterestRateIndexFixingDate("Euribor6M",L96),TRUE)</f>
        <v>2.2212592334890258E-2</v>
      </c>
      <c r="P96" s="545">
        <f>_xll.qlOvernightIndexedSwapFairRate(N96,Trigger)</f>
        <v>1.9657874910393485E-2</v>
      </c>
      <c r="Q96" s="547">
        <f t="shared" si="5"/>
        <v>2.5547174244967726E-3</v>
      </c>
    </row>
    <row r="97" spans="5:17" x14ac:dyDescent="0.2">
      <c r="E97" s="538"/>
      <c r="F97" s="538"/>
      <c r="G97" s="537"/>
      <c r="I97" s="537"/>
      <c r="J97" s="537"/>
      <c r="L97" s="553">
        <f>_xll.qlCalendarAdvance(Calendar,L96,"1M","f",,Trigger)</f>
        <v>44830</v>
      </c>
      <c r="M97" s="544">
        <f>_xll.qlCalendarAdvance(Calendar,L97,"3M","f",,Trigger)</f>
        <v>44922</v>
      </c>
      <c r="N97" s="546" t="str">
        <f>_xll.qlMakeDatedOIS(,L97,M97,"eonia",,,,,Trigger)</f>
        <v>obj_0075e#0000</v>
      </c>
      <c r="O97" s="545">
        <f>_xll.qlIndexFixing("euribor6m",_xll.qlInterestRateIndexFixingDate("Euribor6M",L97),TRUE)</f>
        <v>2.2369942600184361E-2</v>
      </c>
      <c r="P97" s="545">
        <f>_xll.qlOvernightIndexedSwapFairRate(N97,Trigger)</f>
        <v>1.9657874910393485E-2</v>
      </c>
      <c r="Q97" s="547">
        <f t="shared" si="5"/>
        <v>2.7120676897908758E-3</v>
      </c>
    </row>
    <row r="98" spans="5:17" x14ac:dyDescent="0.2">
      <c r="E98" s="538"/>
      <c r="F98" s="538"/>
      <c r="G98" s="537"/>
      <c r="I98" s="537"/>
      <c r="J98" s="537"/>
      <c r="L98" s="553">
        <f>_xll.qlCalendarAdvance(Calendar,L97,"1M","f",,Trigger)</f>
        <v>44860</v>
      </c>
      <c r="M98" s="544">
        <f>_xll.qlCalendarAdvance(Calendar,L98,"3M","f",,Trigger)</f>
        <v>44952</v>
      </c>
      <c r="N98" s="546" t="str">
        <f>_xll.qlMakeDatedOIS(,L98,M98,"eonia",,,,,Trigger)</f>
        <v>obj_00760#0000</v>
      </c>
      <c r="O98" s="545">
        <f>_xll.qlIndexFixing("euribor6m",_xll.qlInterestRateIndexFixingDate("Euribor6M",L98),TRUE)</f>
        <v>2.2524121680517026E-2</v>
      </c>
      <c r="P98" s="545">
        <f>_xll.qlOvernightIndexedSwapFairRate(N98,Trigger)</f>
        <v>1.9657874910393485E-2</v>
      </c>
      <c r="Q98" s="547">
        <f t="shared" si="5"/>
        <v>2.8662467701235407E-3</v>
      </c>
    </row>
    <row r="99" spans="5:17" x14ac:dyDescent="0.2">
      <c r="E99" s="538"/>
      <c r="F99" s="538"/>
      <c r="G99" s="537"/>
      <c r="I99" s="537"/>
      <c r="J99" s="537"/>
      <c r="L99" s="553">
        <f>_xll.qlCalendarAdvance(Calendar,L98,"1M","f",,Trigger)</f>
        <v>44893</v>
      </c>
      <c r="M99" s="544">
        <f>_xll.qlCalendarAdvance(Calendar,L99,"3M","f",,Trigger)</f>
        <v>44985</v>
      </c>
      <c r="N99" s="546" t="str">
        <f>_xll.qlMakeDatedOIS(,L99,M99,"eonia",,,,,Trigger)</f>
        <v>obj_00762#0000</v>
      </c>
      <c r="O99" s="545">
        <f>_xll.qlIndexFixing("euribor6m",_xll.qlInterestRateIndexFixingDate("Euribor6M",L99),TRUE)</f>
        <v>2.2687336509856722E-2</v>
      </c>
      <c r="P99" s="545">
        <f>_xll.qlOvernightIndexedSwapFairRate(N99,Trigger)</f>
        <v>1.9657874910393485E-2</v>
      </c>
      <c r="Q99" s="547">
        <f t="shared" si="5"/>
        <v>3.0294615994632366E-3</v>
      </c>
    </row>
    <row r="100" spans="5:17" x14ac:dyDescent="0.2">
      <c r="E100" s="538"/>
      <c r="F100" s="538"/>
      <c r="G100" s="537"/>
      <c r="I100" s="537"/>
      <c r="J100" s="537"/>
      <c r="L100" s="553">
        <f>_xll.qlCalendarAdvance(Calendar,L99,"1M","f",,Trigger)</f>
        <v>44923</v>
      </c>
      <c r="M100" s="544">
        <f>_xll.qlCalendarAdvance(Calendar,L100,"3M","f",,Trigger)</f>
        <v>45013</v>
      </c>
      <c r="N100" s="546" t="str">
        <f>_xll.qlMakeDatedOIS(,L100,M100,"eonia",,,,,Trigger)</f>
        <v>obj_00764#0000</v>
      </c>
      <c r="O100" s="545">
        <f>_xll.qlIndexFixing("euribor6m",_xll.qlInterestRateIndexFixingDate("Euribor6M",L100),TRUE)</f>
        <v>2.2829910328819907E-2</v>
      </c>
      <c r="P100" s="545">
        <f>_xll.qlOvernightIndexedSwapFairRate(N100,Trigger)</f>
        <v>1.9656803319980654E-2</v>
      </c>
      <c r="Q100" s="547">
        <f t="shared" si="5"/>
        <v>3.1731070088392536E-3</v>
      </c>
    </row>
    <row r="101" spans="5:17" x14ac:dyDescent="0.2">
      <c r="E101" s="538"/>
      <c r="F101" s="538"/>
      <c r="G101" s="537"/>
      <c r="I101" s="537"/>
      <c r="J101" s="537"/>
      <c r="L101" s="553">
        <f>_xll.qlCalendarAdvance(Calendar,L100,"1M","f",,Trigger)</f>
        <v>44956</v>
      </c>
      <c r="M101" s="544">
        <f>_xll.qlCalendarAdvance(Calendar,L101,"3M","f",,Trigger)</f>
        <v>45048</v>
      </c>
      <c r="N101" s="546" t="str">
        <f>_xll.qlMakeDatedOIS(,L101,M101,"eonia",,,,,Trigger)</f>
        <v>obj_00766#0000</v>
      </c>
      <c r="O101" s="545">
        <f>_xll.qlIndexFixing("euribor6m",_xll.qlInterestRateIndexFixingDate("Euribor6M",L101),TRUE)</f>
        <v>2.2980356443595681E-2</v>
      </c>
      <c r="P101" s="545">
        <f>_xll.qlOvernightIndexedSwapFairRate(N101,Trigger)</f>
        <v>1.9657874910393485E-2</v>
      </c>
      <c r="Q101" s="547">
        <f t="shared" si="5"/>
        <v>3.3224815332021963E-3</v>
      </c>
    </row>
    <row r="102" spans="5:17" x14ac:dyDescent="0.2">
      <c r="E102" s="538"/>
      <c r="F102" s="538"/>
      <c r="G102" s="537"/>
      <c r="I102" s="537"/>
      <c r="J102" s="537"/>
      <c r="L102" s="553">
        <f>_xll.qlCalendarAdvance(Calendar,L101,"1M","f",,Trigger)</f>
        <v>44985</v>
      </c>
      <c r="M102" s="544">
        <f>_xll.qlCalendarAdvance(Calendar,L102,"3M","f",,Trigger)</f>
        <v>45075</v>
      </c>
      <c r="N102" s="546" t="str">
        <f>_xll.qlMakeDatedOIS(,L102,M102,"eonia",,,,,Trigger)</f>
        <v>obj_00768#0000</v>
      </c>
      <c r="O102" s="545">
        <f>_xll.qlIndexFixing("euribor6m",_xll.qlInterestRateIndexFixingDate("Euribor6M",L102),TRUE)</f>
        <v>2.311262925469957E-2</v>
      </c>
      <c r="P102" s="545">
        <f>_xll.qlOvernightIndexedSwapFairRate(N102,Trigger)</f>
        <v>1.9656803319980654E-2</v>
      </c>
      <c r="Q102" s="547">
        <f t="shared" si="5"/>
        <v>3.455825934718916E-3</v>
      </c>
    </row>
    <row r="103" spans="5:17" x14ac:dyDescent="0.2">
      <c r="E103" s="538"/>
      <c r="F103" s="538"/>
      <c r="G103" s="537"/>
      <c r="I103" s="537"/>
      <c r="J103" s="537"/>
      <c r="L103" s="553">
        <f>_xll.qlCalendarAdvance(Calendar,L102,"1M","f",,Trigger)</f>
        <v>45013</v>
      </c>
      <c r="M103" s="544">
        <f>_xll.qlCalendarAdvance(Calendar,L103,"3M","f",,Trigger)</f>
        <v>45105</v>
      </c>
      <c r="N103" s="546" t="str">
        <f>_xll.qlMakeDatedOIS(,L103,M103,"eonia",,,,,Trigger)</f>
        <v>obj_0076a#0000</v>
      </c>
      <c r="O103" s="545">
        <f>_xll.qlIndexFixing("euribor6m",_xll.qlInterestRateIndexFixingDate("Euribor6M",L103),TRUE)</f>
        <v>2.3230266606182569E-2</v>
      </c>
      <c r="P103" s="545">
        <f>_xll.qlOvernightIndexedSwapFairRate(N103,Trigger)</f>
        <v>1.9657874910393489E-2</v>
      </c>
      <c r="Q103" s="547">
        <f t="shared" si="5"/>
        <v>3.5723916957890803E-3</v>
      </c>
    </row>
    <row r="104" spans="5:17" x14ac:dyDescent="0.2">
      <c r="E104" s="538"/>
      <c r="F104" s="538"/>
      <c r="G104" s="537"/>
      <c r="I104" s="537"/>
      <c r="J104" s="537"/>
      <c r="L104" s="553">
        <f>_xll.qlCalendarAdvance(Calendar,L103,"1M","f",,Trigger)</f>
        <v>45044</v>
      </c>
      <c r="M104" s="544">
        <f>_xll.qlCalendarAdvance(Calendar,L104,"3M","f",,Trigger)</f>
        <v>45135</v>
      </c>
      <c r="N104" s="546" t="str">
        <f>_xll.qlMakeDatedOIS(,L104,M104,"eonia",,,,,Trigger)</f>
        <v>obj_0076c#0000</v>
      </c>
      <c r="O104" s="545">
        <f>_xll.qlIndexFixing("euribor6m",_xll.qlInterestRateIndexFixingDate("Euribor6M",L104),TRUE)</f>
        <v>2.336141023760183E-2</v>
      </c>
      <c r="P104" s="545">
        <f>_xll.qlOvernightIndexedSwapFairRate(N104,Trigger)</f>
        <v>1.9657339105455054E-2</v>
      </c>
      <c r="Q104" s="547">
        <f t="shared" si="5"/>
        <v>3.7040711321467759E-3</v>
      </c>
    </row>
    <row r="105" spans="5:17" x14ac:dyDescent="0.2">
      <c r="E105" s="538"/>
      <c r="F105" s="538"/>
      <c r="G105" s="537"/>
      <c r="I105" s="537"/>
      <c r="J105" s="537"/>
      <c r="L105" s="553">
        <f>_xll.qlCalendarAdvance(Calendar,L104,"1M","f",,Trigger)</f>
        <v>45075</v>
      </c>
      <c r="M105" s="544">
        <f>_xll.qlCalendarAdvance(Calendar,L105,"3M","f",,Trigger)</f>
        <v>45167</v>
      </c>
      <c r="N105" s="546" t="str">
        <f>_xll.qlMakeDatedOIS(,L105,M105,"eonia",,,,,Trigger)</f>
        <v>obj_0076e#0000</v>
      </c>
      <c r="O105" s="545">
        <f>_xll.qlIndexFixing("euribor6m",_xll.qlInterestRateIndexFixingDate("Euribor6M",L105),TRUE)</f>
        <v>2.347793589220587E-2</v>
      </c>
      <c r="P105" s="545">
        <f>_xll.qlOvernightIndexedSwapFairRate(N105,Trigger)</f>
        <v>1.9929804097025175E-2</v>
      </c>
      <c r="Q105" s="547">
        <f t="shared" si="5"/>
        <v>3.5481317951806951E-3</v>
      </c>
    </row>
    <row r="106" spans="5:17" x14ac:dyDescent="0.2">
      <c r="E106" s="538"/>
      <c r="F106" s="538"/>
      <c r="G106" s="537"/>
      <c r="I106" s="537"/>
      <c r="J106" s="537"/>
      <c r="L106" s="553">
        <f>_xll.qlCalendarAdvance(Calendar,L105,"1M","f",,Trigger)</f>
        <v>45106</v>
      </c>
      <c r="M106" s="544">
        <f>_xll.qlCalendarAdvance(Calendar,L106,"3M","f",,Trigger)</f>
        <v>45198</v>
      </c>
      <c r="N106" s="546" t="str">
        <f>_xll.qlMakeDatedOIS(,L106,M106,"eonia",,,,,Trigger)</f>
        <v>obj_00770#0000</v>
      </c>
      <c r="O106" s="545">
        <f>_xll.qlIndexFixing("euribor6m",_xll.qlInterestRateIndexFixingDate("Euribor6M",L106),TRUE)</f>
        <v>2.359414305916514E-2</v>
      </c>
      <c r="P106" s="545">
        <f>_xll.qlOvernightIndexedSwapFairRate(N106,Trigger)</f>
        <v>2.0531999924895596E-2</v>
      </c>
      <c r="Q106" s="547">
        <f t="shared" si="5"/>
        <v>3.0621431342695432E-3</v>
      </c>
    </row>
    <row r="107" spans="5:17" x14ac:dyDescent="0.2">
      <c r="E107" s="538"/>
      <c r="F107" s="538"/>
      <c r="G107" s="537"/>
      <c r="I107" s="537"/>
      <c r="J107" s="537"/>
      <c r="L107" s="553">
        <f>_xll.qlCalendarAdvance(Calendar,L106,"1M","f",,Trigger)</f>
        <v>45138</v>
      </c>
      <c r="M107" s="544">
        <f>_xll.qlCalendarAdvance(Calendar,L107,"3M","f",,Trigger)</f>
        <v>45230</v>
      </c>
      <c r="N107" s="546" t="str">
        <f>_xll.qlMakeDatedOIS(,L107,M107,"eonia",,,,,Trigger)</f>
        <v>obj_00772#0000</v>
      </c>
      <c r="O107" s="545">
        <f>_xll.qlIndexFixing("euribor6m",_xll.qlInterestRateIndexFixingDate("Euribor6M",L107),TRUE)</f>
        <v>2.371715315906375E-2</v>
      </c>
      <c r="P107" s="545">
        <f>_xll.qlOvernightIndexedSwapFairRate(N107,Trigger)</f>
        <v>2.1153718139300334E-2</v>
      </c>
      <c r="Q107" s="547">
        <f t="shared" si="5"/>
        <v>2.5634350197634159E-3</v>
      </c>
    </row>
    <row r="108" spans="5:17" x14ac:dyDescent="0.2">
      <c r="E108" s="538"/>
      <c r="F108" s="538"/>
      <c r="G108" s="537"/>
      <c r="I108" s="537"/>
      <c r="J108" s="537"/>
      <c r="L108" s="553">
        <f>_xll.qlCalendarAdvance(Calendar,L107,"1M","f",,Trigger)</f>
        <v>45169</v>
      </c>
      <c r="M108" s="544">
        <f>_xll.qlCalendarAdvance(Calendar,L108,"3M","f",,Trigger)</f>
        <v>45260</v>
      </c>
      <c r="N108" s="546" t="str">
        <f>_xll.qlMakeDatedOIS(,L108,M108,"eonia",,,,,Trigger)</f>
        <v>obj_00774#0000</v>
      </c>
      <c r="O108" s="545">
        <f>_xll.qlIndexFixing("euribor6m",_xll.qlInterestRateIndexFixingDate("Euribor6M",L108),TRUE)</f>
        <v>2.3827123861896296E-2</v>
      </c>
      <c r="P108" s="545">
        <f>_xll.qlOvernightIndexedSwapFairRate(N108,Trigger)</f>
        <v>2.1444544810073164E-2</v>
      </c>
      <c r="Q108" s="547">
        <f t="shared" si="5"/>
        <v>2.3825790518231318E-3</v>
      </c>
    </row>
    <row r="109" spans="5:17" x14ac:dyDescent="0.2">
      <c r="E109" s="538"/>
      <c r="F109" s="538"/>
      <c r="G109" s="537"/>
      <c r="I109" s="537"/>
      <c r="J109" s="537"/>
      <c r="L109" s="553">
        <f>_xll.qlCalendarAdvance(Calendar,L108,"1M","f",,Trigger)</f>
        <v>45201</v>
      </c>
      <c r="M109" s="544">
        <f>_xll.qlCalendarAdvance(Calendar,L109,"3M","f",,Trigger)</f>
        <v>45293</v>
      </c>
      <c r="N109" s="546" t="str">
        <f>_xll.qlMakeDatedOIS(,L109,M109,"eonia",,,,,Trigger)</f>
        <v>obj_00776#0000</v>
      </c>
      <c r="O109" s="545">
        <f>_xll.qlIndexFixing("euribor6m",_xll.qlInterestRateIndexFixingDate("Euribor6M",L109),TRUE)</f>
        <v>2.3947677910835092E-2</v>
      </c>
      <c r="P109" s="545">
        <f>_xll.qlOvernightIndexedSwapFairRate(N109,Trigger)</f>
        <v>2.1445182377995833E-2</v>
      </c>
      <c r="Q109" s="547">
        <f t="shared" si="5"/>
        <v>2.5024955328392592E-3</v>
      </c>
    </row>
    <row r="110" spans="5:17" x14ac:dyDescent="0.2">
      <c r="E110" s="538"/>
      <c r="F110" s="538"/>
      <c r="G110" s="537"/>
      <c r="I110" s="537"/>
      <c r="J110" s="537"/>
      <c r="L110" s="553">
        <f>_xll.qlCalendarAdvance(Calendar,L109,"1M","f",,Trigger)</f>
        <v>45232</v>
      </c>
      <c r="M110" s="544">
        <f>_xll.qlCalendarAdvance(Calendar,L110,"3M","f",,Trigger)</f>
        <v>45324</v>
      </c>
      <c r="N110" s="546" t="str">
        <f>_xll.qlMakeDatedOIS(,L110,M110,"eonia",,,,,Trigger)</f>
        <v>obj_00778#0000</v>
      </c>
      <c r="O110" s="545">
        <f>_xll.qlIndexFixing("euribor6m",_xll.qlInterestRateIndexFixingDate("Euribor6M",L110),TRUE)</f>
        <v>2.4058362923967937E-2</v>
      </c>
      <c r="P110" s="545">
        <f>_xll.qlOvernightIndexedSwapFairRate(N110,Trigger)</f>
        <v>2.1445182377995833E-2</v>
      </c>
      <c r="Q110" s="547">
        <f t="shared" si="5"/>
        <v>2.613180545972104E-3</v>
      </c>
    </row>
    <row r="111" spans="5:17" x14ac:dyDescent="0.2">
      <c r="E111" s="538"/>
      <c r="F111" s="538"/>
      <c r="G111" s="537"/>
      <c r="I111" s="537"/>
      <c r="J111" s="537"/>
      <c r="L111" s="553">
        <f>_xll.qlCalendarAdvance(Calendar,L110,"1M","f",,Trigger)</f>
        <v>45264</v>
      </c>
      <c r="M111" s="544">
        <f>_xll.qlCalendarAdvance(Calendar,L111,"3M","f",,Trigger)</f>
        <v>45355</v>
      </c>
      <c r="N111" s="546" t="str">
        <f>_xll.qlMakeDatedOIS(,L111,M111,"eonia",,,,,Trigger)</f>
        <v>obj_0077a#0000</v>
      </c>
      <c r="O111" s="545">
        <f>_xll.qlIndexFixing("euribor6m",_xll.qlInterestRateIndexFixingDate("Euribor6M",L111),TRUE)</f>
        <v>2.4176925197692829E-2</v>
      </c>
      <c r="P111" s="545">
        <f>_xll.qlOvernightIndexedSwapFairRate(N111,Trigger)</f>
        <v>2.1444544810073157E-2</v>
      </c>
      <c r="Q111" s="547">
        <f t="shared" si="5"/>
        <v>2.732380387619672E-3</v>
      </c>
    </row>
    <row r="112" spans="5:17" x14ac:dyDescent="0.2">
      <c r="E112" s="538"/>
      <c r="F112" s="538"/>
      <c r="G112" s="537"/>
      <c r="I112" s="537"/>
      <c r="J112" s="537"/>
      <c r="L112" s="553">
        <f>_xll.qlCalendarAdvance(Calendar,L111,"1M","f",,Trigger)</f>
        <v>45295</v>
      </c>
      <c r="M112" s="544">
        <f>_xll.qlCalendarAdvance(Calendar,L112,"3M","f",,Trigger)</f>
        <v>45386</v>
      </c>
      <c r="N112" s="546" t="str">
        <f>_xll.qlMakeDatedOIS(,L112,M112,"eonia",,,,,Trigger)</f>
        <v>obj_0077c#0000</v>
      </c>
      <c r="O112" s="545">
        <f>_xll.qlIndexFixing("euribor6m",_xll.qlInterestRateIndexFixingDate("Euribor6M",L112),TRUE)</f>
        <v>2.4285711163164702E-2</v>
      </c>
      <c r="P112" s="545">
        <f>_xll.qlOvernightIndexedSwapFairRate(N112,Trigger)</f>
        <v>2.1444544810073161E-2</v>
      </c>
      <c r="Q112" s="547">
        <f t="shared" si="5"/>
        <v>2.8411663530915413E-3</v>
      </c>
    </row>
    <row r="113" spans="5:17" x14ac:dyDescent="0.2">
      <c r="E113" s="538"/>
      <c r="F113" s="538"/>
      <c r="G113" s="537"/>
      <c r="I113" s="537"/>
      <c r="J113" s="537"/>
      <c r="L113" s="553">
        <f>_xll.qlCalendarAdvance(Calendar,L112,"1M","f",,Trigger)</f>
        <v>45327</v>
      </c>
      <c r="M113" s="544">
        <f>_xll.qlCalendarAdvance(Calendar,L113,"3M","f",,Trigger)</f>
        <v>45418</v>
      </c>
      <c r="N113" s="546" t="str">
        <f>_xll.qlMakeDatedOIS(,L113,M113,"eonia",,,,,Trigger)</f>
        <v>obj_0077e#0000</v>
      </c>
      <c r="O113" s="545">
        <f>_xll.qlIndexFixing("euribor6m",_xll.qlInterestRateIndexFixingDate("Euribor6M",L113),TRUE)</f>
        <v>2.4399699146029231E-2</v>
      </c>
      <c r="P113" s="545">
        <f>_xll.qlOvernightIndexedSwapFairRate(N113,Trigger)</f>
        <v>2.1444544810073161E-2</v>
      </c>
      <c r="Q113" s="547">
        <f t="shared" si="5"/>
        <v>2.95515433595607E-3</v>
      </c>
    </row>
    <row r="114" spans="5:17" x14ac:dyDescent="0.2">
      <c r="E114" s="538"/>
      <c r="F114" s="538"/>
      <c r="G114" s="537"/>
      <c r="I114" s="537"/>
      <c r="J114" s="537"/>
      <c r="L114" s="553">
        <f>_xll.qlCalendarAdvance(Calendar,L113,"1M","f",,Trigger)</f>
        <v>45356</v>
      </c>
      <c r="M114" s="544">
        <f>_xll.qlCalendarAdvance(Calendar,L114,"3M","f",,Trigger)</f>
        <v>45448</v>
      </c>
      <c r="N114" s="546" t="str">
        <f>_xll.qlMakeDatedOIS(,L114,M114,"eonia",,,,,Trigger)</f>
        <v>obj_00780#0000</v>
      </c>
      <c r="O114" s="545">
        <f>_xll.qlIndexFixing("euribor6m",_xll.qlInterestRateIndexFixingDate("Euribor6M",L114),TRUE)</f>
        <v>2.4507261541165094E-2</v>
      </c>
      <c r="P114" s="545">
        <f>_xll.qlOvernightIndexedSwapFairRate(N114,Trigger)</f>
        <v>2.1445182377995829E-2</v>
      </c>
      <c r="Q114" s="547">
        <f t="shared" si="5"/>
        <v>3.0620791631692651E-3</v>
      </c>
    </row>
    <row r="115" spans="5:17" x14ac:dyDescent="0.2">
      <c r="E115" s="538"/>
      <c r="F115" s="538"/>
      <c r="G115" s="537"/>
      <c r="I115" s="537"/>
      <c r="J115" s="537"/>
      <c r="L115" s="553">
        <f>_xll.qlCalendarAdvance(Calendar,L114,"1M","f",,Trigger)</f>
        <v>45387</v>
      </c>
      <c r="M115" s="544">
        <f>_xll.qlCalendarAdvance(Calendar,L115,"3M","f",,Trigger)</f>
        <v>45478</v>
      </c>
      <c r="N115" s="546" t="str">
        <f>_xll.qlMakeDatedOIS(,L115,M115,"eonia",,,,,Trigger)</f>
        <v>obj_00782#0000</v>
      </c>
      <c r="O115" s="545">
        <f>_xll.qlIndexFixing("euribor6m",_xll.qlInterestRateIndexFixingDate("Euribor6M",L115),TRUE)</f>
        <v>2.4618092119747855E-2</v>
      </c>
      <c r="P115" s="545">
        <f>_xll.qlOvernightIndexedSwapFairRate(N115,Trigger)</f>
        <v>2.1444544810073161E-2</v>
      </c>
      <c r="Q115" s="547">
        <f t="shared" si="5"/>
        <v>3.1735473096746944E-3</v>
      </c>
    </row>
    <row r="116" spans="5:17" x14ac:dyDescent="0.2">
      <c r="E116" s="538"/>
      <c r="F116" s="538"/>
      <c r="G116" s="537"/>
      <c r="I116" s="537"/>
      <c r="J116" s="537"/>
      <c r="L116" s="553">
        <f>_xll.qlCalendarAdvance(Calendar,L115,"1M","f",,Trigger)</f>
        <v>45418</v>
      </c>
      <c r="M116" s="544">
        <f>_xll.qlCalendarAdvance(Calendar,L116,"3M","f",,Trigger)</f>
        <v>45510</v>
      </c>
      <c r="N116" s="546" t="str">
        <f>_xll.qlMakeDatedOIS(,L116,M116,"eonia",,,,,Trigger)</f>
        <v>obj_00784#0000</v>
      </c>
      <c r="O116" s="545">
        <f>_xll.qlIndexFixing("euribor6m",_xll.qlInterestRateIndexFixingDate("Euribor6M",L116),TRUE)</f>
        <v>2.4722218066348233E-2</v>
      </c>
      <c r="P116" s="545">
        <f>_xll.qlOvernightIndexedSwapFairRate(N116,Trigger)</f>
        <v>2.1445182377995829E-2</v>
      </c>
      <c r="Q116" s="547">
        <f t="shared" si="5"/>
        <v>3.2770356883524039E-3</v>
      </c>
    </row>
    <row r="117" spans="5:17" x14ac:dyDescent="0.2">
      <c r="E117" s="538"/>
      <c r="F117" s="538"/>
      <c r="G117" s="537"/>
      <c r="I117" s="537"/>
      <c r="J117" s="537"/>
      <c r="L117" s="553">
        <f>_xll.qlCalendarAdvance(Calendar,L116,"1M","f",,Trigger)</f>
        <v>45449</v>
      </c>
      <c r="M117" s="544">
        <f>_xll.qlCalendarAdvance(Calendar,L117,"3M","f",,Trigger)</f>
        <v>45541</v>
      </c>
      <c r="N117" s="546" t="str">
        <f>_xll.qlMakeDatedOIS(,L117,M117,"eonia",,,,,Trigger)</f>
        <v>obj_00786#0000</v>
      </c>
      <c r="O117" s="545">
        <f>_xll.qlIndexFixing("euribor6m",_xll.qlInterestRateIndexFixingDate("Euribor6M",L117),TRUE)</f>
        <v>2.4824411839401064E-2</v>
      </c>
      <c r="P117" s="545">
        <f>_xll.qlOvernightIndexedSwapFairRate(N117,Trigger)</f>
        <v>2.1783521961816817E-2</v>
      </c>
      <c r="Q117" s="547">
        <f t="shared" si="5"/>
        <v>3.0408898775842463E-3</v>
      </c>
    </row>
    <row r="118" spans="5:17" x14ac:dyDescent="0.2">
      <c r="E118" s="538"/>
      <c r="F118" s="538"/>
      <c r="G118" s="537"/>
      <c r="I118" s="537"/>
      <c r="J118" s="537"/>
      <c r="L118" s="553">
        <f>_xll.qlCalendarAdvance(Calendar,L117,"1M","f",,Trigger)</f>
        <v>45481</v>
      </c>
      <c r="M118" s="544">
        <f>_xll.qlCalendarAdvance(Calendar,L118,"3M","f",,Trigger)</f>
        <v>45573</v>
      </c>
      <c r="N118" s="546" t="str">
        <f>_xll.qlMakeDatedOIS(,L118,M118,"eonia",,,,,Trigger)</f>
        <v>obj_00788#0000</v>
      </c>
      <c r="O118" s="545">
        <f>_xll.qlIndexFixing("euribor6m",_xll.qlInterestRateIndexFixingDate("Euribor6M",L118),TRUE)</f>
        <v>2.4932431437642157E-2</v>
      </c>
      <c r="P118" s="545">
        <f>_xll.qlOvernightIndexedSwapFairRate(N118,Trigger)</f>
        <v>2.2275704204290057E-2</v>
      </c>
      <c r="Q118" s="547">
        <f t="shared" si="5"/>
        <v>2.6567272333520991E-3</v>
      </c>
    </row>
    <row r="119" spans="5:17" x14ac:dyDescent="0.2">
      <c r="E119" s="538"/>
      <c r="F119" s="538"/>
      <c r="G119" s="537"/>
      <c r="I119" s="537"/>
      <c r="J119" s="537"/>
      <c r="L119" s="553">
        <f>_xll.qlCalendarAdvance(Calendar,L118,"1M","f",,Trigger)</f>
        <v>45512</v>
      </c>
      <c r="M119" s="544">
        <f>_xll.qlCalendarAdvance(Calendar,L119,"3M","f",,Trigger)</f>
        <v>45604</v>
      </c>
      <c r="N119" s="546" t="str">
        <f>_xll.qlMakeDatedOIS(,L119,M119,"eonia",,,,,Trigger)</f>
        <v>obj_0078a#0000</v>
      </c>
      <c r="O119" s="545">
        <f>_xll.qlIndexFixing("euribor6m",_xll.qlInterestRateIndexFixingDate("Euribor6M",L119),TRUE)</f>
        <v>2.503661097442374E-2</v>
      </c>
      <c r="P119" s="545">
        <f>_xll.qlOvernightIndexedSwapFairRate(N119,Trigger)</f>
        <v>2.2752564459778912E-2</v>
      </c>
      <c r="Q119" s="547">
        <f t="shared" si="5"/>
        <v>2.2840465146448281E-3</v>
      </c>
    </row>
    <row r="120" spans="5:17" x14ac:dyDescent="0.2">
      <c r="E120" s="538"/>
      <c r="F120" s="538"/>
      <c r="G120" s="537"/>
      <c r="I120" s="537"/>
      <c r="J120" s="537"/>
      <c r="L120" s="553">
        <f>_xll.qlCalendarAdvance(Calendar,L119,"1M","f",,Trigger)</f>
        <v>45544</v>
      </c>
      <c r="M120" s="544">
        <f>_xll.qlCalendarAdvance(Calendar,L120,"3M","f",,Trigger)</f>
        <v>45635</v>
      </c>
      <c r="N120" s="546" t="str">
        <f>_xll.qlMakeDatedOIS(,L120,M120,"eonia",,,,,Trigger)</f>
        <v>obj_0078c#0000</v>
      </c>
      <c r="O120" s="545">
        <f>_xll.qlIndexFixing("euribor6m",_xll.qlInterestRateIndexFixingDate("Euribor6M",L120),TRUE)</f>
        <v>2.5126414813934145E-2</v>
      </c>
      <c r="P120" s="545">
        <f>_xll.qlOvernightIndexedSwapFairRate(N120,Trigger)</f>
        <v>2.2859526182500117E-2</v>
      </c>
      <c r="Q120" s="547">
        <f t="shared" si="5"/>
        <v>2.2668886314340282E-3</v>
      </c>
    </row>
    <row r="121" spans="5:17" x14ac:dyDescent="0.2">
      <c r="E121" s="538"/>
      <c r="F121" s="538"/>
      <c r="G121" s="537"/>
      <c r="I121" s="537"/>
      <c r="J121" s="537"/>
      <c r="L121" s="553">
        <f>_xll.qlCalendarAdvance(Calendar,L120,"1M","f",,Trigger)</f>
        <v>45574</v>
      </c>
      <c r="M121" s="544">
        <f>_xll.qlCalendarAdvance(Calendar,L121,"3M","f",,Trigger)</f>
        <v>45666</v>
      </c>
      <c r="N121" s="546" t="str">
        <f>_xll.qlMakeDatedOIS(,L121,M121,"eonia",,,,,Trigger)</f>
        <v>obj_0078e#0000</v>
      </c>
      <c r="O121" s="545">
        <f>_xll.qlIndexFixing("euribor6m",_xll.qlInterestRateIndexFixingDate("Euribor6M",L121),TRUE)</f>
        <v>2.5216398830187357E-2</v>
      </c>
      <c r="P121" s="545">
        <f>_xll.qlOvernightIndexedSwapFairRate(N121,Trigger)</f>
        <v>2.2860250578798199E-2</v>
      </c>
      <c r="Q121" s="547">
        <f t="shared" si="5"/>
        <v>2.3561482513891584E-3</v>
      </c>
    </row>
    <row r="122" spans="5:17" x14ac:dyDescent="0.2">
      <c r="E122" s="538"/>
      <c r="F122" s="538"/>
      <c r="G122" s="537"/>
      <c r="I122" s="537"/>
      <c r="J122" s="537"/>
      <c r="L122" s="553">
        <f>_xll.qlCalendarAdvance(Calendar,L121,"1M","f",,Trigger)</f>
        <v>45607</v>
      </c>
      <c r="M122" s="544">
        <f>_xll.qlCalendarAdvance(Calendar,L122,"3M","f",,Trigger)</f>
        <v>45699</v>
      </c>
      <c r="N122" s="546" t="str">
        <f>_xll.qlMakeDatedOIS(,L122,M122,"eonia",,,,,Trigger)</f>
        <v>obj_00790#0000</v>
      </c>
      <c r="O122" s="545">
        <f>_xll.qlIndexFixing("euribor6m",_xll.qlInterestRateIndexFixingDate("Euribor6M",L122),TRUE)</f>
        <v>2.5311825990374827E-2</v>
      </c>
      <c r="P122" s="545">
        <f>_xll.qlOvernightIndexedSwapFairRate(N122,Trigger)</f>
        <v>2.2860250578799073E-2</v>
      </c>
      <c r="Q122" s="547">
        <f t="shared" si="5"/>
        <v>2.4515754115757536E-3</v>
      </c>
    </row>
    <row r="123" spans="5:17" x14ac:dyDescent="0.2">
      <c r="E123" s="538"/>
      <c r="F123" s="538"/>
      <c r="G123" s="537"/>
      <c r="I123" s="537"/>
      <c r="J123" s="537"/>
      <c r="L123" s="553">
        <f>_xll.qlCalendarAdvance(Calendar,L122,"1M","f",,Trigger)</f>
        <v>45637</v>
      </c>
      <c r="M123" s="544">
        <f>_xll.qlCalendarAdvance(Calendar,L123,"3M","f",,Trigger)</f>
        <v>45727</v>
      </c>
      <c r="N123" s="546" t="str">
        <f>_xll.qlMakeDatedOIS(,L123,M123,"eonia",,,,,Trigger)</f>
        <v>obj_00792#0000</v>
      </c>
      <c r="O123" s="545">
        <f>_xll.qlIndexFixing("euribor6m",_xll.qlInterestRateIndexFixingDate("Euribor6M",L123),TRUE)</f>
        <v>2.5395345467467356E-2</v>
      </c>
      <c r="P123" s="545">
        <f>_xll.qlOvernightIndexedSwapFairRate(N123,Trigger)</f>
        <v>2.2858801816791896E-2</v>
      </c>
      <c r="Q123" s="547">
        <f t="shared" si="5"/>
        <v>2.5365436506754602E-3</v>
      </c>
    </row>
    <row r="124" spans="5:17" x14ac:dyDescent="0.2">
      <c r="E124" s="538"/>
      <c r="F124" s="538"/>
      <c r="G124" s="537"/>
      <c r="I124" s="537"/>
      <c r="J124" s="537"/>
      <c r="L124" s="553">
        <f>_xll.qlCalendarAdvance(Calendar,L123,"1M","f",,Trigger)</f>
        <v>45670</v>
      </c>
      <c r="M124" s="544">
        <f>_xll.qlCalendarAdvance(Calendar,L124,"3M","f",,Trigger)</f>
        <v>45761</v>
      </c>
      <c r="N124" s="546" t="str">
        <f>_xll.qlMakeDatedOIS(,L124,M124,"eonia",,,,,Trigger)</f>
        <v>obj_00794#0000</v>
      </c>
      <c r="O124" s="545">
        <f>_xll.qlIndexFixing("euribor6m",_xll.qlInterestRateIndexFixingDate("Euribor6M",L124),TRUE)</f>
        <v>2.548366068213705E-2</v>
      </c>
      <c r="P124" s="545">
        <f>_xll.qlOvernightIndexedSwapFairRate(N124,Trigger)</f>
        <v>2.2859526182500121E-2</v>
      </c>
      <c r="Q124" s="547">
        <f t="shared" si="5"/>
        <v>2.6241344996369292E-3</v>
      </c>
    </row>
    <row r="125" spans="5:17" x14ac:dyDescent="0.2">
      <c r="E125" s="538"/>
      <c r="F125" s="538"/>
      <c r="G125" s="537"/>
      <c r="I125" s="537"/>
      <c r="J125" s="537"/>
      <c r="L125" s="553">
        <f>_xll.qlCalendarAdvance(Calendar,L124,"1M","f",,Trigger)</f>
        <v>45701</v>
      </c>
      <c r="M125" s="544">
        <f>_xll.qlCalendarAdvance(Calendar,L125,"3M","f",,Trigger)</f>
        <v>45790</v>
      </c>
      <c r="N125" s="546" t="str">
        <f>_xll.qlMakeDatedOIS(,L125,M125,"eonia",,,,,Trigger)</f>
        <v>obj_00796#0000</v>
      </c>
      <c r="O125" s="545">
        <f>_xll.qlIndexFixing("euribor6m",_xll.qlInterestRateIndexFixingDate("Euribor6M",L125),TRUE)</f>
        <v>2.556112023635175E-2</v>
      </c>
      <c r="P125" s="545">
        <f>_xll.qlOvernightIndexedSwapFairRate(N125,Trigger)</f>
        <v>2.285807748167357E-2</v>
      </c>
      <c r="Q125" s="547">
        <f t="shared" si="5"/>
        <v>2.7030427546781803E-3</v>
      </c>
    </row>
    <row r="126" spans="5:17" x14ac:dyDescent="0.2">
      <c r="E126" s="538"/>
      <c r="F126" s="538"/>
      <c r="G126" s="537"/>
      <c r="I126" s="537"/>
      <c r="J126" s="537"/>
      <c r="L126" s="553">
        <f>_xll.qlCalendarAdvance(Calendar,L125,"1M","f",,Trigger)</f>
        <v>45729</v>
      </c>
      <c r="M126" s="544">
        <f>_xll.qlCalendarAdvance(Calendar,L126,"3M","f",,Trigger)</f>
        <v>45821</v>
      </c>
      <c r="N126" s="546" t="str">
        <f>_xll.qlMakeDatedOIS(,L126,M126,"eonia",,,,,Trigger)</f>
        <v>obj_00798#0000</v>
      </c>
      <c r="O126" s="545">
        <f>_xll.qlIndexFixing("euribor6m",_xll.qlInterestRateIndexFixingDate("Euribor6M",L126),TRUE)</f>
        <v>2.5640526159330403E-2</v>
      </c>
      <c r="P126" s="545">
        <f>_xll.qlOvernightIndexedSwapFairRate(N126,Trigger)</f>
        <v>2.2860250578799066E-2</v>
      </c>
      <c r="Q126" s="547">
        <f t="shared" si="5"/>
        <v>2.780275580531337E-3</v>
      </c>
    </row>
    <row r="127" spans="5:17" x14ac:dyDescent="0.2">
      <c r="E127" s="538"/>
      <c r="F127" s="538"/>
      <c r="G127" s="537"/>
      <c r="I127" s="537"/>
      <c r="J127" s="537"/>
      <c r="L127" s="553">
        <f>_xll.qlCalendarAdvance(Calendar,L126,"1M","f",,Trigger)</f>
        <v>45761</v>
      </c>
      <c r="M127" s="544">
        <f>_xll.qlCalendarAdvance(Calendar,L127,"3M","f",,Trigger)</f>
        <v>45852</v>
      </c>
      <c r="N127" s="546" t="str">
        <f>_xll.qlMakeDatedOIS(,L127,M127,"eonia",,,,,Trigger)</f>
        <v>obj_0079a#0000</v>
      </c>
      <c r="O127" s="545">
        <f>_xll.qlIndexFixing("euribor6m",_xll.qlInterestRateIndexFixingDate("Euribor6M",L127),TRUE)</f>
        <v>2.5709906676647087E-2</v>
      </c>
      <c r="P127" s="545">
        <f>_xll.qlOvernightIndexedSwapFairRate(N127,Trigger)</f>
        <v>2.2859526182500121E-2</v>
      </c>
      <c r="Q127" s="547">
        <f t="shared" si="5"/>
        <v>2.850380494146966E-3</v>
      </c>
    </row>
    <row r="128" spans="5:17" x14ac:dyDescent="0.2">
      <c r="E128" s="538"/>
      <c r="F128" s="538"/>
      <c r="G128" s="537"/>
      <c r="I128" s="537"/>
      <c r="J128" s="537"/>
      <c r="L128" s="553">
        <f>_xll.qlCalendarAdvance(Calendar,L127,"1M","f",,Trigger)</f>
        <v>45791</v>
      </c>
      <c r="M128" s="544">
        <f>_xll.qlCalendarAdvance(Calendar,L128,"3M","f",,Trigger)</f>
        <v>45883</v>
      </c>
      <c r="N128" s="546" t="str">
        <f>_xll.qlMakeDatedOIS(,L128,M128,"eonia",,,,,Trigger)</f>
        <v>obj_0079c#0000</v>
      </c>
      <c r="O128" s="545">
        <f>_xll.qlIndexFixing("euribor6m",_xll.qlInterestRateIndexFixingDate("Euribor6M",L128),TRUE)</f>
        <v>2.5779538751627879E-2</v>
      </c>
      <c r="P128" s="545">
        <f>_xll.qlOvernightIndexedSwapFairRate(N128,Trigger)</f>
        <v>2.2860250578799073E-2</v>
      </c>
      <c r="Q128" s="547">
        <f t="shared" si="5"/>
        <v>2.9192881728288059E-3</v>
      </c>
    </row>
    <row r="129" spans="5:17" x14ac:dyDescent="0.2">
      <c r="E129" s="538"/>
      <c r="F129" s="538"/>
      <c r="G129" s="537"/>
      <c r="I129" s="537"/>
      <c r="J129" s="537"/>
      <c r="L129" s="553">
        <f>_xll.qlCalendarAdvance(Calendar,L128,"1M","f",,Trigger)</f>
        <v>45824</v>
      </c>
      <c r="M129" s="544">
        <f>_xll.qlCalendarAdvance(Calendar,L129,"3M","f",,Trigger)</f>
        <v>45916</v>
      </c>
      <c r="N129" s="546" t="str">
        <f>_xll.qlMakeDatedOIS(,L129,M129,"eonia",,,,,Trigger)</f>
        <v>obj_0079e#0000</v>
      </c>
      <c r="O129" s="545">
        <f>_xll.qlIndexFixing("euribor6m",_xll.qlInterestRateIndexFixingDate("Euribor6M",L129),TRUE)</f>
        <v>2.5848442272813393E-2</v>
      </c>
      <c r="P129" s="545">
        <f>_xll.qlOvernightIndexedSwapFairRate(N129,Trigger)</f>
        <v>2.3232185133807599E-2</v>
      </c>
      <c r="Q129" s="547">
        <f t="shared" si="5"/>
        <v>2.6162571390057933E-3</v>
      </c>
    </row>
    <row r="130" spans="5:17" x14ac:dyDescent="0.2">
      <c r="E130" s="538"/>
      <c r="F130" s="538"/>
      <c r="G130" s="537"/>
      <c r="I130" s="537"/>
      <c r="J130" s="537"/>
      <c r="L130" s="553">
        <f>_xll.qlCalendarAdvance(Calendar,L129,"1M","f",,Trigger)</f>
        <v>45854</v>
      </c>
      <c r="M130" s="544">
        <f>_xll.qlCalendarAdvance(Calendar,L130,"3M","f",,Trigger)</f>
        <v>45946</v>
      </c>
      <c r="N130" s="546" t="str">
        <f>_xll.qlMakeDatedOIS(,L130,M130,"eonia",,,,,Trigger)</f>
        <v>obj_007a0#0000</v>
      </c>
      <c r="O130" s="545">
        <f>_xll.qlIndexFixing("euribor6m",_xll.qlInterestRateIndexFixingDate("Euribor6M",L130),TRUE)</f>
        <v>2.5911505626753328E-2</v>
      </c>
      <c r="P130" s="545">
        <f>_xll.qlOvernightIndexedSwapFairRate(N130,Trigger)</f>
        <v>2.358090569970514E-2</v>
      </c>
      <c r="Q130" s="547">
        <f t="shared" si="5"/>
        <v>2.3305999270481874E-3</v>
      </c>
    </row>
    <row r="131" spans="5:17" x14ac:dyDescent="0.2">
      <c r="E131" s="538"/>
      <c r="F131" s="538"/>
      <c r="G131" s="537"/>
      <c r="I131" s="537"/>
      <c r="J131" s="537"/>
      <c r="L131" s="553">
        <f>_xll.qlCalendarAdvance(Calendar,L130,"1M","f",,Trigger)</f>
        <v>45887</v>
      </c>
      <c r="M131" s="544">
        <f>_xll.qlCalendarAdvance(Calendar,L131,"3M","f",,Trigger)</f>
        <v>45979</v>
      </c>
      <c r="N131" s="546" t="str">
        <f>_xll.qlMakeDatedOIS(,L131,M131,"eonia",,,,,Trigger)</f>
        <v>obj_007a2#0000</v>
      </c>
      <c r="O131" s="545">
        <f>_xll.qlIndexFixing("euribor6m",_xll.qlInterestRateIndexFixingDate("Euribor6M",L131),TRUE)</f>
        <v>2.5975207417266277E-2</v>
      </c>
      <c r="P131" s="545">
        <f>_xll.qlOvernightIndexedSwapFairRate(N131,Trigger)</f>
        <v>2.3929657159279864E-2</v>
      </c>
      <c r="Q131" s="547">
        <f t="shared" ref="Q131:Q194" si="6">O131-P131</f>
        <v>2.0455502579864136E-3</v>
      </c>
    </row>
    <row r="132" spans="5:17" x14ac:dyDescent="0.2">
      <c r="E132" s="538"/>
      <c r="F132" s="538"/>
      <c r="G132" s="537"/>
      <c r="I132" s="537"/>
      <c r="J132" s="537"/>
      <c r="L132" s="553">
        <f>_xll.qlCalendarAdvance(Calendar,L131,"1M","f",,Trigger)</f>
        <v>45918</v>
      </c>
      <c r="M132" s="544">
        <f>_xll.qlCalendarAdvance(Calendar,L132,"3M","f",,Trigger)</f>
        <v>46009</v>
      </c>
      <c r="N132" s="546" t="str">
        <f>_xll.qlMakeDatedOIS(,L132,M132,"eonia",,,,,Trigger)</f>
        <v>obj_007a4#0000</v>
      </c>
      <c r="O132" s="545">
        <f>_xll.qlIndexFixing("euribor6m",_xll.qlInterestRateIndexFixingDate("Euribor6M",L132),TRUE)</f>
        <v>2.6026341987336915E-2</v>
      </c>
      <c r="P132" s="545">
        <f>_xll.qlOvernightIndexedSwapFairRate(N132,Trigger)</f>
        <v>2.3928863475749042E-2</v>
      </c>
      <c r="Q132" s="547">
        <f t="shared" si="6"/>
        <v>2.0974785115878726E-3</v>
      </c>
    </row>
    <row r="133" spans="5:17" x14ac:dyDescent="0.2">
      <c r="E133" s="538"/>
      <c r="F133" s="538"/>
      <c r="G133" s="537"/>
      <c r="I133" s="537"/>
      <c r="J133" s="537"/>
      <c r="L133" s="553">
        <f>_xll.qlCalendarAdvance(Calendar,L132,"1M","f",,Trigger)</f>
        <v>45950</v>
      </c>
      <c r="M133" s="544">
        <f>_xll.qlCalendarAdvance(Calendar,L133,"3M","f",,Trigger)</f>
        <v>46042</v>
      </c>
      <c r="N133" s="546" t="str">
        <f>_xll.qlMakeDatedOIS(,L133,M133,"eonia",,,,,Trigger)</f>
        <v>obj_007a6#0000</v>
      </c>
      <c r="O133" s="545">
        <f>_xll.qlIndexFixing("euribor6m",_xll.qlInterestRateIndexFixingDate("Euribor6M",L133),TRUE)</f>
        <v>2.6083027030524966E-2</v>
      </c>
      <c r="P133" s="545">
        <f>_xll.qlOvernightIndexedSwapFairRate(N133,Trigger)</f>
        <v>2.3929657159279864E-2</v>
      </c>
      <c r="Q133" s="547">
        <f t="shared" si="6"/>
        <v>2.1533698712451026E-3</v>
      </c>
    </row>
    <row r="134" spans="5:17" x14ac:dyDescent="0.2">
      <c r="E134" s="538"/>
      <c r="F134" s="538"/>
      <c r="G134" s="537"/>
      <c r="I134" s="537"/>
      <c r="J134" s="537"/>
      <c r="L134" s="553">
        <f>_xll.qlCalendarAdvance(Calendar,L133,"1M","f",,Trigger)</f>
        <v>45981</v>
      </c>
      <c r="M134" s="544">
        <f>_xll.qlCalendarAdvance(Calendar,L134,"3M","f",,Trigger)</f>
        <v>46073</v>
      </c>
      <c r="N134" s="546" t="str">
        <f>_xll.qlMakeDatedOIS(,L134,M134,"eonia",,,,,Trigger)</f>
        <v>obj_007a8#0000</v>
      </c>
      <c r="O134" s="545">
        <f>_xll.qlIndexFixing("euribor6m",_xll.qlInterestRateIndexFixingDate("Euribor6M",L134),TRUE)</f>
        <v>2.6131210663212626E-2</v>
      </c>
      <c r="P134" s="545">
        <f>_xll.qlOvernightIndexedSwapFairRate(N134,Trigger)</f>
        <v>2.3929657159279867E-2</v>
      </c>
      <c r="Q134" s="547">
        <f t="shared" si="6"/>
        <v>2.2015535039327586E-3</v>
      </c>
    </row>
    <row r="135" spans="5:17" x14ac:dyDescent="0.2">
      <c r="E135" s="538"/>
      <c r="F135" s="538"/>
      <c r="G135" s="537"/>
      <c r="I135" s="537"/>
      <c r="J135" s="537"/>
      <c r="L135" s="553">
        <f>_xll.qlCalendarAdvance(Calendar,L134,"1M","f",,Trigger)</f>
        <v>46013</v>
      </c>
      <c r="M135" s="544">
        <f>_xll.qlCalendarAdvance(Calendar,L135,"3M","f",,Trigger)</f>
        <v>46104</v>
      </c>
      <c r="N135" s="546" t="str">
        <f>_xll.qlMakeDatedOIS(,L135,M135,"eonia",,,,,Trigger)</f>
        <v>obj_007aa#0000</v>
      </c>
      <c r="O135" s="545">
        <f>_xll.qlIndexFixing("euribor6m",_xll.qlInterestRateIndexFixingDate("Euribor6M",L135),TRUE)</f>
        <v>2.6180891147305003E-2</v>
      </c>
      <c r="P135" s="545">
        <f>_xll.qlOvernightIndexedSwapFairRate(N135,Trigger)</f>
        <v>2.3928863475749046E-2</v>
      </c>
      <c r="Q135" s="547">
        <f t="shared" si="6"/>
        <v>2.2520276715559569E-3</v>
      </c>
    </row>
    <row r="136" spans="5:17" x14ac:dyDescent="0.2">
      <c r="E136" s="538"/>
      <c r="F136" s="538"/>
      <c r="G136" s="537"/>
      <c r="I136" s="537"/>
      <c r="J136" s="537"/>
      <c r="L136" s="553">
        <f>_xll.qlCalendarAdvance(Calendar,L135,"1M","f",,Trigger)</f>
        <v>46044</v>
      </c>
      <c r="M136" s="544">
        <f>_xll.qlCalendarAdvance(Calendar,L136,"3M","f",,Trigger)</f>
        <v>46134</v>
      </c>
      <c r="N136" s="546" t="str">
        <f>_xll.qlMakeDatedOIS(,L136,M136,"eonia",,,,,Trigger)</f>
        <v>obj_007ac#0000</v>
      </c>
      <c r="O136" s="545">
        <f>_xll.qlIndexFixing("euribor6m",_xll.qlInterestRateIndexFixingDate("Euribor6M",L136),TRUE)</f>
        <v>2.6222487115560418E-2</v>
      </c>
      <c r="P136" s="545">
        <f>_xll.qlOvernightIndexedSwapFairRate(N136,Trigger)</f>
        <v>2.3928069827299225E-2</v>
      </c>
      <c r="Q136" s="547">
        <f t="shared" si="6"/>
        <v>2.2944172882611927E-3</v>
      </c>
    </row>
    <row r="137" spans="5:17" x14ac:dyDescent="0.2">
      <c r="E137" s="538"/>
      <c r="F137" s="538"/>
      <c r="G137" s="537"/>
      <c r="I137" s="537"/>
      <c r="J137" s="537"/>
      <c r="L137" s="553">
        <f>_xll.qlCalendarAdvance(Calendar,L136,"1M","f",,Trigger)</f>
        <v>46076</v>
      </c>
      <c r="M137" s="544">
        <f>_xll.qlCalendarAdvance(Calendar,L137,"3M","f",,Trigger)</f>
        <v>46167</v>
      </c>
      <c r="N137" s="546" t="str">
        <f>_xll.qlMakeDatedOIS(,L137,M137,"eonia",,,,,Trigger)</f>
        <v>obj_007ae#0000</v>
      </c>
      <c r="O137" s="545">
        <f>_xll.qlIndexFixing("euribor6m",_xll.qlInterestRateIndexFixingDate("Euribor6M",L137),TRUE)</f>
        <v>2.62651615471413E-2</v>
      </c>
      <c r="P137" s="545">
        <f>_xll.qlOvernightIndexedSwapFairRate(N137,Trigger)</f>
        <v>2.3928863475749042E-2</v>
      </c>
      <c r="Q137" s="547">
        <f t="shared" si="6"/>
        <v>2.3362980713922572E-3</v>
      </c>
    </row>
    <row r="138" spans="5:17" x14ac:dyDescent="0.2">
      <c r="E138" s="538"/>
      <c r="F138" s="538"/>
      <c r="G138" s="537"/>
      <c r="I138" s="537"/>
      <c r="J138" s="537"/>
      <c r="L138" s="553">
        <f>_xll.qlCalendarAdvance(Calendar,L137,"1M","f",,Trigger)</f>
        <v>46104</v>
      </c>
      <c r="M138" s="544">
        <f>_xll.qlCalendarAdvance(Calendar,L138,"3M","f",,Trigger)</f>
        <v>46196</v>
      </c>
      <c r="N138" s="546" t="str">
        <f>_xll.qlMakeDatedOIS(,L138,M138,"eonia",,,,,Trigger)</f>
        <v>obj_007b0#0000</v>
      </c>
      <c r="O138" s="545">
        <f>_xll.qlIndexFixing("euribor6m",_xll.qlInterestRateIndexFixingDate("Euribor6M",L138),TRUE)</f>
        <v>2.6301257027665698E-2</v>
      </c>
      <c r="P138" s="545">
        <f>_xll.qlOvernightIndexedSwapFairRate(N138,Trigger)</f>
        <v>2.3929657159279867E-2</v>
      </c>
      <c r="Q138" s="547">
        <f t="shared" si="6"/>
        <v>2.3715998683858305E-3</v>
      </c>
    </row>
    <row r="139" spans="5:17" x14ac:dyDescent="0.2">
      <c r="E139" s="538"/>
      <c r="F139" s="538"/>
      <c r="G139" s="537"/>
      <c r="I139" s="537"/>
      <c r="J139" s="537"/>
      <c r="L139" s="553">
        <f>_xll.qlCalendarAdvance(Calendar,L138,"1M","f",,Trigger)</f>
        <v>46135</v>
      </c>
      <c r="M139" s="544">
        <f>_xll.qlCalendarAdvance(Calendar,L139,"3M","f",,Trigger)</f>
        <v>46226</v>
      </c>
      <c r="N139" s="546" t="str">
        <f>_xll.qlMakeDatedOIS(,L139,M139,"eonia",,,,,Trigger)</f>
        <v>obj_007b2#0000</v>
      </c>
      <c r="O139" s="545">
        <f>_xll.qlIndexFixing("euribor6m",_xll.qlInterestRateIndexFixingDate("Euribor6M",L139),TRUE)</f>
        <v>2.6333567243348167E-2</v>
      </c>
      <c r="P139" s="545">
        <f>_xll.qlOvernightIndexedSwapFairRate(N139,Trigger)</f>
        <v>2.3928863475749042E-2</v>
      </c>
      <c r="Q139" s="547">
        <f t="shared" si="6"/>
        <v>2.4047037675991242E-3</v>
      </c>
    </row>
    <row r="140" spans="5:17" x14ac:dyDescent="0.2">
      <c r="E140" s="538"/>
      <c r="F140" s="538"/>
      <c r="G140" s="537"/>
      <c r="I140" s="537"/>
      <c r="J140" s="537"/>
      <c r="L140" s="553">
        <f>_xll.qlCalendarAdvance(Calendar,L139,"1M","f",,Trigger)</f>
        <v>46167</v>
      </c>
      <c r="M140" s="544">
        <f>_xll.qlCalendarAdvance(Calendar,L140,"3M","f",,Trigger)</f>
        <v>46259</v>
      </c>
      <c r="N140" s="546" t="str">
        <f>_xll.qlMakeDatedOIS(,L140,M140,"eonia",,,,,Trigger)</f>
        <v>obj_007b4#0000</v>
      </c>
      <c r="O140" s="545">
        <f>_xll.qlIndexFixing("euribor6m",_xll.qlInterestRateIndexFixingDate("Euribor6M",L140),TRUE)</f>
        <v>2.636692170204627E-2</v>
      </c>
      <c r="P140" s="545">
        <f>_xll.qlOvernightIndexedSwapFairRate(N140,Trigger)</f>
        <v>2.4011328316282391E-2</v>
      </c>
      <c r="Q140" s="547">
        <f t="shared" si="6"/>
        <v>2.3555933857638787E-3</v>
      </c>
    </row>
    <row r="141" spans="5:17" x14ac:dyDescent="0.2">
      <c r="E141" s="538"/>
      <c r="F141" s="538"/>
      <c r="G141" s="537"/>
      <c r="I141" s="537"/>
      <c r="J141" s="537"/>
      <c r="L141" s="553">
        <f>_xll.qlCalendarAdvance(Calendar,L140,"1M","f",,Trigger)</f>
        <v>46198</v>
      </c>
      <c r="M141" s="544">
        <f>_xll.qlCalendarAdvance(Calendar,L141,"3M","f",,Trigger)</f>
        <v>46290</v>
      </c>
      <c r="N141" s="546" t="str">
        <f>_xll.qlMakeDatedOIS(,L141,M141,"eonia",,,,,Trigger)</f>
        <v>obj_007b6#0000</v>
      </c>
      <c r="O141" s="545">
        <f>_xll.qlIndexFixing("euribor6m",_xll.qlInterestRateIndexFixingDate("Euribor6M",L141),TRUE)</f>
        <v>2.6397992233697723E-2</v>
      </c>
      <c r="P141" s="545">
        <f>_xll.qlOvernightIndexedSwapFairRate(N141,Trigger)</f>
        <v>2.4327820052610485E-2</v>
      </c>
      <c r="Q141" s="547">
        <f t="shared" si="6"/>
        <v>2.0701721810872376E-3</v>
      </c>
    </row>
    <row r="142" spans="5:17" x14ac:dyDescent="0.2">
      <c r="E142" s="538"/>
      <c r="F142" s="538"/>
      <c r="G142" s="537"/>
      <c r="I142" s="537"/>
      <c r="J142" s="537"/>
      <c r="L142" s="553">
        <f>_xll.qlCalendarAdvance(Calendar,L141,"1M","f",,Trigger)</f>
        <v>46230</v>
      </c>
      <c r="M142" s="544">
        <f>_xll.qlCalendarAdvance(Calendar,L142,"3M","f",,Trigger)</f>
        <v>46322</v>
      </c>
      <c r="N142" s="546" t="str">
        <f>_xll.qlMakeDatedOIS(,L142,M142,"eonia",,,,,Trigger)</f>
        <v>obj_007b8#0000</v>
      </c>
      <c r="O142" s="545">
        <f>_xll.qlIndexFixing("euribor6m",_xll.qlInterestRateIndexFixingDate("Euribor6M",L142),TRUE)</f>
        <v>2.6422097605535013E-2</v>
      </c>
      <c r="P142" s="545">
        <f>_xll.qlOvernightIndexedSwapFairRate(N142,Trigger)</f>
        <v>2.4654547886239657E-2</v>
      </c>
      <c r="Q142" s="547">
        <f t="shared" si="6"/>
        <v>1.7675497192953561E-3</v>
      </c>
    </row>
    <row r="143" spans="5:17" x14ac:dyDescent="0.2">
      <c r="E143" s="538"/>
      <c r="F143" s="538"/>
      <c r="G143" s="537"/>
      <c r="I143" s="537"/>
      <c r="J143" s="537"/>
      <c r="L143" s="553">
        <f>_xll.qlCalendarAdvance(Calendar,L142,"1M","f",,Trigger)</f>
        <v>46261</v>
      </c>
      <c r="M143" s="544">
        <f>_xll.qlCalendarAdvance(Calendar,L143,"3M","f",,Trigger)</f>
        <v>46353</v>
      </c>
      <c r="N143" s="546" t="str">
        <f>_xll.qlMakeDatedOIS(,L143,M143,"eonia",,,,,Trigger)</f>
        <v>obj_007ba#0000</v>
      </c>
      <c r="O143" s="545">
        <f>_xll.qlIndexFixing("euribor6m",_xll.qlInterestRateIndexFixingDate("Euribor6M",L143),TRUE)</f>
        <v>2.644468665535615E-2</v>
      </c>
      <c r="P143" s="545">
        <f>_xll.qlOvernightIndexedSwapFairRate(N143,Trigger)</f>
        <v>2.4868977761272355E-2</v>
      </c>
      <c r="Q143" s="547">
        <f t="shared" si="6"/>
        <v>1.5757088940837952E-3</v>
      </c>
    </row>
    <row r="144" spans="5:17" x14ac:dyDescent="0.2">
      <c r="E144" s="538"/>
      <c r="F144" s="538"/>
      <c r="G144" s="537"/>
      <c r="I144" s="537"/>
      <c r="J144" s="537"/>
      <c r="L144" s="553">
        <f>_xll.qlCalendarAdvance(Calendar,L143,"1M","f",,Trigger)</f>
        <v>46293</v>
      </c>
      <c r="M144" s="544">
        <f>_xll.qlCalendarAdvance(Calendar,L144,"3M","f",,Trigger)</f>
        <v>46384</v>
      </c>
      <c r="N144" s="546" t="str">
        <f>_xll.qlMakeDatedOIS(,L144,M144,"eonia",,,,,Trigger)</f>
        <v>obj_007bc#0000</v>
      </c>
      <c r="O144" s="545">
        <f>_xll.qlIndexFixing("euribor6m",_xll.qlInterestRateIndexFixingDate("Euribor6M",L144),TRUE)</f>
        <v>2.6467370440668343E-2</v>
      </c>
      <c r="P144" s="545">
        <f>_xll.qlOvernightIndexedSwapFairRate(N144,Trigger)</f>
        <v>2.4868120614288707E-2</v>
      </c>
      <c r="Q144" s="547">
        <f t="shared" si="6"/>
        <v>1.5992498263796354E-3</v>
      </c>
    </row>
    <row r="145" spans="5:17" x14ac:dyDescent="0.2">
      <c r="E145" s="538"/>
      <c r="F145" s="538"/>
      <c r="G145" s="537"/>
      <c r="I145" s="537"/>
      <c r="J145" s="537"/>
      <c r="L145" s="553">
        <f>_xll.qlCalendarAdvance(Calendar,L144,"1M","f",,Trigger)</f>
        <v>46323</v>
      </c>
      <c r="M145" s="544">
        <f>_xll.qlCalendarAdvance(Calendar,L145,"3M","f",,Trigger)</f>
        <v>46415</v>
      </c>
      <c r="N145" s="546" t="str">
        <f>_xll.qlMakeDatedOIS(,L145,M145,"eonia",,,,,Trigger)</f>
        <v>obj_007be#0000</v>
      </c>
      <c r="O145" s="545">
        <f>_xll.qlIndexFixing("euribor6m",_xll.qlInterestRateIndexFixingDate("Euribor6M",L145),TRUE)</f>
        <v>2.6485542092889038E-2</v>
      </c>
      <c r="P145" s="545">
        <f>_xll.qlOvernightIndexedSwapFairRate(N145,Trigger)</f>
        <v>2.4868977761272348E-2</v>
      </c>
      <c r="Q145" s="547">
        <f t="shared" si="6"/>
        <v>1.6165643316166899E-3</v>
      </c>
    </row>
    <row r="146" spans="5:17" x14ac:dyDescent="0.2">
      <c r="E146" s="538"/>
      <c r="F146" s="538"/>
      <c r="G146" s="537"/>
      <c r="I146" s="537"/>
      <c r="J146" s="537"/>
      <c r="L146" s="553">
        <f>_xll.qlCalendarAdvance(Calendar,L145,"1M","f",,Trigger)</f>
        <v>46356</v>
      </c>
      <c r="M146" s="544">
        <f>_xll.qlCalendarAdvance(Calendar,L146,"3M","f",,Trigger)</f>
        <v>46447</v>
      </c>
      <c r="N146" s="546" t="str">
        <f>_xll.qlMakeDatedOIS(,L146,M146,"eonia",,,,,Trigger)</f>
        <v>obj_007c0#0000</v>
      </c>
      <c r="O146" s="545">
        <f>_xll.qlIndexFixing("euribor6m",_xll.qlInterestRateIndexFixingDate("Euribor6M",L146),TRUE)</f>
        <v>2.6504873051804396E-2</v>
      </c>
      <c r="P146" s="545">
        <f>_xll.qlOvernightIndexedSwapFairRate(N146,Trigger)</f>
        <v>2.4868120614289582E-2</v>
      </c>
      <c r="Q146" s="547">
        <f t="shared" si="6"/>
        <v>1.6367524375148143E-3</v>
      </c>
    </row>
    <row r="147" spans="5:17" x14ac:dyDescent="0.2">
      <c r="E147" s="538"/>
      <c r="F147" s="538"/>
      <c r="G147" s="537"/>
      <c r="I147" s="537"/>
      <c r="J147" s="537"/>
      <c r="L147" s="553">
        <f>_xll.qlCalendarAdvance(Calendar,L146,"1M","f",,Trigger)</f>
        <v>46386</v>
      </c>
      <c r="M147" s="544">
        <f>_xll.qlCalendarAdvance(Calendar,L147,"3M","f",,Trigger)</f>
        <v>46476</v>
      </c>
      <c r="N147" s="546" t="str">
        <f>_xll.qlMakeDatedOIS(,L147,M147,"eonia",,,,,Trigger)</f>
        <v>obj_007c2#0000</v>
      </c>
      <c r="O147" s="545">
        <f>_xll.qlIndexFixing("euribor6m",_xll.qlInterestRateIndexFixingDate("Euribor6M",L147),TRUE)</f>
        <v>2.6520571357613956E-2</v>
      </c>
      <c r="P147" s="545">
        <f>_xll.qlOvernightIndexedSwapFairRate(N147,Trigger)</f>
        <v>2.4867263506675563E-2</v>
      </c>
      <c r="Q147" s="547">
        <f t="shared" si="6"/>
        <v>1.6533078509383924E-3</v>
      </c>
    </row>
    <row r="148" spans="5:17" x14ac:dyDescent="0.2">
      <c r="E148" s="538"/>
      <c r="F148" s="538"/>
      <c r="G148" s="537"/>
      <c r="I148" s="537"/>
      <c r="J148" s="537"/>
      <c r="L148" s="553">
        <f>_xll.qlCalendarAdvance(Calendar,L147,"1M","f",,Trigger)</f>
        <v>46419</v>
      </c>
      <c r="M148" s="544">
        <f>_xll.qlCalendarAdvance(Calendar,L148,"3M","f",,Trigger)</f>
        <v>46510</v>
      </c>
      <c r="N148" s="546" t="str">
        <f>_xll.qlMakeDatedOIS(,L148,M148,"eonia",,,,,Trigger)</f>
        <v>obj_007c4#0000</v>
      </c>
      <c r="O148" s="545">
        <f>_xll.qlIndexFixing("euribor6m",_xll.qlInterestRateIndexFixingDate("Euribor6M",L148),TRUE)</f>
        <v>2.6535776619780682E-2</v>
      </c>
      <c r="P148" s="545">
        <f>_xll.qlOvernightIndexedSwapFairRate(N148,Trigger)</f>
        <v>2.4868120614289585E-2</v>
      </c>
      <c r="Q148" s="547">
        <f t="shared" si="6"/>
        <v>1.6676560054910972E-3</v>
      </c>
    </row>
    <row r="149" spans="5:17" x14ac:dyDescent="0.2">
      <c r="E149" s="538"/>
      <c r="F149" s="538"/>
      <c r="G149" s="537"/>
      <c r="I149" s="537"/>
      <c r="J149" s="537"/>
      <c r="L149" s="553">
        <f>_xll.qlCalendarAdvance(Calendar,L148,"1M","f",,Trigger)</f>
        <v>46447</v>
      </c>
      <c r="M149" s="544">
        <f>_xll.qlCalendarAdvance(Calendar,L149,"3M","f",,Trigger)</f>
        <v>46539</v>
      </c>
      <c r="N149" s="546" t="str">
        <f>_xll.qlMakeDatedOIS(,L149,M149,"eonia",,,,,Trigger)</f>
        <v>obj_007c6#0000</v>
      </c>
      <c r="O149" s="545">
        <f>_xll.qlIndexFixing("euribor6m",_xll.qlInterestRateIndexFixingDate("Euribor6M",L149),TRUE)</f>
        <v>2.6549243255941008E-2</v>
      </c>
      <c r="P149" s="545">
        <f>_xll.qlOvernightIndexedSwapFairRate(N149,Trigger)</f>
        <v>2.4868977761272348E-2</v>
      </c>
      <c r="Q149" s="547">
        <f t="shared" si="6"/>
        <v>1.6802654946686604E-3</v>
      </c>
    </row>
    <row r="150" spans="5:17" x14ac:dyDescent="0.2">
      <c r="E150" s="538"/>
      <c r="F150" s="538"/>
      <c r="G150" s="537"/>
      <c r="I150" s="537"/>
      <c r="J150" s="537"/>
      <c r="L150" s="553">
        <f>_xll.qlCalendarAdvance(Calendar,L149,"1M","f",,Trigger)</f>
        <v>46478</v>
      </c>
      <c r="M150" s="544">
        <f>_xll.qlCalendarAdvance(Calendar,L150,"3M","f",,Trigger)</f>
        <v>46569</v>
      </c>
      <c r="N150" s="546" t="str">
        <f>_xll.qlMakeDatedOIS(,L150,M150,"eonia",,,,,Trigger)</f>
        <v>obj_007c8#0000</v>
      </c>
      <c r="O150" s="545">
        <f>_xll.qlIndexFixing("euribor6m",_xll.qlInterestRateIndexFixingDate("Euribor6M",L150),TRUE)</f>
        <v>2.6558676044226636E-2</v>
      </c>
      <c r="P150" s="545">
        <f>_xll.qlOvernightIndexedSwapFairRate(N150,Trigger)</f>
        <v>2.4868120614289582E-2</v>
      </c>
      <c r="Q150" s="547">
        <f t="shared" si="6"/>
        <v>1.6905554299370545E-3</v>
      </c>
    </row>
    <row r="151" spans="5:17" x14ac:dyDescent="0.2">
      <c r="E151" s="538"/>
      <c r="F151" s="538"/>
      <c r="G151" s="537"/>
      <c r="I151" s="537"/>
      <c r="J151" s="537"/>
      <c r="L151" s="553">
        <f>_xll.qlCalendarAdvance(Calendar,L150,"1M","f",,Trigger)</f>
        <v>46510</v>
      </c>
      <c r="M151" s="544">
        <f>_xll.qlCalendarAdvance(Calendar,L151,"3M","f",,Trigger)</f>
        <v>46602</v>
      </c>
      <c r="N151" s="546" t="str">
        <f>_xll.qlMakeDatedOIS(,L151,M151,"eonia",,,,,Trigger)</f>
        <v>obj_007ca#0000</v>
      </c>
      <c r="O151" s="545">
        <f>_xll.qlIndexFixing("euribor6m",_xll.qlInterestRateIndexFixingDate("Euribor6M",L151),TRUE)</f>
        <v>2.6568647238681159E-2</v>
      </c>
      <c r="P151" s="545">
        <f>_xll.qlOvernightIndexedSwapFairRate(N151,Trigger)</f>
        <v>2.4868977761272351E-2</v>
      </c>
      <c r="Q151" s="547">
        <f t="shared" si="6"/>
        <v>1.6996694774088078E-3</v>
      </c>
    </row>
    <row r="152" spans="5:17" x14ac:dyDescent="0.2">
      <c r="E152" s="538"/>
      <c r="F152" s="538"/>
      <c r="G152" s="537"/>
      <c r="I152" s="537"/>
      <c r="J152" s="537"/>
      <c r="L152" s="553">
        <f>_xll.qlCalendarAdvance(Calendar,L151,"1M","f",,Trigger)</f>
        <v>46541</v>
      </c>
      <c r="M152" s="544">
        <f>_xll.qlCalendarAdvance(Calendar,L152,"3M","f",,Trigger)</f>
        <v>46633</v>
      </c>
      <c r="N152" s="546" t="str">
        <f>_xll.qlMakeDatedOIS(,L152,M152,"eonia",,,,,Trigger)</f>
        <v>obj_007cc#0000</v>
      </c>
      <c r="O152" s="545">
        <f>_xll.qlIndexFixing("euribor6m",_xll.qlInterestRateIndexFixingDate("Euribor6M",L152),TRUE)</f>
        <v>2.6574264899501255E-2</v>
      </c>
      <c r="P152" s="545">
        <f>_xll.qlOvernightIndexedSwapFairRate(N152,Trigger)</f>
        <v>2.4868977761272355E-2</v>
      </c>
      <c r="Q152" s="547">
        <f t="shared" si="6"/>
        <v>1.7052871382289003E-3</v>
      </c>
    </row>
    <row r="153" spans="5:17" x14ac:dyDescent="0.2">
      <c r="E153" s="538"/>
      <c r="F153" s="538"/>
      <c r="G153" s="537"/>
      <c r="I153" s="537"/>
      <c r="J153" s="537"/>
      <c r="L153" s="553">
        <f>_xll.qlCalendarAdvance(Calendar,L152,"1M","f",,Trigger)</f>
        <v>46573</v>
      </c>
      <c r="M153" s="544">
        <f>_xll.qlCalendarAdvance(Calendar,L153,"3M","f",,Trigger)</f>
        <v>46665</v>
      </c>
      <c r="N153" s="546" t="str">
        <f>_xll.qlMakeDatedOIS(,L153,M153,"eonia",,,,,Trigger)</f>
        <v>obj_007ce#0000</v>
      </c>
      <c r="O153" s="545">
        <f>_xll.qlIndexFixing("euribor6m",_xll.qlInterestRateIndexFixingDate("Euribor6M",L153),TRUE)</f>
        <v>2.6580173106438326E-2</v>
      </c>
      <c r="P153" s="545">
        <f>_xll.qlOvernightIndexedSwapFairRate(N153,Trigger)</f>
        <v>2.4868977761272351E-2</v>
      </c>
      <c r="Q153" s="547">
        <f t="shared" si="6"/>
        <v>1.7111953451659744E-3</v>
      </c>
    </row>
    <row r="154" spans="5:17" x14ac:dyDescent="0.2">
      <c r="E154" s="538"/>
      <c r="F154" s="538"/>
      <c r="G154" s="537"/>
      <c r="I154" s="537"/>
      <c r="J154" s="537"/>
      <c r="L154" s="553">
        <f>_xll.qlCalendarAdvance(Calendar,L153,"1M","f",,Trigger)</f>
        <v>46604</v>
      </c>
      <c r="M154" s="544">
        <f>_xll.qlCalendarAdvance(Calendar,L154,"3M","f",,Trigger)</f>
        <v>46696</v>
      </c>
      <c r="N154" s="546" t="str">
        <f>_xll.qlMakeDatedOIS(,L154,M154,"eonia",,,,,Trigger)</f>
        <v>obj_007d0#0000</v>
      </c>
      <c r="O154" s="545">
        <f>_xll.qlIndexFixing("euribor6m",_xll.qlInterestRateIndexFixingDate("Euribor6M",L154),TRUE)</f>
        <v>2.6584903390040226E-2</v>
      </c>
      <c r="P154" s="545">
        <f>_xll.qlOvernightIndexedSwapFairRate(N154,Trigger)</f>
        <v>2.4868977761273222E-2</v>
      </c>
      <c r="Q154" s="547">
        <f t="shared" si="6"/>
        <v>1.7159256287670038E-3</v>
      </c>
    </row>
    <row r="155" spans="5:17" x14ac:dyDescent="0.2">
      <c r="E155" s="538"/>
      <c r="F155" s="538"/>
      <c r="G155" s="537"/>
      <c r="I155" s="537"/>
      <c r="J155" s="537"/>
      <c r="L155" s="553">
        <f>_xll.qlCalendarAdvance(Calendar,L154,"1M","f",,Trigger)</f>
        <v>46636</v>
      </c>
      <c r="M155" s="544">
        <f>_xll.qlCalendarAdvance(Calendar,L155,"3M","f",,Trigger)</f>
        <v>46727</v>
      </c>
      <c r="N155" s="546" t="str">
        <f>_xll.qlMakeDatedOIS(,L155,M155,"eonia",,,,,Trigger)</f>
        <v>obj_007d2#0000</v>
      </c>
      <c r="O155" s="545">
        <f>_xll.qlIndexFixing("euribor6m",_xll.qlInterestRateIndexFixingDate("Euribor6M",L155),TRUE)</f>
        <v>2.6581930761096526E-2</v>
      </c>
      <c r="P155" s="545">
        <f>_xll.qlOvernightIndexedSwapFairRate(N155,Trigger)</f>
        <v>2.4868120614289585E-2</v>
      </c>
      <c r="Q155" s="547">
        <f t="shared" si="6"/>
        <v>1.7138101468069412E-3</v>
      </c>
    </row>
    <row r="156" spans="5:17" x14ac:dyDescent="0.2">
      <c r="E156" s="538"/>
      <c r="F156" s="538"/>
      <c r="G156" s="537"/>
      <c r="I156" s="537"/>
      <c r="J156" s="537"/>
      <c r="L156" s="553">
        <f>_xll.qlCalendarAdvance(Calendar,L155,"1M","f",,Trigger)</f>
        <v>46666</v>
      </c>
      <c r="M156" s="544">
        <f>_xll.qlCalendarAdvance(Calendar,L156,"3M","f",,Trigger)</f>
        <v>46758</v>
      </c>
      <c r="N156" s="546" t="str">
        <f>_xll.qlMakeDatedOIS(,L156,M156,"eonia",,,,,Trigger)</f>
        <v>obj_007d4#0000</v>
      </c>
      <c r="O156" s="545">
        <f>_xll.qlIndexFixing("euribor6m",_xll.qlInterestRateIndexFixingDate("Euribor6M",L156),TRUE)</f>
        <v>2.658187384186006E-2</v>
      </c>
      <c r="P156" s="545">
        <f>_xll.qlOvernightIndexedSwapFairRate(N156,Trigger)</f>
        <v>2.4868977761272351E-2</v>
      </c>
      <c r="Q156" s="547">
        <f t="shared" si="6"/>
        <v>1.7128960805877086E-3</v>
      </c>
    </row>
    <row r="157" spans="5:17" x14ac:dyDescent="0.2">
      <c r="E157" s="538"/>
      <c r="F157" s="538"/>
      <c r="G157" s="537"/>
      <c r="I157" s="537"/>
      <c r="J157" s="537"/>
      <c r="L157" s="553">
        <f>_xll.qlCalendarAdvance(Calendar,L156,"1M","f",,Trigger)</f>
        <v>46699</v>
      </c>
      <c r="M157" s="544">
        <f>_xll.qlCalendarAdvance(Calendar,L157,"3M","f",,Trigger)</f>
        <v>46791</v>
      </c>
      <c r="N157" s="546" t="str">
        <f>_xll.qlMakeDatedOIS(,L157,M157,"eonia",,,,,Trigger)</f>
        <v>obj_007d6#0000</v>
      </c>
      <c r="O157" s="545">
        <f>_xll.qlIndexFixing("euribor6m",_xll.qlInterestRateIndexFixingDate("Euribor6M",L157),TRUE)</f>
        <v>2.6577825734905029E-2</v>
      </c>
      <c r="P157" s="545">
        <f>_xll.qlOvernightIndexedSwapFairRate(N157,Trigger)</f>
        <v>2.4868977761272351E-2</v>
      </c>
      <c r="Q157" s="547">
        <f t="shared" si="6"/>
        <v>1.7088479736326774E-3</v>
      </c>
    </row>
    <row r="158" spans="5:17" x14ac:dyDescent="0.2">
      <c r="E158" s="538"/>
      <c r="F158" s="538"/>
      <c r="G158" s="537"/>
      <c r="I158" s="537"/>
      <c r="J158" s="537"/>
      <c r="L158" s="553">
        <f>_xll.qlCalendarAdvance(Calendar,L157,"1M","f",,Trigger)</f>
        <v>46729</v>
      </c>
      <c r="M158" s="544">
        <f>_xll.qlCalendarAdvance(Calendar,L158,"3M","f",,Trigger)</f>
        <v>46820</v>
      </c>
      <c r="N158" s="546" t="str">
        <f>_xll.qlMakeDatedOIS(,L158,M158,"eonia",,,,,Trigger)</f>
        <v>obj_007d8#0000</v>
      </c>
      <c r="O158" s="545">
        <f>_xll.qlIndexFixing("euribor6m",_xll.qlInterestRateIndexFixingDate("Euribor6M",L158),TRUE)</f>
        <v>2.6573954710410227E-2</v>
      </c>
      <c r="P158" s="545">
        <f>_xll.qlOvernightIndexedSwapFairRate(N158,Trigger)</f>
        <v>2.4868120614289585E-2</v>
      </c>
      <c r="Q158" s="547">
        <f t="shared" si="6"/>
        <v>1.7058340961206425E-3</v>
      </c>
    </row>
    <row r="159" spans="5:17" x14ac:dyDescent="0.2">
      <c r="E159" s="538"/>
      <c r="F159" s="538"/>
      <c r="G159" s="537"/>
      <c r="I159" s="537"/>
      <c r="J159" s="537"/>
      <c r="L159" s="553">
        <f>_xll.qlCalendarAdvance(Calendar,L158,"1M","f",,Trigger)</f>
        <v>46762</v>
      </c>
      <c r="M159" s="544">
        <f>_xll.qlCalendarAdvance(Calendar,L159,"3M","f",,Trigger)</f>
        <v>46853</v>
      </c>
      <c r="N159" s="546" t="str">
        <f>_xll.qlMakeDatedOIS(,L159,M159,"eonia",,,,,Trigger)</f>
        <v>obj_007da#0000</v>
      </c>
      <c r="O159" s="545">
        <f>_xll.qlIndexFixing("euribor6m",_xll.qlInterestRateIndexFixingDate("Euribor6M",L159),TRUE)</f>
        <v>2.6565843616527533E-2</v>
      </c>
      <c r="P159" s="545">
        <f>_xll.qlOvernightIndexedSwapFairRate(N159,Trigger)</f>
        <v>2.4868120614289582E-2</v>
      </c>
      <c r="Q159" s="547">
        <f t="shared" si="6"/>
        <v>1.6977230022379511E-3</v>
      </c>
    </row>
    <row r="160" spans="5:17" x14ac:dyDescent="0.2">
      <c r="E160" s="538"/>
      <c r="F160" s="538"/>
      <c r="G160" s="537"/>
      <c r="I160" s="537"/>
      <c r="J160" s="537"/>
      <c r="L160" s="553">
        <f>_xll.qlCalendarAdvance(Calendar,L159,"1M","f",,Trigger)</f>
        <v>46793</v>
      </c>
      <c r="M160" s="544">
        <f>_xll.qlCalendarAdvance(Calendar,L160,"3M","f",,Trigger)</f>
        <v>46883</v>
      </c>
      <c r="N160" s="546" t="str">
        <f>_xll.qlMakeDatedOIS(,L160,M160,"eonia",,,,,Trigger)</f>
        <v>obj_007dc#0000</v>
      </c>
      <c r="O160" s="545">
        <f>_xll.qlIndexFixing("euribor6m",_xll.qlInterestRateIndexFixingDate("Euribor6M",L160),TRUE)</f>
        <v>2.6557056051946915E-2</v>
      </c>
      <c r="P160" s="545">
        <f>_xll.qlOvernightIndexedSwapFairRate(N160,Trigger)</f>
        <v>2.4867263506675563E-2</v>
      </c>
      <c r="Q160" s="547">
        <f t="shared" si="6"/>
        <v>1.6897925452713514E-3</v>
      </c>
    </row>
    <row r="161" spans="5:17" x14ac:dyDescent="0.2">
      <c r="E161" s="538"/>
      <c r="F161" s="538"/>
      <c r="G161" s="537"/>
      <c r="I161" s="537"/>
      <c r="J161" s="537"/>
      <c r="L161" s="553">
        <f>_xll.qlCalendarAdvance(Calendar,L160,"1M","f",,Trigger)</f>
        <v>46822</v>
      </c>
      <c r="M161" s="544">
        <f>_xll.qlCalendarAdvance(Calendar,L161,"3M","f",,Trigger)</f>
        <v>46916</v>
      </c>
      <c r="N161" s="546" t="str">
        <f>_xll.qlMakeDatedOIS(,L161,M161,"eonia",,,,,Trigger)</f>
        <v>obj_007de#0000</v>
      </c>
      <c r="O161" s="545">
        <f>_xll.qlIndexFixing("euribor6m",_xll.qlInterestRateIndexFixingDate("Euribor6M",L161),TRUE)</f>
        <v>2.6549381352210053E-2</v>
      </c>
      <c r="P161" s="545">
        <f>_xll.qlOvernightIndexedSwapFairRate(N161,Trigger)</f>
        <v>2.4870692173355989E-2</v>
      </c>
      <c r="Q161" s="547">
        <f t="shared" si="6"/>
        <v>1.6786891788540641E-3</v>
      </c>
    </row>
    <row r="162" spans="5:17" x14ac:dyDescent="0.2">
      <c r="E162" s="538"/>
      <c r="F162" s="538"/>
      <c r="G162" s="537"/>
      <c r="I162" s="537"/>
      <c r="J162" s="537"/>
      <c r="L162" s="553">
        <f>_xll.qlCalendarAdvance(Calendar,L161,"1M","f",,Trigger)</f>
        <v>46853</v>
      </c>
      <c r="M162" s="544">
        <f>_xll.qlCalendarAdvance(Calendar,L162,"3M","f",,Trigger)</f>
        <v>46944</v>
      </c>
      <c r="N162" s="546" t="str">
        <f>_xll.qlMakeDatedOIS(,L162,M162,"eonia",,,,,Trigger)</f>
        <v>obj_007e0#0000</v>
      </c>
      <c r="O162" s="545">
        <f>_xll.qlIndexFixing("euribor6m",_xll.qlInterestRateIndexFixingDate("Euribor6M",L162),TRUE)</f>
        <v>2.6535356424801648E-2</v>
      </c>
      <c r="P162" s="545">
        <f>_xll.qlOvernightIndexedSwapFairRate(N162,Trigger)</f>
        <v>2.4868120614289588E-2</v>
      </c>
      <c r="Q162" s="547">
        <f t="shared" si="6"/>
        <v>1.6672358105120598E-3</v>
      </c>
    </row>
    <row r="163" spans="5:17" x14ac:dyDescent="0.2">
      <c r="E163" s="538"/>
      <c r="F163" s="538"/>
      <c r="G163" s="537"/>
      <c r="I163" s="537"/>
      <c r="J163" s="537"/>
      <c r="L163" s="553">
        <f>_xll.qlCalendarAdvance(Calendar,L162,"1M","f",,Trigger)</f>
        <v>46883</v>
      </c>
      <c r="M163" s="544">
        <f>_xll.qlCalendarAdvance(Calendar,L163,"3M","f",,Trigger)</f>
        <v>46975</v>
      </c>
      <c r="N163" s="546" t="str">
        <f>_xll.qlMakeDatedOIS(,L163,M163,"eonia",,,,,Trigger)</f>
        <v>obj_007e2#0000</v>
      </c>
      <c r="O163" s="545">
        <f>_xll.qlIndexFixing("euribor6m",_xll.qlInterestRateIndexFixingDate("Euribor6M",L163),TRUE)</f>
        <v>2.6522128493944891E-2</v>
      </c>
      <c r="P163" s="545">
        <f>_xll.qlOvernightIndexedSwapFairRate(N163,Trigger)</f>
        <v>2.4868977761272348E-2</v>
      </c>
      <c r="Q163" s="547">
        <f t="shared" si="6"/>
        <v>1.6531507326725432E-3</v>
      </c>
    </row>
    <row r="164" spans="5:17" x14ac:dyDescent="0.2">
      <c r="E164" s="538"/>
      <c r="F164" s="538"/>
      <c r="G164" s="537"/>
      <c r="I164" s="537"/>
      <c r="J164" s="537"/>
      <c r="L164" s="553">
        <f>_xll.qlCalendarAdvance(Calendar,L163,"1M","f",,Trigger)</f>
        <v>46916</v>
      </c>
      <c r="M164" s="544">
        <f>_xll.qlCalendarAdvance(Calendar,L164,"3M","f",,Trigger)</f>
        <v>47008</v>
      </c>
      <c r="N164" s="546" t="str">
        <f>_xll.qlMakeDatedOIS(,L164,M164,"eonia",,,,,Trigger)</f>
        <v>obj_007e4#0000</v>
      </c>
      <c r="O164" s="545">
        <f>_xll.qlIndexFixing("euribor6m",_xll.qlInterestRateIndexFixingDate("Euribor6M",L164),TRUE)</f>
        <v>2.6504055173972332E-2</v>
      </c>
      <c r="P164" s="545">
        <f>_xll.qlOvernightIndexedSwapFairRate(N164,Trigger)</f>
        <v>2.4868977761273219E-2</v>
      </c>
      <c r="Q164" s="547">
        <f t="shared" si="6"/>
        <v>1.6350774126991131E-3</v>
      </c>
    </row>
    <row r="165" spans="5:17" x14ac:dyDescent="0.2">
      <c r="E165" s="538"/>
      <c r="F165" s="538"/>
      <c r="G165" s="537"/>
      <c r="I165" s="537"/>
      <c r="J165" s="537"/>
      <c r="L165" s="553">
        <f>_xll.qlCalendarAdvance(Calendar,L164,"1M","f",,Trigger)</f>
        <v>46946</v>
      </c>
      <c r="M165" s="544">
        <f>_xll.qlCalendarAdvance(Calendar,L165,"3M","f",,Trigger)</f>
        <v>47038</v>
      </c>
      <c r="N165" s="546" t="str">
        <f>_xll.qlMakeDatedOIS(,L165,M165,"eonia",,,,,Trigger)</f>
        <v>obj_007e6#0000</v>
      </c>
      <c r="O165" s="545">
        <f>_xll.qlIndexFixing("euribor6m",_xll.qlInterestRateIndexFixingDate("Euribor6M",L165),TRUE)</f>
        <v>2.6487011259901144E-2</v>
      </c>
      <c r="P165" s="545">
        <f>_xll.qlOvernightIndexedSwapFairRate(N165,Trigger)</f>
        <v>2.4868977761272351E-2</v>
      </c>
      <c r="Q165" s="547">
        <f t="shared" si="6"/>
        <v>1.6180334986287924E-3</v>
      </c>
    </row>
    <row r="166" spans="5:17" x14ac:dyDescent="0.2">
      <c r="E166" s="538"/>
      <c r="F166" s="538"/>
      <c r="G166" s="537"/>
      <c r="I166" s="537"/>
      <c r="J166" s="537"/>
      <c r="L166" s="553">
        <f>_xll.qlCalendarAdvance(Calendar,L165,"1M","f",,Trigger)</f>
        <v>46979</v>
      </c>
      <c r="M166" s="544">
        <f>_xll.qlCalendarAdvance(Calendar,L166,"3M","f",,Trigger)</f>
        <v>47071</v>
      </c>
      <c r="N166" s="546" t="str">
        <f>_xll.qlMakeDatedOIS(,L166,M166,"eonia",,,,,Trigger)</f>
        <v>obj_007e8#0000</v>
      </c>
      <c r="O166" s="545">
        <f>_xll.qlIndexFixing("euribor6m",_xll.qlInterestRateIndexFixingDate("Euribor6M",L166),TRUE)</f>
        <v>2.6465472775972585E-2</v>
      </c>
      <c r="P166" s="545">
        <f>_xll.qlOvernightIndexedSwapFairRate(N166,Trigger)</f>
        <v>2.4868977761273222E-2</v>
      </c>
      <c r="Q166" s="547">
        <f t="shared" si="6"/>
        <v>1.5964950146993631E-3</v>
      </c>
    </row>
    <row r="167" spans="5:17" x14ac:dyDescent="0.2">
      <c r="E167" s="538"/>
      <c r="F167" s="538"/>
      <c r="G167" s="537"/>
      <c r="I167" s="537"/>
      <c r="J167" s="537"/>
      <c r="L167" s="553">
        <f>_xll.qlCalendarAdvance(Calendar,L166,"1M","f",,Trigger)</f>
        <v>47010</v>
      </c>
      <c r="M167" s="544">
        <f>_xll.qlCalendarAdvance(Calendar,L167,"3M","f",,Trigger)</f>
        <v>47101</v>
      </c>
      <c r="N167" s="546" t="str">
        <f>_xll.qlMakeDatedOIS(,L167,M167,"eonia",,,,,Trigger)</f>
        <v>obj_007ea#0000</v>
      </c>
      <c r="O167" s="545">
        <f>_xll.qlIndexFixing("euribor6m",_xll.qlInterestRateIndexFixingDate("Euribor6M",L167),TRUE)</f>
        <v>2.6441579133333094E-2</v>
      </c>
      <c r="P167" s="545">
        <f>_xll.qlOvernightIndexedSwapFairRate(N167,Trigger)</f>
        <v>2.4868120614288707E-2</v>
      </c>
      <c r="Q167" s="547">
        <f t="shared" si="6"/>
        <v>1.5734585190443871E-3</v>
      </c>
    </row>
    <row r="168" spans="5:17" x14ac:dyDescent="0.2">
      <c r="E168" s="538"/>
      <c r="F168" s="538"/>
      <c r="G168" s="537"/>
      <c r="I168" s="537"/>
      <c r="J168" s="537"/>
      <c r="L168" s="553">
        <f>_xll.qlCalendarAdvance(Calendar,L167,"1M","f",,Trigger)</f>
        <v>47042</v>
      </c>
      <c r="M168" s="544">
        <f>_xll.qlCalendarAdvance(Calendar,L168,"3M","f",,Trigger)</f>
        <v>47134</v>
      </c>
      <c r="N168" s="546" t="str">
        <f>_xll.qlMakeDatedOIS(,L168,M168,"eonia",,,,,Trigger)</f>
        <v>obj_007ec#0000</v>
      </c>
      <c r="O168" s="545">
        <f>_xll.qlIndexFixing("euribor6m",_xll.qlInterestRateIndexFixingDate("Euribor6M",L168),TRUE)</f>
        <v>2.6417292415637342E-2</v>
      </c>
      <c r="P168" s="545">
        <f>_xll.qlOvernightIndexedSwapFairRate(N168,Trigger)</f>
        <v>2.4868977761273222E-2</v>
      </c>
      <c r="Q168" s="547">
        <f t="shared" si="6"/>
        <v>1.5483146543641205E-3</v>
      </c>
    </row>
    <row r="169" spans="5:17" x14ac:dyDescent="0.2">
      <c r="E169" s="538"/>
      <c r="F169" s="538"/>
      <c r="G169" s="537"/>
      <c r="I169" s="537"/>
      <c r="J169" s="537"/>
      <c r="L169" s="553">
        <f>_xll.qlCalendarAdvance(Calendar,L168,"1M","f",,Trigger)</f>
        <v>47073</v>
      </c>
      <c r="M169" s="544">
        <f>_xll.qlCalendarAdvance(Calendar,L169,"3M","f",,Trigger)</f>
        <v>47165</v>
      </c>
      <c r="N169" s="546" t="str">
        <f>_xll.qlMakeDatedOIS(,L169,M169,"eonia",,,,,Trigger)</f>
        <v>obj_007ee#0000</v>
      </c>
      <c r="O169" s="545">
        <f>_xll.qlIndexFixing("euribor6m",_xll.qlInterestRateIndexFixingDate("Euribor6M",L169),TRUE)</f>
        <v>2.6390781745802731E-2</v>
      </c>
      <c r="P169" s="545">
        <f>_xll.qlOvernightIndexedSwapFairRate(N169,Trigger)</f>
        <v>2.4868977761273222E-2</v>
      </c>
      <c r="Q169" s="547">
        <f t="shared" si="6"/>
        <v>1.5218039845295087E-3</v>
      </c>
    </row>
    <row r="170" spans="5:17" x14ac:dyDescent="0.2">
      <c r="E170" s="538"/>
      <c r="F170" s="538"/>
      <c r="G170" s="537"/>
      <c r="I170" s="537"/>
      <c r="J170" s="537"/>
      <c r="L170" s="553">
        <f>_xll.qlCalendarAdvance(Calendar,L169,"1M","f",,Trigger)</f>
        <v>47105</v>
      </c>
      <c r="M170" s="544">
        <f>_xll.qlCalendarAdvance(Calendar,L170,"3M","f",,Trigger)</f>
        <v>47196</v>
      </c>
      <c r="N170" s="546" t="str">
        <f>_xll.qlMakeDatedOIS(,L170,M170,"eonia",,,,,Trigger)</f>
        <v>obj_007f0#0000</v>
      </c>
      <c r="O170" s="545">
        <f>_xll.qlIndexFixing("euribor6m",_xll.qlInterestRateIndexFixingDate("Euribor6M",L170),TRUE)</f>
        <v>2.636242879768446E-2</v>
      </c>
      <c r="P170" s="545">
        <f>_xll.qlOvernightIndexedSwapFairRate(N170,Trigger)</f>
        <v>2.4868120614288704E-2</v>
      </c>
      <c r="Q170" s="547">
        <f t="shared" si="6"/>
        <v>1.4943081833957567E-3</v>
      </c>
    </row>
    <row r="171" spans="5:17" x14ac:dyDescent="0.2">
      <c r="E171" s="538"/>
      <c r="F171" s="538"/>
      <c r="G171" s="537"/>
      <c r="I171" s="537"/>
      <c r="J171" s="537"/>
      <c r="L171" s="553">
        <f>_xll.qlCalendarAdvance(Calendar,L170,"1M","f",,Trigger)</f>
        <v>47136</v>
      </c>
      <c r="M171" s="544">
        <f>_xll.qlCalendarAdvance(Calendar,L171,"3M","f",,Trigger)</f>
        <v>47226</v>
      </c>
      <c r="N171" s="546" t="str">
        <f>_xll.qlMakeDatedOIS(,L171,M171,"eonia",,,,,Trigger)</f>
        <v>obj_007f2#0000</v>
      </c>
      <c r="O171" s="545">
        <f>_xll.qlIndexFixing("euribor6m",_xll.qlInterestRateIndexFixingDate("Euribor6M",L171),TRUE)</f>
        <v>2.6332110025096583E-2</v>
      </c>
      <c r="P171" s="545">
        <f>_xll.qlOvernightIndexedSwapFairRate(N171,Trigger)</f>
        <v>2.4867263506675563E-2</v>
      </c>
      <c r="Q171" s="547">
        <f t="shared" si="6"/>
        <v>1.4648465184210202E-3</v>
      </c>
    </row>
    <row r="172" spans="5:17" x14ac:dyDescent="0.2">
      <c r="E172" s="538"/>
      <c r="F172" s="538"/>
      <c r="G172" s="537"/>
      <c r="I172" s="537"/>
      <c r="J172" s="537"/>
      <c r="L172" s="553">
        <f>_xll.qlCalendarAdvance(Calendar,L171,"1M","f",,Trigger)</f>
        <v>47168</v>
      </c>
      <c r="M172" s="544">
        <f>_xll.qlCalendarAdvance(Calendar,L172,"3M","f",,Trigger)</f>
        <v>47259</v>
      </c>
      <c r="N172" s="546" t="str">
        <f>_xll.qlMakeDatedOIS(,L172,M172,"eonia",,,,,Trigger)</f>
        <v>obj_007f4#0000</v>
      </c>
      <c r="O172" s="545">
        <f>_xll.qlIndexFixing("euribor6m",_xll.qlInterestRateIndexFixingDate("Euribor6M",L172),TRUE)</f>
        <v>2.6299690841601466E-2</v>
      </c>
      <c r="P172" s="545">
        <f>_xll.qlOvernightIndexedSwapFairRate(N172,Trigger)</f>
        <v>2.4868120614288711E-2</v>
      </c>
      <c r="Q172" s="547">
        <f t="shared" si="6"/>
        <v>1.4315702273127555E-3</v>
      </c>
    </row>
    <row r="173" spans="5:17" x14ac:dyDescent="0.2">
      <c r="E173" s="538"/>
      <c r="F173" s="538"/>
      <c r="G173" s="537"/>
      <c r="I173" s="537"/>
      <c r="J173" s="537"/>
      <c r="L173" s="553">
        <f>_xll.qlCalendarAdvance(Calendar,L172,"1M","f",,Trigger)</f>
        <v>47196</v>
      </c>
      <c r="M173" s="544">
        <f>_xll.qlCalendarAdvance(Calendar,L173,"3M","f",,Trigger)</f>
        <v>47288</v>
      </c>
      <c r="N173" s="546" t="str">
        <f>_xll.qlMakeDatedOIS(,L173,M173,"eonia",,,,,Trigger)</f>
        <v>obj_007f6#0000</v>
      </c>
      <c r="O173" s="545">
        <f>_xll.qlIndexFixing("euribor6m",_xll.qlInterestRateIndexFixingDate("Euribor6M",L173),TRUE)</f>
        <v>2.6270085449546548E-2</v>
      </c>
      <c r="P173" s="545">
        <f>_xll.qlOvernightIndexedSwapFairRate(N173,Trigger)</f>
        <v>2.4868977761272351E-2</v>
      </c>
      <c r="Q173" s="547">
        <f t="shared" si="6"/>
        <v>1.4011076882741967E-3</v>
      </c>
    </row>
    <row r="174" spans="5:17" x14ac:dyDescent="0.2">
      <c r="E174" s="538"/>
      <c r="F174" s="538"/>
      <c r="G174" s="537"/>
      <c r="I174" s="537"/>
      <c r="J174" s="537"/>
      <c r="L174" s="553">
        <f>_xll.qlCalendarAdvance(Calendar,L173,"1M","f",,Trigger)</f>
        <v>47227</v>
      </c>
      <c r="M174" s="544">
        <f>_xll.qlCalendarAdvance(Calendar,L174,"3M","f",,Trigger)</f>
        <v>47318</v>
      </c>
      <c r="N174" s="546" t="str">
        <f>_xll.qlMakeDatedOIS(,L174,M174,"eonia",,,,,Trigger)</f>
        <v>obj_007f8#0000</v>
      </c>
      <c r="O174" s="545">
        <f>_xll.qlIndexFixing("euribor6m",_xll.qlInterestRateIndexFixingDate("Euribor6M",L174),TRUE)</f>
        <v>2.6234599172728145E-2</v>
      </c>
      <c r="P174" s="545">
        <f>_xll.qlOvernightIndexedSwapFairRate(N174,Trigger)</f>
        <v>2.4868120614289585E-2</v>
      </c>
      <c r="Q174" s="547">
        <f t="shared" si="6"/>
        <v>1.3664785584385601E-3</v>
      </c>
    </row>
    <row r="175" spans="5:17" x14ac:dyDescent="0.2">
      <c r="E175" s="538"/>
      <c r="F175" s="538"/>
      <c r="G175" s="537"/>
      <c r="I175" s="537"/>
      <c r="J175" s="537"/>
      <c r="L175" s="553">
        <f>_xll.qlCalendarAdvance(Calendar,L174,"1M","f",,Trigger)</f>
        <v>47259</v>
      </c>
      <c r="M175" s="544">
        <f>_xll.qlCalendarAdvance(Calendar,L175,"3M","f",,Trigger)</f>
        <v>47351</v>
      </c>
      <c r="N175" s="546" t="str">
        <f>_xll.qlMakeDatedOIS(,L175,M175,"eonia",,,,,Trigger)</f>
        <v>obj_007fa#0000</v>
      </c>
      <c r="O175" s="545">
        <f>_xll.qlIndexFixing("euribor6m",_xll.qlInterestRateIndexFixingDate("Euribor6M",L175),TRUE)</f>
        <v>2.6197366486497987E-2</v>
      </c>
      <c r="P175" s="545">
        <f>_xll.qlOvernightIndexedSwapFairRate(N175,Trigger)</f>
        <v>2.4805826102281478E-2</v>
      </c>
      <c r="Q175" s="547">
        <f t="shared" si="6"/>
        <v>1.3915403842165094E-3</v>
      </c>
    </row>
    <row r="176" spans="5:17" x14ac:dyDescent="0.2">
      <c r="E176" s="538"/>
      <c r="F176" s="538"/>
      <c r="G176" s="537"/>
      <c r="I176" s="537"/>
      <c r="J176" s="537"/>
      <c r="L176" s="553">
        <f>_xll.qlCalendarAdvance(Calendar,L175,"1M","f",,Trigger)</f>
        <v>47290</v>
      </c>
      <c r="M176" s="544">
        <f>_xll.qlCalendarAdvance(Calendar,L176,"3M","f",,Trigger)</f>
        <v>47382</v>
      </c>
      <c r="N176" s="546" t="str">
        <f>_xll.qlMakeDatedOIS(,L176,M176,"eonia",,,,,Trigger)</f>
        <v>obj_007fc#0000</v>
      </c>
      <c r="O176" s="545">
        <f>_xll.qlIndexFixing("euribor6m",_xll.qlInterestRateIndexFixingDate("Euribor6M",L176),TRUE)</f>
        <v>2.6159662508695218E-2</v>
      </c>
      <c r="P176" s="545">
        <f>_xll.qlOvernightIndexedSwapFairRate(N176,Trigger)</f>
        <v>2.4479558664180966E-2</v>
      </c>
      <c r="Q176" s="547">
        <f t="shared" si="6"/>
        <v>1.6801038445142524E-3</v>
      </c>
    </row>
    <row r="177" spans="5:17" x14ac:dyDescent="0.2">
      <c r="E177" s="538"/>
      <c r="F177" s="538"/>
      <c r="G177" s="537"/>
      <c r="I177" s="537"/>
      <c r="J177" s="537"/>
      <c r="L177" s="553">
        <f>_xll.qlCalendarAdvance(Calendar,L176,"1M","f",,Trigger)</f>
        <v>47322</v>
      </c>
      <c r="M177" s="544">
        <f>_xll.qlCalendarAdvance(Calendar,L177,"3M","f",,Trigger)</f>
        <v>47414</v>
      </c>
      <c r="N177" s="546" t="str">
        <f>_xll.qlMakeDatedOIS(,L177,M177,"eonia",,,,,Trigger)</f>
        <v>obj_007fe#0000</v>
      </c>
      <c r="O177" s="545">
        <f>_xll.qlIndexFixing("euribor6m",_xll.qlInterestRateIndexFixingDate("Euribor6M",L177),TRUE)</f>
        <v>2.6120743089299087E-2</v>
      </c>
      <c r="P177" s="545">
        <f>_xll.qlOvernightIndexedSwapFairRate(N177,Trigger)</f>
        <v>2.4142794824717581E-2</v>
      </c>
      <c r="Q177" s="547">
        <f t="shared" si="6"/>
        <v>1.9779482645815062E-3</v>
      </c>
    </row>
    <row r="178" spans="5:17" x14ac:dyDescent="0.2">
      <c r="E178" s="538"/>
      <c r="F178" s="538"/>
      <c r="G178" s="537"/>
      <c r="I178" s="537"/>
      <c r="J178" s="537"/>
      <c r="L178" s="553">
        <f>_xll.qlCalendarAdvance(Calendar,L177,"1M","f",,Trigger)</f>
        <v>47353</v>
      </c>
      <c r="M178" s="544">
        <f>_xll.qlCalendarAdvance(Calendar,L178,"3M","f",,Trigger)</f>
        <v>47445</v>
      </c>
      <c r="N178" s="546" t="str">
        <f>_xll.qlMakeDatedOIS(,L178,M178,"eonia",,,,,Trigger)</f>
        <v>obj_00800#0000</v>
      </c>
      <c r="O178" s="545">
        <f>_xll.qlIndexFixing("euribor6m",_xll.qlInterestRateIndexFixingDate("Euribor6M",L178),TRUE)</f>
        <v>2.6083021803310093E-2</v>
      </c>
      <c r="P178" s="545">
        <f>_xll.qlOvernightIndexedSwapFairRate(N178,Trigger)</f>
        <v>2.390076360575533E-2</v>
      </c>
      <c r="Q178" s="547">
        <f t="shared" si="6"/>
        <v>2.1822581975547636E-3</v>
      </c>
    </row>
    <row r="179" spans="5:17" x14ac:dyDescent="0.2">
      <c r="E179" s="538"/>
      <c r="F179" s="538"/>
      <c r="G179" s="537"/>
      <c r="I179" s="537"/>
      <c r="J179" s="537"/>
      <c r="L179" s="553">
        <f>_xll.qlCalendarAdvance(Calendar,L178,"1M","f",,Trigger)</f>
        <v>47385</v>
      </c>
      <c r="M179" s="544">
        <f>_xll.qlCalendarAdvance(Calendar,L179,"3M","f",,Trigger)</f>
        <v>47476</v>
      </c>
      <c r="N179" s="546" t="str">
        <f>_xll.qlMakeDatedOIS(,L179,M179,"eonia",,,,,Trigger)</f>
        <v>obj_00802#0000</v>
      </c>
      <c r="O179" s="545">
        <f>_xll.qlIndexFixing("euribor6m",_xll.qlInterestRateIndexFixingDate("Euribor6M",L179),TRUE)</f>
        <v>2.6042029073810164E-2</v>
      </c>
      <c r="P179" s="545">
        <f>_xll.qlOvernightIndexedSwapFairRate(N179,Trigger)</f>
        <v>2.3899971835749944E-2</v>
      </c>
      <c r="Q179" s="547">
        <f t="shared" si="6"/>
        <v>2.1420572380602201E-3</v>
      </c>
    </row>
    <row r="180" spans="5:17" x14ac:dyDescent="0.2">
      <c r="E180" s="538"/>
      <c r="F180" s="538"/>
      <c r="G180" s="537"/>
      <c r="I180" s="537"/>
      <c r="J180" s="537"/>
      <c r="L180" s="553">
        <f>_xll.qlCalendarAdvance(Calendar,L179,"1M","f",,Trigger)</f>
        <v>47415</v>
      </c>
      <c r="M180" s="544">
        <f>_xll.qlCalendarAdvance(Calendar,L180,"3M","f",,Trigger)</f>
        <v>47507</v>
      </c>
      <c r="N180" s="546" t="str">
        <f>_xll.qlMakeDatedOIS(,L180,M180,"eonia",,,,,Trigger)</f>
        <v>obj_00804#0000</v>
      </c>
      <c r="O180" s="545">
        <f>_xll.qlIndexFixing("euribor6m",_xll.qlInterestRateIndexFixingDate("Euribor6M",L180),TRUE)</f>
        <v>2.6004696765553104E-2</v>
      </c>
      <c r="P180" s="545">
        <f>_xll.qlOvernightIndexedSwapFairRate(N180,Trigger)</f>
        <v>2.3900763605754462E-2</v>
      </c>
      <c r="Q180" s="547">
        <f t="shared" si="6"/>
        <v>2.1039331597986419E-3</v>
      </c>
    </row>
    <row r="181" spans="5:17" x14ac:dyDescent="0.2">
      <c r="E181" s="538"/>
      <c r="F181" s="538"/>
      <c r="G181" s="537"/>
      <c r="I181" s="537"/>
      <c r="J181" s="537"/>
      <c r="L181" s="553">
        <f>_xll.qlCalendarAdvance(Calendar,L180,"1M","f",,Trigger)</f>
        <v>47448</v>
      </c>
      <c r="M181" s="544">
        <f>_xll.qlCalendarAdvance(Calendar,L181,"3M","f",,Trigger)</f>
        <v>47540</v>
      </c>
      <c r="N181" s="546" t="str">
        <f>_xll.qlMakeDatedOIS(,L181,M181,"eonia",,,,,Trigger)</f>
        <v>obj_00806#0000</v>
      </c>
      <c r="O181" s="545">
        <f>_xll.qlIndexFixing("euribor6m",_xll.qlInterestRateIndexFixingDate("Euribor6M",L181),TRUE)</f>
        <v>2.5963521065492545E-2</v>
      </c>
      <c r="P181" s="545">
        <f>_xll.qlOvernightIndexedSwapFairRate(N181,Trigger)</f>
        <v>2.3900763605754455E-2</v>
      </c>
      <c r="Q181" s="547">
        <f t="shared" si="6"/>
        <v>2.0627574597380897E-3</v>
      </c>
    </row>
    <row r="182" spans="5:17" x14ac:dyDescent="0.2">
      <c r="E182" s="538"/>
      <c r="F182" s="538"/>
      <c r="G182" s="537"/>
      <c r="I182" s="537"/>
      <c r="J182" s="537"/>
      <c r="L182" s="553">
        <f>_xll.qlCalendarAdvance(Calendar,L181,"1M","f",,Trigger)</f>
        <v>47479</v>
      </c>
      <c r="M182" s="544">
        <f>_xll.qlCalendarAdvance(Calendar,L182,"3M","f",,Trigger)</f>
        <v>47569</v>
      </c>
      <c r="N182" s="546" t="str">
        <f>_xll.qlMakeDatedOIS(,L182,M182,"eonia",,,,,Trigger)</f>
        <v>obj_00808#0000</v>
      </c>
      <c r="O182" s="545">
        <f>_xll.qlIndexFixing("euribor6m",_xll.qlInterestRateIndexFixingDate("Euribor6M",L182),TRUE)</f>
        <v>2.5924735741421442E-2</v>
      </c>
      <c r="P182" s="545">
        <f>_xll.qlOvernightIndexedSwapFairRate(N182,Trigger)</f>
        <v>2.3899180100700693E-2</v>
      </c>
      <c r="Q182" s="547">
        <f t="shared" si="6"/>
        <v>2.0255556407207491E-3</v>
      </c>
    </row>
    <row r="183" spans="5:17" x14ac:dyDescent="0.2">
      <c r="E183" s="538"/>
      <c r="F183" s="538"/>
      <c r="G183" s="537"/>
      <c r="I183" s="537"/>
      <c r="J183" s="537"/>
      <c r="L183" s="553">
        <f>_xll.qlCalendarAdvance(Calendar,L182,"1M","f",,Trigger)</f>
        <v>47511</v>
      </c>
      <c r="M183" s="544">
        <f>_xll.qlCalendarAdvance(Calendar,L183,"3M","f",,Trigger)</f>
        <v>47602</v>
      </c>
      <c r="N183" s="546" t="str">
        <f>_xll.qlMakeDatedOIS(,L183,M183,"eonia",,,,,Trigger)</f>
        <v>obj_0080a#0000</v>
      </c>
      <c r="O183" s="545">
        <f>_xll.qlIndexFixing("euribor6m",_xll.qlInterestRateIndexFixingDate("Euribor6M",L183),TRUE)</f>
        <v>2.5884592467813782E-2</v>
      </c>
      <c r="P183" s="545">
        <f>_xll.qlOvernightIndexedSwapFairRate(N183,Trigger)</f>
        <v>2.3899971835750825E-2</v>
      </c>
      <c r="Q183" s="547">
        <f t="shared" si="6"/>
        <v>1.984620632062957E-3</v>
      </c>
    </row>
    <row r="184" spans="5:17" x14ac:dyDescent="0.2">
      <c r="E184" s="538"/>
      <c r="F184" s="538"/>
      <c r="G184" s="537"/>
      <c r="I184" s="537"/>
      <c r="J184" s="537"/>
      <c r="L184" s="553">
        <f>_xll.qlCalendarAdvance(Calendar,L183,"1M","f",,Trigger)</f>
        <v>47542</v>
      </c>
      <c r="M184" s="544">
        <f>_xll.qlCalendarAdvance(Calendar,L184,"3M","f",,Trigger)</f>
        <v>47631</v>
      </c>
      <c r="N184" s="546" t="str">
        <f>_xll.qlMakeDatedOIS(,L184,M184,"eonia",,,,,Trigger)</f>
        <v>obj_0080c#0000</v>
      </c>
      <c r="O184" s="545">
        <f>_xll.qlIndexFixing("euribor6m",_xll.qlInterestRateIndexFixingDate("Euribor6M",L184),TRUE)</f>
        <v>2.584589257337995E-2</v>
      </c>
      <c r="P184" s="545">
        <f>_xll.qlOvernightIndexedSwapFairRate(N184,Trigger)</f>
        <v>2.3898388400602988E-2</v>
      </c>
      <c r="Q184" s="547">
        <f t="shared" si="6"/>
        <v>1.9475041727769621E-3</v>
      </c>
    </row>
    <row r="185" spans="5:17" x14ac:dyDescent="0.2">
      <c r="E185" s="538"/>
      <c r="F185" s="538"/>
      <c r="G185" s="537"/>
      <c r="I185" s="537"/>
      <c r="J185" s="537"/>
      <c r="L185" s="553">
        <f>_xll.qlCalendarAdvance(Calendar,L184,"1M","f",,Trigger)</f>
        <v>47570</v>
      </c>
      <c r="M185" s="544">
        <f>_xll.qlCalendarAdvance(Calendar,L185,"3M","f",,Trigger)</f>
        <v>47662</v>
      </c>
      <c r="N185" s="546" t="str">
        <f>_xll.qlMakeDatedOIS(,L185,M185,"eonia",,,,,Trigger)</f>
        <v>obj_0080e#0000</v>
      </c>
      <c r="O185" s="545">
        <f>_xll.qlIndexFixing("euribor6m",_xll.qlInterestRateIndexFixingDate("Euribor6M",L185),TRUE)</f>
        <v>2.5811446854435201E-2</v>
      </c>
      <c r="P185" s="545">
        <f>_xll.qlOvernightIndexedSwapFairRate(N185,Trigger)</f>
        <v>2.3900763605754455E-2</v>
      </c>
      <c r="Q185" s="547">
        <f t="shared" si="6"/>
        <v>1.910683248680746E-3</v>
      </c>
    </row>
    <row r="186" spans="5:17" x14ac:dyDescent="0.2">
      <c r="E186" s="538"/>
      <c r="F186" s="538"/>
      <c r="G186" s="537"/>
      <c r="I186" s="537"/>
      <c r="J186" s="537"/>
      <c r="L186" s="553">
        <f>_xll.qlCalendarAdvance(Calendar,L185,"1M","f",,Trigger)</f>
        <v>47602</v>
      </c>
      <c r="M186" s="544">
        <f>_xll.qlCalendarAdvance(Calendar,L186,"3M","f",,Trigger)</f>
        <v>47693</v>
      </c>
      <c r="N186" s="546" t="str">
        <f>_xll.qlMakeDatedOIS(,L186,M186,"eonia",,,,,Trigger)</f>
        <v>obj_00810#0000</v>
      </c>
      <c r="O186" s="545">
        <f>_xll.qlIndexFixing("euribor6m",_xll.qlInterestRateIndexFixingDate("Euribor6M",L186),TRUE)</f>
        <v>2.5770125866335647E-2</v>
      </c>
      <c r="P186" s="545">
        <f>_xll.qlOvernightIndexedSwapFairRate(N186,Trigger)</f>
        <v>2.3899971835750818E-2</v>
      </c>
      <c r="Q186" s="547">
        <f t="shared" si="6"/>
        <v>1.8701540305848287E-3</v>
      </c>
    </row>
    <row r="187" spans="5:17" x14ac:dyDescent="0.2">
      <c r="E187" s="538"/>
      <c r="F187" s="538"/>
      <c r="G187" s="537"/>
      <c r="I187" s="537"/>
      <c r="J187" s="537"/>
      <c r="L187" s="553">
        <f>_xll.qlCalendarAdvance(Calendar,L186,"1M","f",,Trigger)</f>
        <v>47632</v>
      </c>
      <c r="M187" s="544">
        <f>_xll.qlCalendarAdvance(Calendar,L187,"3M","f",,Trigger)</f>
        <v>47724</v>
      </c>
      <c r="N187" s="546" t="str">
        <f>_xll.qlMakeDatedOIS(,L187,M187,"eonia",,,,,Trigger)</f>
        <v>obj_00812#0000</v>
      </c>
      <c r="O187" s="545">
        <f>_xll.qlIndexFixing("euribor6m",_xll.qlInterestRateIndexFixingDate("Euribor6M",L187),TRUE)</f>
        <v>2.5732378910021236E-2</v>
      </c>
      <c r="P187" s="545">
        <f>_xll.qlOvernightIndexedSwapFairRate(N187,Trigger)</f>
        <v>2.3900763605754459E-2</v>
      </c>
      <c r="Q187" s="547">
        <f t="shared" si="6"/>
        <v>1.8316153042667767E-3</v>
      </c>
    </row>
    <row r="188" spans="5:17" x14ac:dyDescent="0.2">
      <c r="E188" s="538"/>
      <c r="F188" s="538"/>
      <c r="G188" s="537"/>
      <c r="I188" s="537"/>
      <c r="J188" s="537"/>
      <c r="L188" s="553">
        <f>_xll.qlCalendarAdvance(Calendar,L187,"1M","f",,Trigger)</f>
        <v>47665</v>
      </c>
      <c r="M188" s="544">
        <f>_xll.qlCalendarAdvance(Calendar,L188,"3M","f",,Trigger)</f>
        <v>47757</v>
      </c>
      <c r="N188" s="546" t="str">
        <f>_xll.qlMakeDatedOIS(,L188,M188,"eonia",,,,,Trigger)</f>
        <v>obj_00814#0000</v>
      </c>
      <c r="O188" s="545">
        <f>_xll.qlIndexFixing("euribor6m",_xll.qlInterestRateIndexFixingDate("Euribor6M",L188),TRUE)</f>
        <v>2.5690709666801113E-2</v>
      </c>
      <c r="P188" s="545">
        <f>_xll.qlOvernightIndexedSwapFairRate(N188,Trigger)</f>
        <v>2.3900763605754459E-2</v>
      </c>
      <c r="Q188" s="547">
        <f t="shared" si="6"/>
        <v>1.7899460610466544E-3</v>
      </c>
    </row>
    <row r="189" spans="5:17" x14ac:dyDescent="0.2">
      <c r="E189" s="538"/>
      <c r="F189" s="538"/>
      <c r="G189" s="537"/>
      <c r="I189" s="537"/>
      <c r="J189" s="537"/>
      <c r="L189" s="553">
        <f>_xll.qlCalendarAdvance(Calendar,L188,"1M","f",,Trigger)</f>
        <v>47696</v>
      </c>
      <c r="M189" s="544">
        <f>_xll.qlCalendarAdvance(Calendar,L189,"3M","f",,Trigger)</f>
        <v>47788</v>
      </c>
      <c r="N189" s="546" t="str">
        <f>_xll.qlMakeDatedOIS(,L189,M189,"eonia",,,,,Trigger)</f>
        <v>obj_00816#0000</v>
      </c>
      <c r="O189" s="545">
        <f>_xll.qlIndexFixing("euribor6m",_xll.qlInterestRateIndexFixingDate("Euribor6M",L189),TRUE)</f>
        <v>2.5651468427318878E-2</v>
      </c>
      <c r="P189" s="545">
        <f>_xll.qlOvernightIndexedSwapFairRate(N189,Trigger)</f>
        <v>2.3900763605754455E-2</v>
      </c>
      <c r="Q189" s="547">
        <f t="shared" si="6"/>
        <v>1.7507048215644229E-3</v>
      </c>
    </row>
    <row r="190" spans="5:17" x14ac:dyDescent="0.2">
      <c r="E190" s="538"/>
      <c r="F190" s="538"/>
      <c r="G190" s="537"/>
      <c r="I190" s="537"/>
      <c r="J190" s="537"/>
      <c r="L190" s="553">
        <f>_xll.qlCalendarAdvance(Calendar,L189,"1M","f",,Trigger)</f>
        <v>47728</v>
      </c>
      <c r="M190" s="544">
        <f>_xll.qlCalendarAdvance(Calendar,L190,"3M","f",,Trigger)</f>
        <v>47819</v>
      </c>
      <c r="N190" s="546" t="str">
        <f>_xll.qlMakeDatedOIS(,L190,M190,"eonia",,,,,Trigger)</f>
        <v>obj_00818#0000</v>
      </c>
      <c r="O190" s="545">
        <f>_xll.qlIndexFixing("euribor6m",_xll.qlInterestRateIndexFixingDate("Euribor6M",L190),TRUE)</f>
        <v>2.5609508668013783E-2</v>
      </c>
      <c r="P190" s="545">
        <f>_xll.qlOvernightIndexedSwapFairRate(N190,Trigger)</f>
        <v>2.3899971835750822E-2</v>
      </c>
      <c r="Q190" s="547">
        <f t="shared" si="6"/>
        <v>1.709536832262961E-3</v>
      </c>
    </row>
    <row r="191" spans="5:17" x14ac:dyDescent="0.2">
      <c r="E191" s="538"/>
      <c r="F191" s="538"/>
      <c r="G191" s="537"/>
      <c r="I191" s="537"/>
      <c r="J191" s="537"/>
      <c r="L191" s="553">
        <f>_xll.qlCalendarAdvance(Calendar,L190,"1M","f",,Trigger)</f>
        <v>47758</v>
      </c>
      <c r="M191" s="544">
        <f>_xll.qlCalendarAdvance(Calendar,L191,"3M","f",,Trigger)</f>
        <v>47850</v>
      </c>
      <c r="N191" s="546" t="str">
        <f>_xll.qlMakeDatedOIS(,L191,M191,"eonia",,,,,Trigger)</f>
        <v>obj_0081a#0000</v>
      </c>
      <c r="O191" s="545">
        <f>_xll.qlIndexFixing("euribor6m",_xll.qlInterestRateIndexFixingDate("Euribor6M",L191),TRUE)</f>
        <v>2.5571086198141673E-2</v>
      </c>
      <c r="P191" s="545">
        <f>_xll.qlOvernightIndexedSwapFairRate(N191,Trigger)</f>
        <v>2.3900763605754459E-2</v>
      </c>
      <c r="Q191" s="547">
        <f t="shared" si="6"/>
        <v>1.6703225923872141E-3</v>
      </c>
    </row>
    <row r="192" spans="5:17" x14ac:dyDescent="0.2">
      <c r="E192" s="538"/>
      <c r="F192" s="538"/>
      <c r="G192" s="537"/>
      <c r="I192" s="537"/>
      <c r="J192" s="537"/>
      <c r="L192" s="553">
        <f>_xll.qlCalendarAdvance(Calendar,L191,"1M","f",,Trigger)</f>
        <v>47791</v>
      </c>
      <c r="M192" s="544">
        <f>_xll.qlCalendarAdvance(Calendar,L192,"3M","f",,Trigger)</f>
        <v>47883</v>
      </c>
      <c r="N192" s="546" t="str">
        <f>_xll.qlMakeDatedOIS(,L192,M192,"eonia",,,,,Trigger)</f>
        <v>obj_0081c#0000</v>
      </c>
      <c r="O192" s="545">
        <f>_xll.qlIndexFixing("euribor6m",_xll.qlInterestRateIndexFixingDate("Euribor6M",L192),TRUE)</f>
        <v>2.5528711392160622E-2</v>
      </c>
      <c r="P192" s="545">
        <f>_xll.qlOvernightIndexedSwapFairRate(N192,Trigger)</f>
        <v>2.3900763605755326E-2</v>
      </c>
      <c r="Q192" s="547">
        <f t="shared" si="6"/>
        <v>1.6279477864052962E-3</v>
      </c>
    </row>
    <row r="193" spans="5:17" x14ac:dyDescent="0.2">
      <c r="E193" s="538"/>
      <c r="F193" s="538"/>
      <c r="G193" s="537"/>
      <c r="I193" s="537"/>
      <c r="J193" s="537"/>
      <c r="L193" s="553">
        <f>_xll.qlCalendarAdvance(Calendar,L192,"1M","f",,Trigger)</f>
        <v>47821</v>
      </c>
      <c r="M193" s="544">
        <f>_xll.qlCalendarAdvance(Calendar,L193,"3M","f",,Trigger)</f>
        <v>47911</v>
      </c>
      <c r="N193" s="546" t="str">
        <f>_xll.qlMakeDatedOIS(,L193,M193,"eonia",,,,,Trigger)</f>
        <v>obj_0081e#0000</v>
      </c>
      <c r="O193" s="545">
        <f>_xll.qlIndexFixing("euribor6m",_xll.qlInterestRateIndexFixingDate("Euribor6M",L193),TRUE)</f>
        <v>2.5490088766244687E-2</v>
      </c>
      <c r="P193" s="545">
        <f>_xll.qlOvernightIndexedSwapFairRate(N193,Trigger)</f>
        <v>2.389918010070069E-2</v>
      </c>
      <c r="Q193" s="547">
        <f t="shared" si="6"/>
        <v>1.5909086655439969E-3</v>
      </c>
    </row>
    <row r="194" spans="5:17" x14ac:dyDescent="0.2">
      <c r="E194" s="538"/>
      <c r="F194" s="538"/>
      <c r="G194" s="537"/>
      <c r="I194" s="537"/>
      <c r="J194" s="537"/>
      <c r="L194" s="553">
        <f>_xll.qlCalendarAdvance(Calendar,L193,"1M","f",,Trigger)</f>
        <v>47854</v>
      </c>
      <c r="M194" s="544">
        <f>_xll.qlCalendarAdvance(Calendar,L194,"3M","f",,Trigger)</f>
        <v>47945</v>
      </c>
      <c r="N194" s="546" t="str">
        <f>_xll.qlMakeDatedOIS(,L194,M194,"eonia",,,,,Trigger)</f>
        <v>obj_00820#0000</v>
      </c>
      <c r="O194" s="545">
        <f>_xll.qlIndexFixing("euribor6m",_xll.qlInterestRateIndexFixingDate("Euribor6M",L194),TRUE)</f>
        <v>2.5447493802037043E-2</v>
      </c>
      <c r="P194" s="545">
        <f>_xll.qlOvernightIndexedSwapFairRate(N194,Trigger)</f>
        <v>2.3899971835749944E-2</v>
      </c>
      <c r="Q194" s="547">
        <f t="shared" si="6"/>
        <v>1.5475219662870986E-3</v>
      </c>
    </row>
    <row r="195" spans="5:17" x14ac:dyDescent="0.2">
      <c r="E195" s="538"/>
      <c r="F195" s="538"/>
      <c r="G195" s="537"/>
      <c r="I195" s="537"/>
      <c r="J195" s="537"/>
      <c r="L195" s="553">
        <f>_xll.qlCalendarAdvance(Calendar,L194,"1M","f",,Trigger)</f>
        <v>47885</v>
      </c>
      <c r="M195" s="544">
        <f>_xll.qlCalendarAdvance(Calendar,L195,"3M","f",,Trigger)</f>
        <v>47974</v>
      </c>
      <c r="N195" s="546" t="str">
        <f>_xll.qlMakeDatedOIS(,L195,M195,"eonia",,,,,Trigger)</f>
        <v>obj_00822#0000</v>
      </c>
      <c r="O195" s="545">
        <f>_xll.qlIndexFixing("euribor6m",_xll.qlInterestRateIndexFixingDate("Euribor6M",L195),TRUE)</f>
        <v>2.5407132018981926E-2</v>
      </c>
      <c r="P195" s="545">
        <f>_xll.qlOvernightIndexedSwapFairRate(N195,Trigger)</f>
        <v>2.3898388400602988E-2</v>
      </c>
      <c r="Q195" s="547">
        <f t="shared" ref="Q195:Q258" si="7">O195-P195</f>
        <v>1.5087436183789382E-3</v>
      </c>
    </row>
    <row r="196" spans="5:17" x14ac:dyDescent="0.2">
      <c r="E196" s="538"/>
      <c r="F196" s="538"/>
      <c r="G196" s="537"/>
      <c r="I196" s="537"/>
      <c r="J196" s="537"/>
      <c r="L196" s="553">
        <f>_xll.qlCalendarAdvance(Calendar,L195,"1M","f",,Trigger)</f>
        <v>47913</v>
      </c>
      <c r="M196" s="544">
        <f>_xll.qlCalendarAdvance(Calendar,L196,"3M","f",,Trigger)</f>
        <v>48005</v>
      </c>
      <c r="N196" s="546" t="str">
        <f>_xll.qlMakeDatedOIS(,L196,M196,"eonia",,,,,Trigger)</f>
        <v>obj_00824#0000</v>
      </c>
      <c r="O196" s="545">
        <f>_xll.qlIndexFixing("euribor6m",_xll.qlInterestRateIndexFixingDate("Euribor6M",L196),TRUE)</f>
        <v>2.5372008008464633E-2</v>
      </c>
      <c r="P196" s="545">
        <f>_xll.qlOvernightIndexedSwapFairRate(N196,Trigger)</f>
        <v>2.3900763605754459E-2</v>
      </c>
      <c r="Q196" s="547">
        <f t="shared" si="7"/>
        <v>1.4712444027101743E-3</v>
      </c>
    </row>
    <row r="197" spans="5:17" x14ac:dyDescent="0.2">
      <c r="E197" s="538"/>
      <c r="F197" s="538"/>
      <c r="G197" s="537"/>
      <c r="I197" s="537"/>
      <c r="J197" s="537"/>
      <c r="L197" s="553">
        <f>_xll.qlCalendarAdvance(Calendar,L196,"1M","f",,Trigger)</f>
        <v>47945</v>
      </c>
      <c r="M197" s="544">
        <f>_xll.qlCalendarAdvance(Calendar,L197,"3M","f",,Trigger)</f>
        <v>48036</v>
      </c>
      <c r="N197" s="546" t="str">
        <f>_xll.qlMakeDatedOIS(,L197,M197,"eonia",,,,,Trigger)</f>
        <v>obj_00826#0000</v>
      </c>
      <c r="O197" s="545">
        <f>_xll.qlIndexFixing("euribor6m",_xll.qlInterestRateIndexFixingDate("Euribor6M",L197),TRUE)</f>
        <v>2.532967214725201E-2</v>
      </c>
      <c r="P197" s="545">
        <f>_xll.qlOvernightIndexedSwapFairRate(N197,Trigger)</f>
        <v>2.3899971835750822E-2</v>
      </c>
      <c r="Q197" s="547">
        <f t="shared" si="7"/>
        <v>1.4297003115011885E-3</v>
      </c>
    </row>
    <row r="198" spans="5:17" x14ac:dyDescent="0.2">
      <c r="E198" s="538"/>
      <c r="F198" s="538"/>
      <c r="G198" s="537"/>
      <c r="I198" s="537"/>
      <c r="J198" s="537"/>
      <c r="L198" s="553">
        <f>_xll.qlCalendarAdvance(Calendar,L197,"1M","f",,Trigger)</f>
        <v>47975</v>
      </c>
      <c r="M198" s="544">
        <f>_xll.qlCalendarAdvance(Calendar,L198,"3M","f",,Trigger)</f>
        <v>48067</v>
      </c>
      <c r="N198" s="546" t="str">
        <f>_xll.qlMakeDatedOIS(,L198,M198,"eonia",,,,,Trigger)</f>
        <v>obj_00828#0000</v>
      </c>
      <c r="O198" s="545">
        <f>_xll.qlIndexFixing("euribor6m",_xll.qlInterestRateIndexFixingDate("Euribor6M",L198),TRUE)</f>
        <v>2.5290786202001751E-2</v>
      </c>
      <c r="P198" s="545">
        <f>_xll.qlOvernightIndexedSwapFairRate(N198,Trigger)</f>
        <v>2.3900763605754455E-2</v>
      </c>
      <c r="Q198" s="547">
        <f t="shared" si="7"/>
        <v>1.3900225962472958E-3</v>
      </c>
    </row>
    <row r="199" spans="5:17" x14ac:dyDescent="0.2">
      <c r="E199" s="538"/>
      <c r="F199" s="538"/>
      <c r="G199" s="537"/>
      <c r="I199" s="537"/>
      <c r="J199" s="537"/>
      <c r="L199" s="553">
        <f>_xll.qlCalendarAdvance(Calendar,L198,"1M","f",,Trigger)</f>
        <v>48008</v>
      </c>
      <c r="M199" s="544">
        <f>_xll.qlCalendarAdvance(Calendar,L199,"3M","f",,Trigger)</f>
        <v>48100</v>
      </c>
      <c r="N199" s="546" t="str">
        <f>_xll.qlMakeDatedOIS(,L199,M199,"eonia",,,,,Trigger)</f>
        <v>obj_0082a#0000</v>
      </c>
      <c r="O199" s="545">
        <f>_xll.qlIndexFixing("euribor6m",_xll.qlInterestRateIndexFixingDate("Euribor6M",L199),TRUE)</f>
        <v>2.524741826355131E-2</v>
      </c>
      <c r="P199" s="545">
        <f>_xll.qlOvernightIndexedSwapFairRate(N199,Trigger)</f>
        <v>2.3900763605754466E-2</v>
      </c>
      <c r="Q199" s="547">
        <f t="shared" si="7"/>
        <v>1.346654657796844E-3</v>
      </c>
    </row>
    <row r="200" spans="5:17" x14ac:dyDescent="0.2">
      <c r="E200" s="538"/>
      <c r="F200" s="538"/>
      <c r="G200" s="537"/>
      <c r="I200" s="537"/>
      <c r="J200" s="537"/>
      <c r="L200" s="553">
        <f>_xll.qlCalendarAdvance(Calendar,L199,"1M","f",,Trigger)</f>
        <v>48038</v>
      </c>
      <c r="M200" s="544">
        <f>_xll.qlCalendarAdvance(Calendar,L200,"3M","f",,Trigger)</f>
        <v>48130</v>
      </c>
      <c r="N200" s="546" t="str">
        <f>_xll.qlMakeDatedOIS(,L200,M200,"eonia",,,,,Trigger)</f>
        <v>obj_0082c#0000</v>
      </c>
      <c r="O200" s="545">
        <f>_xll.qlIndexFixing("euribor6m",_xll.qlInterestRateIndexFixingDate("Euribor6M",L200),TRUE)</f>
        <v>2.5208323161049075E-2</v>
      </c>
      <c r="P200" s="545">
        <f>_xll.qlOvernightIndexedSwapFairRate(N200,Trigger)</f>
        <v>2.3900763605755326E-2</v>
      </c>
      <c r="Q200" s="547">
        <f t="shared" si="7"/>
        <v>1.3075595552937483E-3</v>
      </c>
    </row>
    <row r="201" spans="5:17" x14ac:dyDescent="0.2">
      <c r="E201" s="538"/>
      <c r="F201" s="538"/>
      <c r="G201" s="537"/>
      <c r="I201" s="537"/>
      <c r="J201" s="537"/>
      <c r="L201" s="553">
        <f>_xll.qlCalendarAdvance(Calendar,L200,"1M","f",,Trigger)</f>
        <v>48071</v>
      </c>
      <c r="M201" s="544">
        <f>_xll.qlCalendarAdvance(Calendar,L201,"3M","f",,Trigger)</f>
        <v>48163</v>
      </c>
      <c r="N201" s="546" t="str">
        <f>_xll.qlMakeDatedOIS(,L201,M201,"eonia",,,,,Trigger)</f>
        <v>obj_0082e#0000</v>
      </c>
      <c r="O201" s="545">
        <f>_xll.qlIndexFixing("euribor6m",_xll.qlInterestRateIndexFixingDate("Euribor6M",L201),TRUE)</f>
        <v>2.5164960559972707E-2</v>
      </c>
      <c r="P201" s="545">
        <f>_xll.qlOvernightIndexedSwapFairRate(N201,Trigger)</f>
        <v>2.3900763605755333E-2</v>
      </c>
      <c r="Q201" s="547">
        <f t="shared" si="7"/>
        <v>1.2641969542173739E-3</v>
      </c>
    </row>
    <row r="202" spans="5:17" x14ac:dyDescent="0.2">
      <c r="E202" s="538"/>
      <c r="F202" s="538"/>
      <c r="G202" s="537"/>
      <c r="I202" s="537"/>
      <c r="J202" s="537"/>
      <c r="L202" s="553">
        <f>_xll.qlCalendarAdvance(Calendar,L201,"1M","f",,Trigger)</f>
        <v>48102</v>
      </c>
      <c r="M202" s="544">
        <f>_xll.qlCalendarAdvance(Calendar,L202,"3M","f",,Trigger)</f>
        <v>48193</v>
      </c>
      <c r="N202" s="546" t="str">
        <f>_xll.qlMakeDatedOIS(,L202,M202,"eonia",,,,,Trigger)</f>
        <v>obj_00830#0000</v>
      </c>
      <c r="O202" s="545">
        <f>_xll.qlIndexFixing("euribor6m",_xll.qlInterestRateIndexFixingDate("Euribor6M",L202),TRUE)</f>
        <v>2.5123697205431516E-2</v>
      </c>
      <c r="P202" s="545">
        <f>_xll.qlOvernightIndexedSwapFairRate(N202,Trigger)</f>
        <v>2.3899971835750825E-2</v>
      </c>
      <c r="Q202" s="547">
        <f t="shared" si="7"/>
        <v>1.2237253696806907E-3</v>
      </c>
    </row>
    <row r="203" spans="5:17" x14ac:dyDescent="0.2">
      <c r="E203" s="538"/>
      <c r="F203" s="538"/>
      <c r="G203" s="537"/>
      <c r="I203" s="537"/>
      <c r="J203" s="537"/>
      <c r="L203" s="553">
        <f>_xll.qlCalendarAdvance(Calendar,L202,"1M","f",,Trigger)</f>
        <v>48134</v>
      </c>
      <c r="M203" s="544">
        <f>_xll.qlCalendarAdvance(Calendar,L203,"3M","f",,Trigger)</f>
        <v>48226</v>
      </c>
      <c r="N203" s="546" t="str">
        <f>_xll.qlMakeDatedOIS(,L203,M203,"eonia",,,,,Trigger)</f>
        <v>obj_00832#0000</v>
      </c>
      <c r="O203" s="545">
        <f>_xll.qlIndexFixing("euribor6m",_xll.qlInterestRateIndexFixingDate("Euribor6M",L203),TRUE)</f>
        <v>2.5081650109541269E-2</v>
      </c>
      <c r="P203" s="545">
        <f>_xll.qlOvernightIndexedSwapFairRate(N203,Trigger)</f>
        <v>2.3900763605754455E-2</v>
      </c>
      <c r="Q203" s="547">
        <f t="shared" si="7"/>
        <v>1.1808865037868134E-3</v>
      </c>
    </row>
    <row r="204" spans="5:17" x14ac:dyDescent="0.2">
      <c r="E204" s="538"/>
      <c r="F204" s="538"/>
      <c r="G204" s="537"/>
      <c r="I204" s="537"/>
      <c r="J204" s="537"/>
      <c r="L204" s="553">
        <f>_xll.qlCalendarAdvance(Calendar,L203,"1M","f",,Trigger)</f>
        <v>48165</v>
      </c>
      <c r="M204" s="544">
        <f>_xll.qlCalendarAdvance(Calendar,L204,"3M","f",,Trigger)</f>
        <v>48257</v>
      </c>
      <c r="N204" s="546" t="str">
        <f>_xll.qlMakeDatedOIS(,L204,M204,"eonia",,,,,Trigger)</f>
        <v>obj_00834#0000</v>
      </c>
      <c r="O204" s="545">
        <f>_xll.qlIndexFixing("euribor6m",_xll.qlInterestRateIndexFixingDate("Euribor6M",L204),TRUE)</f>
        <v>2.5040405488515424E-2</v>
      </c>
      <c r="P204" s="545">
        <f>_xll.qlOvernightIndexedSwapFairRate(N204,Trigger)</f>
        <v>2.3900763605755326E-2</v>
      </c>
      <c r="Q204" s="547">
        <f t="shared" si="7"/>
        <v>1.1396418827600979E-3</v>
      </c>
    </row>
    <row r="205" spans="5:17" x14ac:dyDescent="0.2">
      <c r="E205" s="538"/>
      <c r="F205" s="538"/>
      <c r="G205" s="537"/>
      <c r="I205" s="537"/>
      <c r="J205" s="537"/>
      <c r="L205" s="553">
        <f>_xll.qlCalendarAdvance(Calendar,L204,"1M","f",,Trigger)</f>
        <v>48197</v>
      </c>
      <c r="M205" s="544">
        <f>_xll.qlCalendarAdvance(Calendar,L205,"3M","f",,Trigger)</f>
        <v>48288</v>
      </c>
      <c r="N205" s="546" t="str">
        <f>_xll.qlMakeDatedOIS(,L205,M205,"eonia",,,,,Trigger)</f>
        <v>obj_00836#0000</v>
      </c>
      <c r="O205" s="545">
        <f>_xll.qlIndexFixing("euribor6m",_xll.qlInterestRateIndexFixingDate("Euribor6M",L205),TRUE)</f>
        <v>2.4998135944662787E-2</v>
      </c>
      <c r="P205" s="545">
        <f>_xll.qlOvernightIndexedSwapFairRate(N205,Trigger)</f>
        <v>2.3899971835750818E-2</v>
      </c>
      <c r="Q205" s="547">
        <f t="shared" si="7"/>
        <v>1.0981641089119684E-3</v>
      </c>
    </row>
    <row r="206" spans="5:17" x14ac:dyDescent="0.2">
      <c r="E206" s="538"/>
      <c r="F206" s="538"/>
      <c r="G206" s="537"/>
      <c r="I206" s="537"/>
      <c r="J206" s="537"/>
      <c r="L206" s="553">
        <f>_xll.qlCalendarAdvance(Calendar,L205,"1M","f",,Trigger)</f>
        <v>48228</v>
      </c>
      <c r="M206" s="544">
        <f>_xll.qlCalendarAdvance(Calendar,L206,"3M","f",,Trigger)</f>
        <v>48319</v>
      </c>
      <c r="N206" s="546" t="str">
        <f>_xll.qlMakeDatedOIS(,L206,M206,"eonia",,,,,Trigger)</f>
        <v>obj_00838#0000</v>
      </c>
      <c r="O206" s="545">
        <f>_xll.qlIndexFixing("euribor6m",_xll.qlInterestRateIndexFixingDate("Euribor6M",L206),TRUE)</f>
        <v>2.4956693766217643E-2</v>
      </c>
      <c r="P206" s="545">
        <f>_xll.qlOvernightIndexedSwapFairRate(N206,Trigger)</f>
        <v>2.389997183574994E-2</v>
      </c>
      <c r="Q206" s="547">
        <f t="shared" si="7"/>
        <v>1.0567219304677029E-3</v>
      </c>
    </row>
    <row r="207" spans="5:17" x14ac:dyDescent="0.2">
      <c r="E207" s="538"/>
      <c r="F207" s="538"/>
      <c r="G207" s="537"/>
      <c r="I207" s="537"/>
      <c r="J207" s="537"/>
      <c r="L207" s="553">
        <f>_xll.qlCalendarAdvance(Calendar,L206,"1M","f",,Trigger)</f>
        <v>48260</v>
      </c>
      <c r="M207" s="544">
        <f>_xll.qlCalendarAdvance(Calendar,L207,"3M","f",,Trigger)</f>
        <v>48351</v>
      </c>
      <c r="N207" s="546" t="str">
        <f>_xll.qlMakeDatedOIS(,L207,M207,"eonia",,,,,Trigger)</f>
        <v>obj_0083a#0000</v>
      </c>
      <c r="O207" s="545">
        <f>_xll.qlIndexFixing("euribor6m",_xll.qlInterestRateIndexFixingDate("Euribor6M",L207),TRUE)</f>
        <v>2.4914012694639977E-2</v>
      </c>
      <c r="P207" s="545">
        <f>_xll.qlOvernightIndexedSwapFairRate(N207,Trigger)</f>
        <v>2.3899971835750822E-2</v>
      </c>
      <c r="Q207" s="547">
        <f t="shared" si="7"/>
        <v>1.014040858889155E-3</v>
      </c>
    </row>
    <row r="208" spans="5:17" x14ac:dyDescent="0.2">
      <c r="E208" s="538"/>
      <c r="F208" s="538"/>
      <c r="G208" s="537"/>
      <c r="I208" s="537"/>
      <c r="J208" s="537"/>
      <c r="L208" s="553">
        <f>_xll.qlCalendarAdvance(Calendar,L207,"1M","f",,Trigger)</f>
        <v>48289</v>
      </c>
      <c r="M208" s="544">
        <f>_xll.qlCalendarAdvance(Calendar,L208,"3M","f",,Trigger)</f>
        <v>48381</v>
      </c>
      <c r="N208" s="546" t="str">
        <f>_xll.qlMakeDatedOIS(,L208,M208,"eonia",,,,,Trigger)</f>
        <v>obj_0083c#0000</v>
      </c>
      <c r="O208" s="545">
        <f>_xll.qlIndexFixing("euribor6m",_xll.qlInterestRateIndexFixingDate("Euribor6M",L208),TRUE)</f>
        <v>2.4875609101027926E-2</v>
      </c>
      <c r="P208" s="545">
        <f>_xll.qlOvernightIndexedSwapFairRate(N208,Trigger)</f>
        <v>2.3900763605754455E-2</v>
      </c>
      <c r="Q208" s="547">
        <f t="shared" si="7"/>
        <v>9.7484549527347003E-4</v>
      </c>
    </row>
    <row r="209" spans="5:17" x14ac:dyDescent="0.2">
      <c r="E209" s="538"/>
      <c r="F209" s="538"/>
      <c r="G209" s="537"/>
      <c r="I209" s="537"/>
      <c r="J209" s="537"/>
      <c r="L209" s="553">
        <f>_xll.qlCalendarAdvance(Calendar,L208,"1M","f",,Trigger)</f>
        <v>48320</v>
      </c>
      <c r="M209" s="544">
        <f>_xll.qlCalendarAdvance(Calendar,L209,"3M","f",,Trigger)</f>
        <v>48411</v>
      </c>
      <c r="N209" s="546" t="str">
        <f>_xll.qlMakeDatedOIS(,L209,M209,"eonia",,,,,Trigger)</f>
        <v>obj_0083e#0000</v>
      </c>
      <c r="O209" s="545">
        <f>_xll.qlIndexFixing("euribor6m",_xll.qlInterestRateIndexFixingDate("Euribor6M",L209),TRUE)</f>
        <v>2.4834234638530305E-2</v>
      </c>
      <c r="P209" s="545">
        <f>_xll.qlOvernightIndexedSwapFairRate(N209,Trigger)</f>
        <v>2.3899971835749944E-2</v>
      </c>
      <c r="Q209" s="547">
        <f t="shared" si="7"/>
        <v>9.3426280278036122E-4</v>
      </c>
    </row>
    <row r="210" spans="5:17" x14ac:dyDescent="0.2">
      <c r="E210" s="538"/>
      <c r="F210" s="538"/>
      <c r="G210" s="537"/>
      <c r="I210" s="537"/>
      <c r="J210" s="537"/>
      <c r="L210" s="553">
        <f>_xll.qlCalendarAdvance(Calendar,L209,"1M","f",,Trigger)</f>
        <v>48351</v>
      </c>
      <c r="M210" s="544">
        <f>_xll.qlCalendarAdvance(Calendar,L210,"3M","f",,Trigger)</f>
        <v>48443</v>
      </c>
      <c r="N210" s="546" t="str">
        <f>_xll.qlMakeDatedOIS(,L210,M210,"eonia",,,,,Trigger)</f>
        <v>obj_00840#0000</v>
      </c>
      <c r="O210" s="545">
        <f>_xll.qlIndexFixing("euribor6m",_xll.qlInterestRateIndexFixingDate("Euribor6M",L210),TRUE)</f>
        <v>2.4792398046594097E-2</v>
      </c>
      <c r="P210" s="545">
        <f>_xll.qlOvernightIndexedSwapFairRate(N210,Trigger)</f>
        <v>2.3900763605754459E-2</v>
      </c>
      <c r="Q210" s="547">
        <f t="shared" si="7"/>
        <v>8.9163444083963789E-4</v>
      </c>
    </row>
    <row r="211" spans="5:17" x14ac:dyDescent="0.2">
      <c r="E211" s="538"/>
      <c r="F211" s="538"/>
      <c r="G211" s="537"/>
      <c r="I211" s="537"/>
      <c r="J211" s="537"/>
      <c r="L211" s="553">
        <f>_xll.qlCalendarAdvance(Calendar,L210,"1M","f",,Trigger)</f>
        <v>48382</v>
      </c>
      <c r="M211" s="544">
        <f>_xll.qlCalendarAdvance(Calendar,L211,"3M","f",,Trigger)</f>
        <v>48474</v>
      </c>
      <c r="N211" s="546" t="str">
        <f>_xll.qlMakeDatedOIS(,L211,M211,"eonia",,,,,Trigger)</f>
        <v>obj_00842#0000</v>
      </c>
      <c r="O211" s="545">
        <f>_xll.qlIndexFixing("euribor6m",_xll.qlInterestRateIndexFixingDate("Euribor6M",L211),TRUE)</f>
        <v>2.4750468693055055E-2</v>
      </c>
      <c r="P211" s="545">
        <f>_xll.qlOvernightIndexedSwapFairRate(N211,Trigger)</f>
        <v>2.3900763605754455E-2</v>
      </c>
      <c r="Q211" s="547">
        <f t="shared" si="7"/>
        <v>8.4970508730059999E-4</v>
      </c>
    </row>
    <row r="212" spans="5:17" x14ac:dyDescent="0.2">
      <c r="E212" s="538"/>
      <c r="F212" s="538"/>
      <c r="G212" s="537"/>
      <c r="I212" s="537"/>
      <c r="J212" s="537"/>
      <c r="L212" s="553">
        <f>_xll.qlCalendarAdvance(Calendar,L211,"1M","f",,Trigger)</f>
        <v>48414</v>
      </c>
      <c r="M212" s="544">
        <f>_xll.qlCalendarAdvance(Calendar,L212,"3M","f",,Trigger)</f>
        <v>48506</v>
      </c>
      <c r="N212" s="546" t="str">
        <f>_xll.qlMakeDatedOIS(,L212,M212,"eonia",,,,,Trigger)</f>
        <v>obj_00844#0000</v>
      </c>
      <c r="O212" s="545">
        <f>_xll.qlIndexFixing("euribor6m",_xll.qlInterestRateIndexFixingDate("Euribor6M",L212),TRUE)</f>
        <v>2.4707428345429848E-2</v>
      </c>
      <c r="P212" s="545">
        <f>_xll.qlOvernightIndexedSwapFairRate(N212,Trigger)</f>
        <v>2.3900763605754459E-2</v>
      </c>
      <c r="Q212" s="547">
        <f t="shared" si="7"/>
        <v>8.0666473967538899E-4</v>
      </c>
    </row>
    <row r="213" spans="5:17" x14ac:dyDescent="0.2">
      <c r="E213" s="538"/>
      <c r="F213" s="538"/>
      <c r="G213" s="537"/>
      <c r="I213" s="537"/>
      <c r="J213" s="537"/>
      <c r="L213" s="553">
        <f>_xll.qlCalendarAdvance(Calendar,L212,"1M","f",,Trigger)</f>
        <v>48445</v>
      </c>
      <c r="M213" s="544">
        <f>_xll.qlCalendarAdvance(Calendar,L213,"3M","f",,Trigger)</f>
        <v>48537</v>
      </c>
      <c r="N213" s="546" t="str">
        <f>_xll.qlMakeDatedOIS(,L213,M213,"eonia",,,,,Trigger)</f>
        <v>obj_00846#0000</v>
      </c>
      <c r="O213" s="545">
        <f>_xll.qlIndexFixing("euribor6m",_xll.qlInterestRateIndexFixingDate("Euribor6M",L213),TRUE)</f>
        <v>2.4665787857613614E-2</v>
      </c>
      <c r="P213" s="545">
        <f>_xll.qlOvernightIndexedSwapFairRate(N213,Trigger)</f>
        <v>2.390076360575533E-2</v>
      </c>
      <c r="Q213" s="547">
        <f t="shared" si="7"/>
        <v>7.6502425185828379E-4</v>
      </c>
    </row>
    <row r="214" spans="5:17" x14ac:dyDescent="0.2">
      <c r="E214" s="538"/>
      <c r="F214" s="538"/>
      <c r="G214" s="537"/>
      <c r="I214" s="537"/>
      <c r="J214" s="537"/>
      <c r="L214" s="553">
        <f>_xll.qlCalendarAdvance(Calendar,L213,"1M","f",,Trigger)</f>
        <v>48477</v>
      </c>
      <c r="M214" s="544">
        <f>_xll.qlCalendarAdvance(Calendar,L214,"3M","f",,Trigger)</f>
        <v>48568</v>
      </c>
      <c r="N214" s="546" t="str">
        <f>_xll.qlMakeDatedOIS(,L214,M214,"eonia",,,,,Trigger)</f>
        <v>obj_00848#0000</v>
      </c>
      <c r="O214" s="545">
        <f>_xll.qlIndexFixing("euribor6m",_xll.qlInterestRateIndexFixingDate("Euribor6M",L214),TRUE)</f>
        <v>2.4621723652620033E-2</v>
      </c>
      <c r="P214" s="545">
        <f>_xll.qlOvernightIndexedSwapFairRate(N214,Trigger)</f>
        <v>2.3899971835750822E-2</v>
      </c>
      <c r="Q214" s="547">
        <f t="shared" si="7"/>
        <v>7.217518168692108E-4</v>
      </c>
    </row>
    <row r="215" spans="5:17" x14ac:dyDescent="0.2">
      <c r="E215" s="538"/>
      <c r="F215" s="538"/>
      <c r="G215" s="537"/>
      <c r="I215" s="537"/>
      <c r="J215" s="537"/>
      <c r="L215" s="553">
        <f>_xll.qlCalendarAdvance(Calendar,L214,"1M","f",,Trigger)</f>
        <v>48507</v>
      </c>
      <c r="M215" s="544">
        <f>_xll.qlCalendarAdvance(Calendar,L215,"3M","f",,Trigger)</f>
        <v>48599</v>
      </c>
      <c r="N215" s="546" t="str">
        <f>_xll.qlMakeDatedOIS(,L215,M215,"eonia",,,,,Trigger)</f>
        <v>obj_0084a#0000</v>
      </c>
      <c r="O215" s="545">
        <f>_xll.qlIndexFixing("euribor6m",_xll.qlInterestRateIndexFixingDate("Euribor6M",L215),TRUE)</f>
        <v>2.4580923158180772E-2</v>
      </c>
      <c r="P215" s="545">
        <f>_xll.qlOvernightIndexedSwapFairRate(N215,Trigger)</f>
        <v>2.3900763605755326E-2</v>
      </c>
      <c r="Q215" s="547">
        <f t="shared" si="7"/>
        <v>6.8015955242544529E-4</v>
      </c>
    </row>
    <row r="216" spans="5:17" x14ac:dyDescent="0.2">
      <c r="E216" s="538"/>
      <c r="F216" s="538"/>
      <c r="G216" s="537"/>
      <c r="I216" s="537"/>
      <c r="J216" s="537"/>
      <c r="L216" s="553">
        <f>_xll.qlCalendarAdvance(Calendar,L215,"1M","f",,Trigger)</f>
        <v>48540</v>
      </c>
      <c r="M216" s="544">
        <f>_xll.qlCalendarAdvance(Calendar,L216,"3M","f",,Trigger)</f>
        <v>48632</v>
      </c>
      <c r="N216" s="546" t="str">
        <f>_xll.qlMakeDatedOIS(,L216,M216,"eonia",,,,,Trigger)</f>
        <v>obj_0084c#0000</v>
      </c>
      <c r="O216" s="545">
        <f>_xll.qlIndexFixing("euribor6m",_xll.qlInterestRateIndexFixingDate("Euribor6M",L216),TRUE)</f>
        <v>2.4535932689222082E-2</v>
      </c>
      <c r="P216" s="545">
        <f>_xll.qlOvernightIndexedSwapFairRate(N216,Trigger)</f>
        <v>2.3900763605754459E-2</v>
      </c>
      <c r="Q216" s="547">
        <f t="shared" si="7"/>
        <v>6.351690834676231E-4</v>
      </c>
    </row>
    <row r="217" spans="5:17" x14ac:dyDescent="0.2">
      <c r="E217" s="538"/>
      <c r="F217" s="538"/>
      <c r="G217" s="537"/>
      <c r="I217" s="537"/>
      <c r="J217" s="537"/>
      <c r="L217" s="553">
        <f>_xll.qlCalendarAdvance(Calendar,L216,"1M","f",,Trigger)</f>
        <v>48570</v>
      </c>
      <c r="M217" s="544">
        <f>_xll.qlCalendarAdvance(Calendar,L217,"3M","f",,Trigger)</f>
        <v>48660</v>
      </c>
      <c r="N217" s="546" t="str">
        <f>_xll.qlMakeDatedOIS(,L217,M217,"eonia",,,,,Trigger)</f>
        <v>obj_0084e#0000</v>
      </c>
      <c r="O217" s="545">
        <f>_xll.qlIndexFixing("euribor6m",_xll.qlInterestRateIndexFixingDate("Euribor6M",L217),TRUE)</f>
        <v>2.449493233737176E-2</v>
      </c>
      <c r="P217" s="545">
        <f>_xll.qlOvernightIndexedSwapFairRate(N217,Trigger)</f>
        <v>2.3899180100700683E-2</v>
      </c>
      <c r="Q217" s="547">
        <f t="shared" si="7"/>
        <v>5.9575223667107657E-4</v>
      </c>
    </row>
    <row r="218" spans="5:17" x14ac:dyDescent="0.2">
      <c r="E218" s="538"/>
      <c r="F218" s="538"/>
      <c r="G218" s="537"/>
      <c r="I218" s="537"/>
      <c r="J218" s="537"/>
      <c r="L218" s="553">
        <f>_xll.qlCalendarAdvance(Calendar,L217,"1M","f",,Trigger)</f>
        <v>48603</v>
      </c>
      <c r="M218" s="544">
        <f>_xll.qlCalendarAdvance(Calendar,L218,"3M","f",,Trigger)</f>
        <v>48694</v>
      </c>
      <c r="N218" s="546" t="str">
        <f>_xll.qlMakeDatedOIS(,L218,M218,"eonia",,,,,Trigger)</f>
        <v>obj_00850#0000</v>
      </c>
      <c r="O218" s="545">
        <f>_xll.qlIndexFixing("euribor6m",_xll.qlInterestRateIndexFixingDate("Euribor6M",L218),TRUE)</f>
        <v>2.4449722039504587E-2</v>
      </c>
      <c r="P218" s="545">
        <f>_xll.qlOvernightIndexedSwapFairRate(N218,Trigger)</f>
        <v>2.3899971835750822E-2</v>
      </c>
      <c r="Q218" s="547">
        <f t="shared" si="7"/>
        <v>5.4975020375376549E-4</v>
      </c>
    </row>
    <row r="219" spans="5:17" x14ac:dyDescent="0.2">
      <c r="E219" s="538"/>
      <c r="F219" s="538"/>
      <c r="G219" s="537"/>
      <c r="I219" s="537"/>
      <c r="J219" s="537"/>
      <c r="L219" s="553">
        <f>_xll.qlCalendarAdvance(Calendar,L218,"1M","f",,Trigger)</f>
        <v>48634</v>
      </c>
      <c r="M219" s="544">
        <f>_xll.qlCalendarAdvance(Calendar,L219,"3M","f",,Trigger)</f>
        <v>48723</v>
      </c>
      <c r="N219" s="546" t="str">
        <f>_xll.qlMakeDatedOIS(,L219,M219,"eonia",,,,,Trigger)</f>
        <v>obj_00852#0000</v>
      </c>
      <c r="O219" s="545">
        <f>_xll.qlIndexFixing("euribor6m",_xll.qlInterestRateIndexFixingDate("Euribor6M",L219),TRUE)</f>
        <v>2.4407011974543522E-2</v>
      </c>
      <c r="P219" s="545">
        <f>_xll.qlOvernightIndexedSwapFairRate(N219,Trigger)</f>
        <v>2.3898388400602984E-2</v>
      </c>
      <c r="Q219" s="547">
        <f t="shared" si="7"/>
        <v>5.0862357394053717E-4</v>
      </c>
    </row>
    <row r="220" spans="5:17" x14ac:dyDescent="0.2">
      <c r="E220" s="538"/>
      <c r="F220" s="538"/>
      <c r="G220" s="537"/>
      <c r="I220" s="537"/>
      <c r="J220" s="537"/>
      <c r="L220" s="553">
        <f>_xll.qlCalendarAdvance(Calendar,L219,"1M","f",,Trigger)</f>
        <v>48662</v>
      </c>
      <c r="M220" s="544">
        <f>_xll.qlCalendarAdvance(Calendar,L220,"3M","f",,Trigger)</f>
        <v>48754</v>
      </c>
      <c r="N220" s="546" t="str">
        <f>_xll.qlMakeDatedOIS(,L220,M220,"eonia",,,,,Trigger)</f>
        <v>obj_00854#0000</v>
      </c>
      <c r="O220" s="545">
        <f>_xll.qlIndexFixing("euribor6m",_xll.qlInterestRateIndexFixingDate("Euribor6M",L220),TRUE)</f>
        <v>2.4369126968487621E-2</v>
      </c>
      <c r="P220" s="545">
        <f>_xll.qlOvernightIndexedSwapFairRate(N220,Trigger)</f>
        <v>2.3900763605754459E-2</v>
      </c>
      <c r="Q220" s="547">
        <f t="shared" si="7"/>
        <v>4.6836336273316237E-4</v>
      </c>
    </row>
    <row r="221" spans="5:17" x14ac:dyDescent="0.2">
      <c r="E221" s="538"/>
      <c r="F221" s="538"/>
      <c r="G221" s="537"/>
      <c r="I221" s="537"/>
      <c r="J221" s="537"/>
      <c r="L221" s="553">
        <f>_xll.qlCalendarAdvance(Calendar,L220,"1M","f",,Trigger)</f>
        <v>48694</v>
      </c>
      <c r="M221" s="544">
        <f>_xll.qlCalendarAdvance(Calendar,L221,"3M","f",,Trigger)</f>
        <v>48785</v>
      </c>
      <c r="N221" s="546" t="str">
        <f>_xll.qlMakeDatedOIS(,L221,M221,"eonia",,,,,Trigger)</f>
        <v>obj_00856#0000</v>
      </c>
      <c r="O221" s="545">
        <f>_xll.qlIndexFixing("euribor6m",_xll.qlInterestRateIndexFixingDate("Euribor6M",L221),TRUE)</f>
        <v>2.4324580806446013E-2</v>
      </c>
      <c r="P221" s="545">
        <f>_xll.qlOvernightIndexedSwapFairRate(N221,Trigger)</f>
        <v>2.3899971835750822E-2</v>
      </c>
      <c r="Q221" s="547">
        <f t="shared" si="7"/>
        <v>4.2460897069519082E-4</v>
      </c>
    </row>
    <row r="222" spans="5:17" x14ac:dyDescent="0.2">
      <c r="E222" s="538"/>
      <c r="F222" s="538"/>
      <c r="G222" s="537"/>
      <c r="I222" s="537"/>
      <c r="J222" s="537"/>
      <c r="L222" s="553">
        <f>_xll.qlCalendarAdvance(Calendar,L221,"1M","f",,Trigger)</f>
        <v>48724</v>
      </c>
      <c r="M222" s="544">
        <f>_xll.qlCalendarAdvance(Calendar,L222,"3M","f",,Trigger)</f>
        <v>48816</v>
      </c>
      <c r="N222" s="546" t="str">
        <f>_xll.qlMakeDatedOIS(,L222,M222,"eonia",,,,,Trigger)</f>
        <v>obj_00858#0000</v>
      </c>
      <c r="O222" s="545">
        <f>_xll.qlIndexFixing("euribor6m",_xll.qlInterestRateIndexFixingDate("Euribor6M",L222),TRUE)</f>
        <v>2.4283209270905694E-2</v>
      </c>
      <c r="P222" s="545">
        <f>_xll.qlOvernightIndexedSwapFairRate(N222,Trigger)</f>
        <v>2.3900763605754459E-2</v>
      </c>
      <c r="Q222" s="547">
        <f t="shared" si="7"/>
        <v>3.8244566515123479E-4</v>
      </c>
    </row>
    <row r="223" spans="5:17" x14ac:dyDescent="0.2">
      <c r="E223" s="538"/>
      <c r="F223" s="538"/>
      <c r="G223" s="537"/>
      <c r="I223" s="537"/>
      <c r="J223" s="537"/>
      <c r="L223" s="553">
        <f>_xll.qlCalendarAdvance(Calendar,L222,"1M","f",,Trigger)</f>
        <v>48757</v>
      </c>
      <c r="M223" s="544">
        <f>_xll.qlCalendarAdvance(Calendar,L223,"3M","f",,Trigger)</f>
        <v>48849</v>
      </c>
      <c r="N223" s="546" t="str">
        <f>_xll.qlMakeDatedOIS(,L223,M223,"eonia",,,,,Trigger)</f>
        <v>obj_0085a#0000</v>
      </c>
      <c r="O223" s="545">
        <f>_xll.qlIndexFixing("euribor6m",_xll.qlInterestRateIndexFixingDate("Euribor6M",L223),TRUE)</f>
        <v>2.4237335309162944E-2</v>
      </c>
      <c r="P223" s="545">
        <f>_xll.qlOvernightIndexedSwapFairRate(N223,Trigger)</f>
        <v>2.3900763605754455E-2</v>
      </c>
      <c r="Q223" s="547">
        <f t="shared" si="7"/>
        <v>3.3657170340848849E-4</v>
      </c>
    </row>
    <row r="224" spans="5:17" x14ac:dyDescent="0.2">
      <c r="E224" s="538"/>
      <c r="F224" s="538"/>
      <c r="G224" s="537"/>
      <c r="I224" s="537"/>
      <c r="J224" s="537"/>
      <c r="L224" s="553">
        <f>_xll.qlCalendarAdvance(Calendar,L223,"1M","f",,Trigger)</f>
        <v>48787</v>
      </c>
      <c r="M224" s="544">
        <f>_xll.qlCalendarAdvance(Calendar,L224,"3M","f",,Trigger)</f>
        <v>48879</v>
      </c>
      <c r="N224" s="546" t="str">
        <f>_xll.qlMakeDatedOIS(,L224,M224,"eonia",,,,,Trigger)</f>
        <v>obj_0085c#0000</v>
      </c>
      <c r="O224" s="545">
        <f>_xll.qlIndexFixing("euribor6m",_xll.qlInterestRateIndexFixingDate("Euribor6M",L224),TRUE)</f>
        <v>2.4195754821413919E-2</v>
      </c>
      <c r="P224" s="545">
        <f>_xll.qlOvernightIndexedSwapFairRate(N224,Trigger)</f>
        <v>2.390076360575533E-2</v>
      </c>
      <c r="Q224" s="547">
        <f t="shared" si="7"/>
        <v>2.949912156585896E-4</v>
      </c>
    </row>
    <row r="225" spans="5:17" x14ac:dyDescent="0.2">
      <c r="E225" s="538"/>
      <c r="F225" s="538"/>
      <c r="G225" s="537"/>
      <c r="I225" s="537"/>
      <c r="J225" s="537"/>
      <c r="L225" s="553">
        <f>_xll.qlCalendarAdvance(Calendar,L224,"1M","f",,Trigger)</f>
        <v>48820</v>
      </c>
      <c r="M225" s="544">
        <f>_xll.qlCalendarAdvance(Calendar,L225,"3M","f",,Trigger)</f>
        <v>48912</v>
      </c>
      <c r="N225" s="546" t="str">
        <f>_xll.qlMakeDatedOIS(,L225,M225,"eonia",,,,,Trigger)</f>
        <v>obj_0085e#0000</v>
      </c>
      <c r="O225" s="545">
        <f>_xll.qlIndexFixing("euribor6m",_xll.qlInterestRateIndexFixingDate("Euribor6M",L225),TRUE)</f>
        <v>2.4149670307817353E-2</v>
      </c>
      <c r="P225" s="545">
        <f>_xll.qlOvernightIndexedSwapFairRate(N225,Trigger)</f>
        <v>2.3900763605754459E-2</v>
      </c>
      <c r="Q225" s="547">
        <f t="shared" si="7"/>
        <v>2.4890670206289406E-4</v>
      </c>
    </row>
    <row r="226" spans="5:17" x14ac:dyDescent="0.2">
      <c r="E226" s="538"/>
      <c r="F226" s="538"/>
      <c r="G226" s="537"/>
      <c r="I226" s="537"/>
      <c r="J226" s="537"/>
      <c r="L226" s="553">
        <f>_xll.qlCalendarAdvance(Calendar,L225,"1M","f",,Trigger)</f>
        <v>48851</v>
      </c>
      <c r="M226" s="544">
        <f>_xll.qlCalendarAdvance(Calendar,L226,"3M","f",,Trigger)</f>
        <v>48942</v>
      </c>
      <c r="N226" s="546" t="str">
        <f>_xll.qlMakeDatedOIS(,L226,M226,"eonia",,,,,Trigger)</f>
        <v>obj_00860#0000</v>
      </c>
      <c r="O226" s="545">
        <f>_xll.qlIndexFixing("euribor6m",_xll.qlInterestRateIndexFixingDate("Euribor6M",L226),TRUE)</f>
        <v>2.4106173098702707E-2</v>
      </c>
      <c r="P226" s="545">
        <f>_xll.qlOvernightIndexedSwapFairRate(N226,Trigger)</f>
        <v>2.3899971835749944E-2</v>
      </c>
      <c r="Q226" s="547">
        <f t="shared" si="7"/>
        <v>2.0620126295276334E-4</v>
      </c>
    </row>
    <row r="227" spans="5:17" x14ac:dyDescent="0.2">
      <c r="E227" s="538"/>
      <c r="F227" s="538"/>
      <c r="G227" s="537"/>
      <c r="I227" s="537"/>
      <c r="J227" s="537"/>
      <c r="L227" s="553">
        <f>_xll.qlCalendarAdvance(Calendar,L226,"1M","f",,Trigger)</f>
        <v>48883</v>
      </c>
      <c r="M227" s="544">
        <f>_xll.qlCalendarAdvance(Calendar,L227,"3M","f",,Trigger)</f>
        <v>48975</v>
      </c>
      <c r="N227" s="546" t="str">
        <f>_xll.qlMakeDatedOIS(,L227,M227,"eonia",,,,,Trigger)</f>
        <v>obj_00862#0000</v>
      </c>
      <c r="O227" s="545">
        <f>_xll.qlIndexFixing("euribor6m",_xll.qlInterestRateIndexFixingDate("Euribor6M",L227),TRUE)</f>
        <v>2.4061191198400639E-2</v>
      </c>
      <c r="P227" s="545">
        <f>_xll.qlOvernightIndexedSwapFairRate(N227,Trigger)</f>
        <v>2.3900763605755333E-2</v>
      </c>
      <c r="Q227" s="547">
        <f t="shared" si="7"/>
        <v>1.6042759264530554E-4</v>
      </c>
    </row>
    <row r="228" spans="5:17" x14ac:dyDescent="0.2">
      <c r="E228" s="538"/>
      <c r="F228" s="538"/>
      <c r="G228" s="537"/>
      <c r="I228" s="537"/>
      <c r="J228" s="537"/>
      <c r="L228" s="553">
        <f>_xll.qlCalendarAdvance(Calendar,L227,"1M","f",,Trigger)</f>
        <v>48913</v>
      </c>
      <c r="M228" s="544">
        <f>_xll.qlCalendarAdvance(Calendar,L228,"3M","f",,Trigger)</f>
        <v>49003</v>
      </c>
      <c r="N228" s="546" t="str">
        <f>_xll.qlMakeDatedOIS(,L228,M228,"eonia",,,,,Trigger)</f>
        <v>obj_00864#0000</v>
      </c>
      <c r="O228" s="545">
        <f>_xll.qlIndexFixing("euribor6m",_xll.qlInterestRateIndexFixingDate("Euribor6M",L228),TRUE)</f>
        <v>2.4019399326586435E-2</v>
      </c>
      <c r="P228" s="545">
        <f>_xll.qlOvernightIndexedSwapFairRate(N228,Trigger)</f>
        <v>2.3899180100700686E-2</v>
      </c>
      <c r="Q228" s="547">
        <f t="shared" si="7"/>
        <v>1.2021922588574888E-4</v>
      </c>
    </row>
    <row r="229" spans="5:17" x14ac:dyDescent="0.2">
      <c r="E229" s="538"/>
      <c r="F229" s="538"/>
      <c r="G229" s="537"/>
      <c r="I229" s="537"/>
      <c r="J229" s="537"/>
      <c r="L229" s="553">
        <f>_xll.qlCalendarAdvance(Calendar,L228,"1M","f",,Trigger)</f>
        <v>48943</v>
      </c>
      <c r="M229" s="544">
        <f>_xll.qlCalendarAdvance(Calendar,L229,"3M","f",,Trigger)</f>
        <v>49033</v>
      </c>
      <c r="N229" s="546" t="str">
        <f>_xll.qlMakeDatedOIS(,L229,M229,"eonia",,,,,Trigger)</f>
        <v>obj_00866#0000</v>
      </c>
      <c r="O229" s="545">
        <f>_xll.qlIndexFixing("euribor6m",_xll.qlInterestRateIndexFixingDate("Euribor6M",L229),TRUE)</f>
        <v>2.3977216227406149E-2</v>
      </c>
      <c r="P229" s="545">
        <f>_xll.qlOvernightIndexedSwapFairRate(N229,Trigger)</f>
        <v>2.389918010070069E-2</v>
      </c>
      <c r="Q229" s="547">
        <f t="shared" si="7"/>
        <v>7.8036126705458703E-5</v>
      </c>
    </row>
    <row r="230" spans="5:17" x14ac:dyDescent="0.2">
      <c r="E230" s="538"/>
      <c r="F230" s="538"/>
      <c r="G230" s="537"/>
      <c r="I230" s="537"/>
      <c r="J230" s="537"/>
      <c r="L230" s="553">
        <f>_xll.qlCalendarAdvance(Calendar,L229,"1M","f",,Trigger)</f>
        <v>48974</v>
      </c>
      <c r="M230" s="544">
        <f>_xll.qlCalendarAdvance(Calendar,L230,"3M","f",,Trigger)</f>
        <v>49066</v>
      </c>
      <c r="N230" s="546" t="str">
        <f>_xll.qlMakeDatedOIS(,L230,M230,"eonia",,,,,Trigger)</f>
        <v>obj_00868#0000</v>
      </c>
      <c r="O230" s="545">
        <f>_xll.qlIndexFixing("euribor6m",_xll.qlInterestRateIndexFixingDate("Euribor6M",L230),TRUE)</f>
        <v>2.3933527130966654E-2</v>
      </c>
      <c r="P230" s="545">
        <f>_xll.qlOvernightIndexedSwapFairRate(N230,Trigger)</f>
        <v>2.3900763605755333E-2</v>
      </c>
      <c r="Q230" s="547">
        <f t="shared" si="7"/>
        <v>3.2763525211320504E-5</v>
      </c>
    </row>
    <row r="231" spans="5:17" x14ac:dyDescent="0.2">
      <c r="E231" s="538"/>
      <c r="F231" s="538"/>
      <c r="G231" s="537"/>
      <c r="I231" s="537"/>
      <c r="J231" s="537"/>
      <c r="L231" s="553">
        <f>_xll.qlCalendarAdvance(Calendar,L230,"1M","f",,Trigger)</f>
        <v>49003</v>
      </c>
      <c r="M231" s="544">
        <f>_xll.qlCalendarAdvance(Calendar,L231,"3M","f",,Trigger)</f>
        <v>49093</v>
      </c>
      <c r="N231" s="546" t="str">
        <f>_xll.qlMakeDatedOIS(,L231,M231,"eonia",,,,,Trigger)</f>
        <v>obj_0086a#0000</v>
      </c>
      <c r="O231" s="545">
        <f>_xll.qlIndexFixing("euribor6m",_xll.qlInterestRateIndexFixingDate("Euribor6M",L231),TRUE)</f>
        <v>2.389272735135383E-2</v>
      </c>
      <c r="P231" s="545">
        <f>_xll.qlOvernightIndexedSwapFairRate(N231,Trigger)</f>
        <v>2.3899180100699798E-2</v>
      </c>
      <c r="Q231" s="547">
        <f t="shared" si="7"/>
        <v>-6.4527493459677621E-6</v>
      </c>
    </row>
    <row r="232" spans="5:17" x14ac:dyDescent="0.2">
      <c r="E232" s="538"/>
      <c r="F232" s="538"/>
      <c r="G232" s="537"/>
      <c r="I232" s="537"/>
      <c r="J232" s="537"/>
      <c r="L232" s="553">
        <f>_xll.qlCalendarAdvance(Calendar,L231,"1M","f",,Trigger)</f>
        <v>49031</v>
      </c>
      <c r="M232" s="544">
        <f>_xll.qlCalendarAdvance(Calendar,L232,"3M","f",,Trigger)</f>
        <v>49123</v>
      </c>
      <c r="N232" s="546" t="str">
        <f>_xll.qlMakeDatedOIS(,L232,M232,"eonia",,,,,Trigger)</f>
        <v>obj_0086c#0000</v>
      </c>
      <c r="O232" s="545">
        <f>_xll.qlIndexFixing("euribor6m",_xll.qlInterestRateIndexFixingDate("Euribor6M",L232),TRUE)</f>
        <v>2.3853098178399333E-2</v>
      </c>
      <c r="P232" s="545">
        <f>_xll.qlOvernightIndexedSwapFairRate(N232,Trigger)</f>
        <v>2.3900763605755333E-2</v>
      </c>
      <c r="Q232" s="547">
        <f t="shared" si="7"/>
        <v>-4.7665427356000101E-5</v>
      </c>
    </row>
    <row r="233" spans="5:17" x14ac:dyDescent="0.2">
      <c r="E233" s="538"/>
      <c r="F233" s="538"/>
      <c r="G233" s="537"/>
      <c r="I233" s="537"/>
      <c r="J233" s="537"/>
      <c r="L233" s="553">
        <f>_xll.qlCalendarAdvance(Calendar,L232,"1M","f",,Trigger)</f>
        <v>49062</v>
      </c>
      <c r="M233" s="544">
        <f>_xll.qlCalendarAdvance(Calendar,L233,"3M","f",,Trigger)</f>
        <v>49153</v>
      </c>
      <c r="N233" s="546" t="str">
        <f>_xll.qlMakeDatedOIS(,L233,M233,"eonia",,,,,Trigger)</f>
        <v>obj_0086e#0000</v>
      </c>
      <c r="O233" s="545">
        <f>_xll.qlIndexFixing("euribor6m",_xll.qlInterestRateIndexFixingDate("Euribor6M",L233),TRUE)</f>
        <v>2.3809315654666929E-2</v>
      </c>
      <c r="P233" s="545">
        <f>_xll.qlOvernightIndexedSwapFairRate(N233,Trigger)</f>
        <v>2.3899971835750825E-2</v>
      </c>
      <c r="Q233" s="547">
        <f t="shared" si="7"/>
        <v>-9.0656181083895865E-5</v>
      </c>
    </row>
    <row r="234" spans="5:17" x14ac:dyDescent="0.2">
      <c r="E234" s="538"/>
      <c r="F234" s="538"/>
      <c r="G234" s="537"/>
      <c r="I234" s="537"/>
      <c r="J234" s="537"/>
      <c r="L234" s="553">
        <f>_xll.qlCalendarAdvance(Calendar,L233,"1M","f",,Trigger)</f>
        <v>49093</v>
      </c>
      <c r="M234" s="544">
        <f>_xll.qlCalendarAdvance(Calendar,L234,"3M","f",,Trigger)</f>
        <v>49185</v>
      </c>
      <c r="N234" s="546" t="str">
        <f>_xll.qlMakeDatedOIS(,L234,M234,"eonia",,,,,Trigger)</f>
        <v>obj_00870#0000</v>
      </c>
      <c r="O234" s="545">
        <f>_xll.qlIndexFixing("euribor6m",_xll.qlInterestRateIndexFixingDate("Euribor6M",L234),TRUE)</f>
        <v>2.3765203601678549E-2</v>
      </c>
      <c r="P234" s="545">
        <f>_xll.qlOvernightIndexedSwapFairRate(N234,Trigger)</f>
        <v>2.3564930185036605E-2</v>
      </c>
      <c r="Q234" s="547">
        <f t="shared" si="7"/>
        <v>2.0027341664194398E-4</v>
      </c>
    </row>
    <row r="235" spans="5:17" x14ac:dyDescent="0.2">
      <c r="E235" s="538"/>
      <c r="F235" s="538"/>
      <c r="G235" s="537"/>
      <c r="I235" s="537"/>
      <c r="J235" s="537"/>
      <c r="L235" s="553">
        <f>_xll.qlCalendarAdvance(Calendar,L234,"1M","f",,Trigger)</f>
        <v>49124</v>
      </c>
      <c r="M235" s="544">
        <f>_xll.qlCalendarAdvance(Calendar,L235,"3M","f",,Trigger)</f>
        <v>49216</v>
      </c>
      <c r="N235" s="546" t="str">
        <f>_xll.qlMakeDatedOIS(,L235,M235,"eonia",,,,,Trigger)</f>
        <v>obj_00872#0000</v>
      </c>
      <c r="O235" s="545">
        <f>_xll.qlIndexFixing("euribor6m",_xll.qlInterestRateIndexFixingDate("Euribor6M",L235),TRUE)</f>
        <v>2.3721168350011864E-2</v>
      </c>
      <c r="P235" s="545">
        <f>_xll.qlOvernightIndexedSwapFairRate(N235,Trigger)</f>
        <v>2.2821400983169007E-2</v>
      </c>
      <c r="Q235" s="547">
        <f t="shared" si="7"/>
        <v>8.9976736684285741E-4</v>
      </c>
    </row>
    <row r="236" spans="5:17" x14ac:dyDescent="0.2">
      <c r="E236" s="538"/>
      <c r="F236" s="538"/>
      <c r="G236" s="537"/>
      <c r="I236" s="537"/>
      <c r="J236" s="537"/>
      <c r="L236" s="553">
        <f>_xll.qlCalendarAdvance(Calendar,L235,"1M","f",,Trigger)</f>
        <v>49156</v>
      </c>
      <c r="M236" s="544">
        <f>_xll.qlCalendarAdvance(Calendar,L236,"3M","f",,Trigger)</f>
        <v>49248</v>
      </c>
      <c r="N236" s="546" t="str">
        <f>_xll.qlMakeDatedOIS(,L236,M236,"eonia",,,,,Trigger)</f>
        <v>obj_00874#0000</v>
      </c>
      <c r="O236" s="545">
        <f>_xll.qlIndexFixing("euribor6m",_xll.qlInterestRateIndexFixingDate("Euribor6M",L236),TRUE)</f>
        <v>2.3675883485894018E-2</v>
      </c>
      <c r="P236" s="545">
        <f>_xll.qlOvernightIndexedSwapFairRate(N236,Trigger)</f>
        <v>2.2054034270834143E-2</v>
      </c>
      <c r="Q236" s="547">
        <f t="shared" si="7"/>
        <v>1.6218492150598743E-3</v>
      </c>
    </row>
    <row r="237" spans="5:17" x14ac:dyDescent="0.2">
      <c r="E237" s="538"/>
      <c r="F237" s="538"/>
      <c r="G237" s="537"/>
      <c r="I237" s="537"/>
      <c r="J237" s="537"/>
      <c r="L237" s="553">
        <f>_xll.qlCalendarAdvance(Calendar,L236,"1M","f",,Trigger)</f>
        <v>49187</v>
      </c>
      <c r="M237" s="544">
        <f>_xll.qlCalendarAdvance(Calendar,L237,"3M","f",,Trigger)</f>
        <v>49278</v>
      </c>
      <c r="N237" s="546" t="str">
        <f>_xll.qlMakeDatedOIS(,L237,M237,"eonia",,,,,Trigger)</f>
        <v>obj_00876#0000</v>
      </c>
      <c r="O237" s="545">
        <f>_xll.qlIndexFixing("euribor6m",_xll.qlInterestRateIndexFixingDate("Euribor6M",L237),TRUE)</f>
        <v>2.3631803002016231E-2</v>
      </c>
      <c r="P237" s="545">
        <f>_xll.qlOvernightIndexedSwapFairRate(N237,Trigger)</f>
        <v>2.1693730170726507E-2</v>
      </c>
      <c r="Q237" s="547">
        <f t="shared" si="7"/>
        <v>1.9380728312897236E-3</v>
      </c>
    </row>
    <row r="238" spans="5:17" x14ac:dyDescent="0.2">
      <c r="E238" s="538"/>
      <c r="F238" s="538"/>
      <c r="G238" s="537"/>
      <c r="I238" s="537"/>
      <c r="J238" s="537"/>
      <c r="L238" s="553">
        <f>_xll.qlCalendarAdvance(Calendar,L237,"1M","f",,Trigger)</f>
        <v>49219</v>
      </c>
      <c r="M238" s="544">
        <f>_xll.qlCalendarAdvance(Calendar,L238,"3M","f",,Trigger)</f>
        <v>49311</v>
      </c>
      <c r="N238" s="546" t="str">
        <f>_xll.qlMakeDatedOIS(,L238,M238,"eonia",,,,,Trigger)</f>
        <v>obj_00878#0000</v>
      </c>
      <c r="O238" s="545">
        <f>_xll.qlIndexFixing("euribor6m",_xll.qlInterestRateIndexFixingDate("Euribor6M",L238),TRUE)</f>
        <v>2.3586650364530417E-2</v>
      </c>
      <c r="P238" s="545">
        <f>_xll.qlOvernightIndexedSwapFairRate(N238,Trigger)</f>
        <v>2.1694382628300566E-2</v>
      </c>
      <c r="Q238" s="547">
        <f t="shared" si="7"/>
        <v>1.8922677362298509E-3</v>
      </c>
    </row>
    <row r="239" spans="5:17" x14ac:dyDescent="0.2">
      <c r="E239" s="538"/>
      <c r="F239" s="538"/>
      <c r="G239" s="537"/>
      <c r="I239" s="537"/>
      <c r="J239" s="537"/>
      <c r="L239" s="553">
        <f>_xll.qlCalendarAdvance(Calendar,L238,"1M","f",,Trigger)</f>
        <v>49250</v>
      </c>
      <c r="M239" s="544">
        <f>_xll.qlCalendarAdvance(Calendar,L239,"3M","f",,Trigger)</f>
        <v>49342</v>
      </c>
      <c r="N239" s="546" t="str">
        <f>_xll.qlMakeDatedOIS(,L239,M239,"eonia",,,,,Trigger)</f>
        <v>obj_0087a#0000</v>
      </c>
      <c r="O239" s="545">
        <f>_xll.qlIndexFixing("euribor6m",_xll.qlInterestRateIndexFixingDate("Euribor6M",L239),TRUE)</f>
        <v>2.3542853111672264E-2</v>
      </c>
      <c r="P239" s="545">
        <f>_xll.qlOvernightIndexedSwapFairRate(N239,Trigger)</f>
        <v>2.1694382628299699E-2</v>
      </c>
      <c r="Q239" s="547">
        <f t="shared" si="7"/>
        <v>1.8484704833725656E-3</v>
      </c>
    </row>
    <row r="240" spans="5:17" x14ac:dyDescent="0.2">
      <c r="E240" s="538"/>
      <c r="F240" s="538"/>
      <c r="G240" s="537"/>
      <c r="I240" s="537"/>
      <c r="J240" s="537"/>
      <c r="L240" s="553">
        <f>_xll.qlCalendarAdvance(Calendar,L239,"1M","f",,Trigger)</f>
        <v>49282</v>
      </c>
      <c r="M240" s="544">
        <f>_xll.qlCalendarAdvance(Calendar,L240,"3M","f",,Trigger)</f>
        <v>49373</v>
      </c>
      <c r="N240" s="546" t="str">
        <f>_xll.qlMakeDatedOIS(,L240,M240,"eonia",,,,,Trigger)</f>
        <v>obj_0087c#0000</v>
      </c>
      <c r="O240" s="545">
        <f>_xll.qlIndexFixing("euribor6m",_xll.qlInterestRateIndexFixingDate("Euribor6M",L240),TRUE)</f>
        <v>2.3497845479073728E-2</v>
      </c>
      <c r="P240" s="545">
        <f>_xll.qlOvernightIndexedSwapFairRate(N240,Trigger)</f>
        <v>2.1693730170726514E-2</v>
      </c>
      <c r="Q240" s="547">
        <f t="shared" si="7"/>
        <v>1.8041153083472143E-3</v>
      </c>
    </row>
    <row r="241" spans="5:17" x14ac:dyDescent="0.2">
      <c r="E241" s="538"/>
      <c r="F241" s="538"/>
      <c r="G241" s="537"/>
      <c r="I241" s="537"/>
      <c r="J241" s="537"/>
      <c r="L241" s="553">
        <f>_xll.qlCalendarAdvance(Calendar,L240,"1M","f",,Trigger)</f>
        <v>49313</v>
      </c>
      <c r="M241" s="544">
        <f>_xll.qlCalendarAdvance(Calendar,L241,"3M","f",,Trigger)</f>
        <v>49403</v>
      </c>
      <c r="N241" s="546" t="str">
        <f>_xll.qlMakeDatedOIS(,L241,M241,"eonia",,,,,Trigger)</f>
        <v>obj_0087e#0000</v>
      </c>
      <c r="O241" s="545">
        <f>_xll.qlIndexFixing("euribor6m",_xll.qlInterestRateIndexFixingDate("Euribor6M",L241),TRUE)</f>
        <v>2.3454195489143109E-2</v>
      </c>
      <c r="P241" s="545">
        <f>_xll.qlOvernightIndexedSwapFairRate(N241,Trigger)</f>
        <v>2.1693077739304734E-2</v>
      </c>
      <c r="Q241" s="547">
        <f t="shared" si="7"/>
        <v>1.761117749838375E-3</v>
      </c>
    </row>
    <row r="242" spans="5:17" x14ac:dyDescent="0.2">
      <c r="E242" s="538"/>
      <c r="F242" s="538"/>
      <c r="G242" s="537"/>
      <c r="I242" s="537"/>
      <c r="J242" s="537"/>
      <c r="L242" s="553">
        <f>_xll.qlCalendarAdvance(Calendar,L241,"1M","f",,Trigger)</f>
        <v>49345</v>
      </c>
      <c r="M242" s="544">
        <f>_xll.qlCalendarAdvance(Calendar,L242,"3M","f",,Trigger)</f>
        <v>49436</v>
      </c>
      <c r="N242" s="546" t="str">
        <f>_xll.qlMakeDatedOIS(,L242,M242,"eonia",,,,,Trigger)</f>
        <v>obj_00880#0000</v>
      </c>
      <c r="O242" s="545">
        <f>_xll.qlIndexFixing("euribor6m",_xll.qlInterestRateIndexFixingDate("Euribor6M",L242),TRUE)</f>
        <v>2.340933288220905E-2</v>
      </c>
      <c r="P242" s="545">
        <f>_xll.qlOvernightIndexedSwapFairRate(N242,Trigger)</f>
        <v>2.1693730170726514E-2</v>
      </c>
      <c r="Q242" s="547">
        <f t="shared" si="7"/>
        <v>1.7156027114825362E-3</v>
      </c>
    </row>
    <row r="243" spans="5:17" x14ac:dyDescent="0.2">
      <c r="E243" s="538"/>
      <c r="F243" s="538"/>
      <c r="G243" s="537"/>
      <c r="I243" s="537"/>
      <c r="J243" s="537"/>
      <c r="L243" s="553">
        <f>_xll.qlCalendarAdvance(Calendar,L242,"1M","f",,Trigger)</f>
        <v>49373</v>
      </c>
      <c r="M243" s="544">
        <f>_xll.qlCalendarAdvance(Calendar,L243,"3M","f",,Trigger)</f>
        <v>49465</v>
      </c>
      <c r="N243" s="546" t="str">
        <f>_xll.qlMakeDatedOIS(,L243,M243,"eonia",,,,,Trigger)</f>
        <v>obj_00882#0000</v>
      </c>
      <c r="O243" s="545">
        <f>_xll.qlIndexFixing("euribor6m",_xll.qlInterestRateIndexFixingDate("Euribor6M",L243),TRUE)</f>
        <v>2.3370200491899265E-2</v>
      </c>
      <c r="P243" s="545">
        <f>_xll.qlOvernightIndexedSwapFairRate(N243,Trigger)</f>
        <v>2.1694382628300566E-2</v>
      </c>
      <c r="Q243" s="547">
        <f t="shared" si="7"/>
        <v>1.6758178635986991E-3</v>
      </c>
    </row>
    <row r="244" spans="5:17" x14ac:dyDescent="0.2">
      <c r="E244" s="538"/>
      <c r="F244" s="538"/>
      <c r="G244" s="537"/>
      <c r="I244" s="537"/>
      <c r="J244" s="537"/>
      <c r="L244" s="553">
        <f>_xll.qlCalendarAdvance(Calendar,L243,"1M","f",,Trigger)</f>
        <v>49404</v>
      </c>
      <c r="M244" s="544">
        <f>_xll.qlCalendarAdvance(Calendar,L244,"3M","f",,Trigger)</f>
        <v>49495</v>
      </c>
      <c r="N244" s="546" t="str">
        <f>_xll.qlMakeDatedOIS(,L244,M244,"eonia",,,,,Trigger)</f>
        <v>obj_00884#0000</v>
      </c>
      <c r="O244" s="545">
        <f>_xll.qlIndexFixing("euribor6m",_xll.qlInterestRateIndexFixingDate("Euribor6M",L244),TRUE)</f>
        <v>2.3326759865407699E-2</v>
      </c>
      <c r="P244" s="545">
        <f>_xll.qlOvernightIndexedSwapFairRate(N244,Trigger)</f>
        <v>2.1693730170726514E-2</v>
      </c>
      <c r="Q244" s="547">
        <f t="shared" si="7"/>
        <v>1.6330296946811852E-3</v>
      </c>
    </row>
    <row r="245" spans="5:17" x14ac:dyDescent="0.2">
      <c r="E245" s="538"/>
      <c r="F245" s="538"/>
      <c r="G245" s="537"/>
      <c r="I245" s="537"/>
      <c r="J245" s="537"/>
      <c r="L245" s="553">
        <f>_xll.qlCalendarAdvance(Calendar,L244,"1M","f",,Trigger)</f>
        <v>49436</v>
      </c>
      <c r="M245" s="544">
        <f>_xll.qlCalendarAdvance(Calendar,L245,"3M","f",,Trigger)</f>
        <v>49528</v>
      </c>
      <c r="N245" s="546" t="str">
        <f>_xll.qlMakeDatedOIS(,L245,M245,"eonia",,,,,Trigger)</f>
        <v>obj_00886#0000</v>
      </c>
      <c r="O245" s="545">
        <f>_xll.qlIndexFixing("euribor6m",_xll.qlInterestRateIndexFixingDate("Euribor6M",L245),TRUE)</f>
        <v>2.3282103311832208E-2</v>
      </c>
      <c r="P245" s="545">
        <f>_xll.qlOvernightIndexedSwapFairRate(N245,Trigger)</f>
        <v>2.1694382628300573E-2</v>
      </c>
      <c r="Q245" s="547">
        <f t="shared" si="7"/>
        <v>1.5877206835316349E-3</v>
      </c>
    </row>
    <row r="246" spans="5:17" x14ac:dyDescent="0.2">
      <c r="E246" s="538"/>
      <c r="F246" s="538"/>
      <c r="G246" s="537"/>
      <c r="I246" s="537"/>
      <c r="J246" s="537"/>
      <c r="L246" s="553">
        <f>_xll.qlCalendarAdvance(Calendar,L245,"1M","f",,Trigger)</f>
        <v>49467</v>
      </c>
      <c r="M246" s="544">
        <f>_xll.qlCalendarAdvance(Calendar,L246,"3M","f",,Trigger)</f>
        <v>49559</v>
      </c>
      <c r="N246" s="546" t="str">
        <f>_xll.qlMakeDatedOIS(,L246,M246,"eonia",,,,,Trigger)</f>
        <v>obj_00888#0000</v>
      </c>
      <c r="O246" s="545">
        <f>_xll.qlIndexFixing("euribor6m",_xll.qlInterestRateIndexFixingDate("Euribor6M",L246),TRUE)</f>
        <v>2.3238809842993501E-2</v>
      </c>
      <c r="P246" s="545">
        <f>_xll.qlOvernightIndexedSwapFairRate(N246,Trigger)</f>
        <v>2.1694382628300569E-2</v>
      </c>
      <c r="Q246" s="547">
        <f t="shared" si="7"/>
        <v>1.5444272146929311E-3</v>
      </c>
    </row>
    <row r="247" spans="5:17" x14ac:dyDescent="0.2">
      <c r="E247" s="538"/>
      <c r="F247" s="538"/>
      <c r="G247" s="537"/>
      <c r="I247" s="537"/>
      <c r="J247" s="537"/>
      <c r="L247" s="553">
        <f>_xll.qlCalendarAdvance(Calendar,L246,"1M","f",,Trigger)</f>
        <v>49499</v>
      </c>
      <c r="M247" s="544">
        <f>_xll.qlCalendarAdvance(Calendar,L247,"3M","f",,Trigger)</f>
        <v>49591</v>
      </c>
      <c r="N247" s="546" t="str">
        <f>_xll.qlMakeDatedOIS(,L247,M247,"eonia",,,,,Trigger)</f>
        <v>obj_0088a#0000</v>
      </c>
      <c r="O247" s="545">
        <f>_xll.qlIndexFixing("euribor6m",_xll.qlInterestRateIndexFixingDate("Euribor6M",L247),TRUE)</f>
        <v>2.3194298406081639E-2</v>
      </c>
      <c r="P247" s="545">
        <f>_xll.qlOvernightIndexedSwapFairRate(N247,Trigger)</f>
        <v>2.1694382628300569E-2</v>
      </c>
      <c r="Q247" s="547">
        <f t="shared" si="7"/>
        <v>1.4999157777810697E-3</v>
      </c>
    </row>
    <row r="248" spans="5:17" x14ac:dyDescent="0.2">
      <c r="E248" s="538"/>
      <c r="F248" s="538"/>
      <c r="G248" s="537"/>
      <c r="I248" s="537"/>
      <c r="J248" s="537"/>
      <c r="L248" s="553">
        <f>_xll.qlCalendarAdvance(Calendar,L247,"1M","f",,Trigger)</f>
        <v>49530</v>
      </c>
      <c r="M248" s="544">
        <f>_xll.qlCalendarAdvance(Calendar,L248,"3M","f",,Trigger)</f>
        <v>49622</v>
      </c>
      <c r="N248" s="546" t="str">
        <f>_xll.qlMakeDatedOIS(,L248,M248,"eonia",,,,,Trigger)</f>
        <v>obj_0088c#0000</v>
      </c>
      <c r="O248" s="545">
        <f>_xll.qlIndexFixing("euribor6m",_xll.qlInterestRateIndexFixingDate("Euribor6M",L248),TRUE)</f>
        <v>2.3151296124329319E-2</v>
      </c>
      <c r="P248" s="545">
        <f>_xll.qlOvernightIndexedSwapFairRate(N248,Trigger)</f>
        <v>2.1694382628300569E-2</v>
      </c>
      <c r="Q248" s="547">
        <f t="shared" si="7"/>
        <v>1.45691349602875E-3</v>
      </c>
    </row>
    <row r="249" spans="5:17" x14ac:dyDescent="0.2">
      <c r="E249" s="538"/>
      <c r="F249" s="538"/>
      <c r="G249" s="537"/>
      <c r="I249" s="537"/>
      <c r="J249" s="537"/>
      <c r="L249" s="553">
        <f>_xll.qlCalendarAdvance(Calendar,L248,"1M","f",,Trigger)</f>
        <v>49562</v>
      </c>
      <c r="M249" s="544">
        <f>_xll.qlCalendarAdvance(Calendar,L249,"3M","f",,Trigger)</f>
        <v>49653</v>
      </c>
      <c r="N249" s="546" t="str">
        <f>_xll.qlMakeDatedOIS(,L249,M249,"eonia",,,,,Trigger)</f>
        <v>obj_0088e#0000</v>
      </c>
      <c r="O249" s="545">
        <f>_xll.qlIndexFixing("euribor6m",_xll.qlInterestRateIndexFixingDate("Euribor6M",L249),TRUE)</f>
        <v>2.3106692897640304E-2</v>
      </c>
      <c r="P249" s="545">
        <f>_xll.qlOvernightIndexedSwapFairRate(N249,Trigger)</f>
        <v>2.1693730170726514E-2</v>
      </c>
      <c r="Q249" s="547">
        <f t="shared" si="7"/>
        <v>1.4129627269137898E-3</v>
      </c>
    </row>
    <row r="250" spans="5:17" x14ac:dyDescent="0.2">
      <c r="E250" s="538"/>
      <c r="F250" s="538"/>
      <c r="G250" s="537"/>
      <c r="I250" s="537"/>
      <c r="J250" s="537"/>
      <c r="L250" s="553">
        <f>_xll.qlCalendarAdvance(Calendar,L249,"1M","f",,Trigger)</f>
        <v>49592</v>
      </c>
      <c r="M250" s="544">
        <f>_xll.qlCalendarAdvance(Calendar,L250,"3M","f",,Trigger)</f>
        <v>49684</v>
      </c>
      <c r="N250" s="546" t="str">
        <f>_xll.qlMakeDatedOIS(,L250,M250,"eonia",,,,,Trigger)</f>
        <v>obj_00890#0000</v>
      </c>
      <c r="O250" s="545">
        <f>_xll.qlIndexFixing("euribor6m",_xll.qlInterestRateIndexFixingDate("Euribor6M",L250),TRUE)</f>
        <v>2.3065170881221415E-2</v>
      </c>
      <c r="P250" s="545">
        <f>_xll.qlOvernightIndexedSwapFairRate(N250,Trigger)</f>
        <v>2.1694382628299699E-2</v>
      </c>
      <c r="Q250" s="547">
        <f t="shared" si="7"/>
        <v>1.3707882529217161E-3</v>
      </c>
    </row>
    <row r="251" spans="5:17" x14ac:dyDescent="0.2">
      <c r="E251" s="538"/>
      <c r="F251" s="538"/>
      <c r="G251" s="537"/>
      <c r="I251" s="537"/>
      <c r="J251" s="537"/>
      <c r="L251" s="553">
        <f>_xll.qlCalendarAdvance(Calendar,L250,"1M","f",,Trigger)</f>
        <v>49625</v>
      </c>
      <c r="M251" s="544">
        <f>_xll.qlCalendarAdvance(Calendar,L251,"3M","f",,Trigger)</f>
        <v>49717</v>
      </c>
      <c r="N251" s="546" t="str">
        <f>_xll.qlMakeDatedOIS(,L251,M251,"eonia",,,,,Trigger)</f>
        <v>obj_00892#0000</v>
      </c>
      <c r="O251" s="545">
        <f>_xll.qlIndexFixing("euribor6m",_xll.qlInterestRateIndexFixingDate("Euribor6M",L251),TRUE)</f>
        <v>2.3019478898015918E-2</v>
      </c>
      <c r="P251" s="545">
        <f>_xll.qlOvernightIndexedSwapFairRate(N251,Trigger)</f>
        <v>2.1694382628300569E-2</v>
      </c>
      <c r="Q251" s="547">
        <f t="shared" si="7"/>
        <v>1.3250962697153486E-3</v>
      </c>
    </row>
    <row r="252" spans="5:17" x14ac:dyDescent="0.2">
      <c r="E252" s="538"/>
      <c r="F252" s="538"/>
      <c r="G252" s="537"/>
      <c r="I252" s="537"/>
      <c r="J252" s="537"/>
      <c r="L252" s="553">
        <f>_xll.qlCalendarAdvance(Calendar,L251,"1M","f",,Trigger)</f>
        <v>49655</v>
      </c>
      <c r="M252" s="544">
        <f>_xll.qlCalendarAdvance(Calendar,L252,"3M","f",,Trigger)</f>
        <v>49746</v>
      </c>
      <c r="N252" s="546" t="str">
        <f>_xll.qlMakeDatedOIS(,L252,M252,"eonia",,,,,Trigger)</f>
        <v>obj_00894#0000</v>
      </c>
      <c r="O252" s="545">
        <f>_xll.qlIndexFixing("euribor6m",_xll.qlInterestRateIndexFixingDate("Euribor6M",L252),TRUE)</f>
        <v>2.2978092754471081E-2</v>
      </c>
      <c r="P252" s="545">
        <f>_xll.qlOvernightIndexedSwapFairRate(N252,Trigger)</f>
        <v>2.1693730170726511E-2</v>
      </c>
      <c r="Q252" s="547">
        <f t="shared" si="7"/>
        <v>1.2843625837445707E-3</v>
      </c>
    </row>
    <row r="253" spans="5:17" x14ac:dyDescent="0.2">
      <c r="E253" s="538"/>
      <c r="F253" s="538"/>
      <c r="G253" s="537"/>
      <c r="I253" s="537"/>
      <c r="J253" s="537"/>
      <c r="L253" s="553">
        <f>_xll.qlCalendarAdvance(Calendar,L252,"1M","f",,Trigger)</f>
        <v>49688</v>
      </c>
      <c r="M253" s="544">
        <f>_xll.qlCalendarAdvance(Calendar,L253,"3M","f",,Trigger)</f>
        <v>49780</v>
      </c>
      <c r="N253" s="546" t="str">
        <f>_xll.qlMakeDatedOIS(,L253,M253,"eonia",,,,,Trigger)</f>
        <v>obj_00896#0000</v>
      </c>
      <c r="O253" s="545">
        <f>_xll.qlIndexFixing("euribor6m",_xll.qlInterestRateIndexFixingDate("Euribor6M",L253),TRUE)</f>
        <v>2.2932556979305269E-2</v>
      </c>
      <c r="P253" s="545">
        <f>_xll.qlOvernightIndexedSwapFairRate(N253,Trigger)</f>
        <v>2.1694382628299699E-2</v>
      </c>
      <c r="Q253" s="547">
        <f t="shared" si="7"/>
        <v>1.23817435100557E-3</v>
      </c>
    </row>
    <row r="254" spans="5:17" x14ac:dyDescent="0.2">
      <c r="E254" s="538"/>
      <c r="F254" s="538"/>
      <c r="G254" s="537"/>
      <c r="I254" s="537"/>
      <c r="J254" s="537"/>
      <c r="L254" s="553">
        <f>_xll.qlCalendarAdvance(Calendar,L253,"1M","f",,Trigger)</f>
        <v>49719</v>
      </c>
      <c r="M254" s="544">
        <f>_xll.qlCalendarAdvance(Calendar,L254,"3M","f",,Trigger)</f>
        <v>49809</v>
      </c>
      <c r="N254" s="546" t="str">
        <f>_xll.qlMakeDatedOIS(,L254,M254,"eonia",,,,,Trigger)</f>
        <v>obj_00898#0000</v>
      </c>
      <c r="O254" s="545">
        <f>_xll.qlIndexFixing("euribor6m",_xll.qlInterestRateIndexFixingDate("Euribor6M",L254),TRUE)</f>
        <v>2.2889893086375554E-2</v>
      </c>
      <c r="P254" s="545">
        <f>_xll.qlOvernightIndexedSwapFairRate(N254,Trigger)</f>
        <v>2.1693077739304734E-2</v>
      </c>
      <c r="Q254" s="547">
        <f t="shared" si="7"/>
        <v>1.1968153470708204E-3</v>
      </c>
    </row>
    <row r="255" spans="5:17" x14ac:dyDescent="0.2">
      <c r="E255" s="538"/>
      <c r="F255" s="538"/>
      <c r="G255" s="537"/>
      <c r="I255" s="537"/>
      <c r="J255" s="537"/>
      <c r="L255" s="553">
        <f>_xll.qlCalendarAdvance(Calendar,L254,"1M","f",,Trigger)</f>
        <v>49748</v>
      </c>
      <c r="M255" s="544">
        <f>_xll.qlCalendarAdvance(Calendar,L255,"3M","f",,Trigger)</f>
        <v>49842</v>
      </c>
      <c r="N255" s="546" t="str">
        <f>_xll.qlMakeDatedOIS(,L255,M255,"eonia",,,,,Trigger)</f>
        <v>obj_0089a#0000</v>
      </c>
      <c r="O255" s="545">
        <f>_xll.qlIndexFixing("euribor6m",_xll.qlInterestRateIndexFixingDate("Euribor6M",L255),TRUE)</f>
        <v>2.2850156595736682E-2</v>
      </c>
      <c r="P255" s="545">
        <f>_xll.qlOvernightIndexedSwapFairRate(N255,Trigger)</f>
        <v>2.1695687621905529E-2</v>
      </c>
      <c r="Q255" s="547">
        <f t="shared" si="7"/>
        <v>1.1544689738311534E-3</v>
      </c>
    </row>
    <row r="256" spans="5:17" x14ac:dyDescent="0.2">
      <c r="E256" s="538"/>
      <c r="F256" s="538"/>
      <c r="G256" s="537"/>
      <c r="I256" s="537"/>
      <c r="J256" s="537"/>
      <c r="L256" s="553">
        <f>_xll.qlCalendarAdvance(Calendar,L255,"1M","f",,Trigger)</f>
        <v>49780</v>
      </c>
      <c r="M256" s="544">
        <f>_xll.qlCalendarAdvance(Calendar,L256,"3M","f",,Trigger)</f>
        <v>49871</v>
      </c>
      <c r="N256" s="546" t="str">
        <f>_xll.qlMakeDatedOIS(,L256,M256,"eonia",,,,,Trigger)</f>
        <v>obj_0089c#0000</v>
      </c>
      <c r="O256" s="545">
        <f>_xll.qlIndexFixing("euribor6m",_xll.qlInterestRateIndexFixingDate("Euribor6M",L256),TRUE)</f>
        <v>2.2806183407866588E-2</v>
      </c>
      <c r="P256" s="545">
        <f>_xll.qlOvernightIndexedSwapFairRate(N256,Trigger)</f>
        <v>2.1693730170726511E-2</v>
      </c>
      <c r="Q256" s="547">
        <f t="shared" si="7"/>
        <v>1.1124532371400778E-3</v>
      </c>
    </row>
    <row r="257" spans="5:17" x14ac:dyDescent="0.2">
      <c r="E257" s="538"/>
      <c r="F257" s="538"/>
      <c r="G257" s="537"/>
      <c r="I257" s="537"/>
      <c r="J257" s="537"/>
      <c r="L257" s="553">
        <f>_xll.qlCalendarAdvance(Calendar,L256,"1M","f",,Trigger)</f>
        <v>49810</v>
      </c>
      <c r="M257" s="544">
        <f>_xll.qlCalendarAdvance(Calendar,L257,"3M","f",,Trigger)</f>
        <v>49902</v>
      </c>
      <c r="N257" s="546" t="str">
        <f>_xll.qlMakeDatedOIS(,L257,M257,"eonia",,,,,Trigger)</f>
        <v>obj_0089e#0000</v>
      </c>
      <c r="O257" s="545">
        <f>_xll.qlIndexFixing("euribor6m",_xll.qlInterestRateIndexFixingDate("Euribor6M",L257),TRUE)</f>
        <v>2.2765197812644616E-2</v>
      </c>
      <c r="P257" s="545">
        <f>_xll.qlOvernightIndexedSwapFairRate(N257,Trigger)</f>
        <v>2.1694382628299699E-2</v>
      </c>
      <c r="Q257" s="547">
        <f t="shared" si="7"/>
        <v>1.0708151843449171E-3</v>
      </c>
    </row>
    <row r="258" spans="5:17" x14ac:dyDescent="0.2">
      <c r="E258" s="538"/>
      <c r="F258" s="538"/>
      <c r="G258" s="537"/>
      <c r="I258" s="537"/>
      <c r="J258" s="537"/>
      <c r="L258" s="553">
        <f>_xll.qlCalendarAdvance(Calendar,L257,"1M","f",,Trigger)</f>
        <v>49842</v>
      </c>
      <c r="M258" s="544">
        <f>_xll.qlCalendarAdvance(Calendar,L258,"3M","f",,Trigger)</f>
        <v>49934</v>
      </c>
      <c r="N258" s="546" t="str">
        <f>_xll.qlMakeDatedOIS(,L258,M258,"eonia",,,,,Trigger)</f>
        <v>obj_008a0#0000</v>
      </c>
      <c r="O258" s="545">
        <f>_xll.qlIndexFixing("euribor6m",_xll.qlInterestRateIndexFixingDate("Euribor6M",L258),TRUE)</f>
        <v>2.2721342915858235E-2</v>
      </c>
      <c r="P258" s="545">
        <f>_xll.qlOvernightIndexedSwapFairRate(N258,Trigger)</f>
        <v>2.1694382628300569E-2</v>
      </c>
      <c r="Q258" s="547">
        <f t="shared" si="7"/>
        <v>1.0269602875576656E-3</v>
      </c>
    </row>
    <row r="259" spans="5:17" x14ac:dyDescent="0.2">
      <c r="E259" s="538"/>
      <c r="F259" s="538"/>
      <c r="G259" s="537"/>
      <c r="I259" s="537"/>
      <c r="J259" s="537"/>
      <c r="L259" s="553">
        <f>_xll.qlCalendarAdvance(Calendar,L258,"1M","f",,Trigger)</f>
        <v>49872</v>
      </c>
      <c r="M259" s="544">
        <f>_xll.qlCalendarAdvance(Calendar,L259,"3M","f",,Trigger)</f>
        <v>49964</v>
      </c>
      <c r="N259" s="546" t="str">
        <f>_xll.qlMakeDatedOIS(,L259,M259,"eonia",,,,,Trigger)</f>
        <v>obj_008a2#0000</v>
      </c>
      <c r="O259" s="545">
        <f>_xll.qlIndexFixing("euribor6m",_xll.qlInterestRateIndexFixingDate("Euribor6M",L259),TRUE)</f>
        <v>2.2680423443532941E-2</v>
      </c>
      <c r="P259" s="545">
        <f>_xll.qlOvernightIndexedSwapFairRate(N259,Trigger)</f>
        <v>2.1694382628300566E-2</v>
      </c>
      <c r="Q259" s="547">
        <f t="shared" ref="Q259:Q322" si="8">O259-P259</f>
        <v>9.8604081523237519E-4</v>
      </c>
    </row>
    <row r="260" spans="5:17" x14ac:dyDescent="0.2">
      <c r="E260" s="538"/>
      <c r="F260" s="538"/>
      <c r="G260" s="537"/>
      <c r="I260" s="537"/>
      <c r="J260" s="537"/>
      <c r="L260" s="553">
        <f>_xll.qlCalendarAdvance(Calendar,L259,"1M","f",,Trigger)</f>
        <v>49905</v>
      </c>
      <c r="M260" s="544">
        <f>_xll.qlCalendarAdvance(Calendar,L260,"3M","f",,Trigger)</f>
        <v>49997</v>
      </c>
      <c r="N260" s="546" t="str">
        <f>_xll.qlMakeDatedOIS(,L260,M260,"eonia",,,,,Trigger)</f>
        <v>obj_008a4#0000</v>
      </c>
      <c r="O260" s="545">
        <f>_xll.qlIndexFixing("euribor6m",_xll.qlInterestRateIndexFixingDate("Euribor6M",L260),TRUE)</f>
        <v>2.2635452953913393E-2</v>
      </c>
      <c r="P260" s="545">
        <f>_xll.qlOvernightIndexedSwapFairRate(N260,Trigger)</f>
        <v>2.1694382628299699E-2</v>
      </c>
      <c r="Q260" s="547">
        <f t="shared" si="8"/>
        <v>9.4107032561369444E-4</v>
      </c>
    </row>
    <row r="261" spans="5:17" x14ac:dyDescent="0.2">
      <c r="E261" s="538"/>
      <c r="F261" s="538"/>
      <c r="G261" s="537"/>
      <c r="I261" s="537"/>
      <c r="J261" s="537"/>
      <c r="L261" s="553">
        <f>_xll.qlCalendarAdvance(Calendar,L260,"1M","f",,Trigger)</f>
        <v>49936</v>
      </c>
      <c r="M261" s="544">
        <f>_xll.qlCalendarAdvance(Calendar,L261,"3M","f",,Trigger)</f>
        <v>50027</v>
      </c>
      <c r="N261" s="546" t="str">
        <f>_xll.qlMakeDatedOIS(,L261,M261,"eonia",,,,,Trigger)</f>
        <v>obj_008a6#0000</v>
      </c>
      <c r="O261" s="545">
        <f>_xll.qlIndexFixing("euribor6m",_xll.qlInterestRateIndexFixingDate("Euribor6M",L261),TRUE)</f>
        <v>2.2593197558233108E-2</v>
      </c>
      <c r="P261" s="545">
        <f>_xll.qlOvernightIndexedSwapFairRate(N261,Trigger)</f>
        <v>2.1693730170727392E-2</v>
      </c>
      <c r="Q261" s="547">
        <f t="shared" si="8"/>
        <v>8.9946738750571603E-4</v>
      </c>
    </row>
    <row r="262" spans="5:17" x14ac:dyDescent="0.2">
      <c r="E262" s="538"/>
      <c r="F262" s="538"/>
      <c r="G262" s="537"/>
      <c r="I262" s="537"/>
      <c r="J262" s="537"/>
      <c r="L262" s="553">
        <f>_xll.qlCalendarAdvance(Calendar,L261,"1M","f",,Trigger)</f>
        <v>49968</v>
      </c>
      <c r="M262" s="544">
        <f>_xll.qlCalendarAdvance(Calendar,L262,"3M","f",,Trigger)</f>
        <v>50060</v>
      </c>
      <c r="N262" s="546" t="str">
        <f>_xll.qlMakeDatedOIS(,L262,M262,"eonia",,,,,Trigger)</f>
        <v>obj_008a8#0000</v>
      </c>
      <c r="O262" s="545">
        <f>_xll.qlIndexFixing("euribor6m",_xll.qlInterestRateIndexFixingDate("Euribor6M",L262),TRUE)</f>
        <v>2.2549770181242067E-2</v>
      </c>
      <c r="P262" s="545">
        <f>_xll.qlOvernightIndexedSwapFairRate(N262,Trigger)</f>
        <v>2.1694382628300569E-2</v>
      </c>
      <c r="Q262" s="547">
        <f t="shared" si="8"/>
        <v>8.5538755294149726E-4</v>
      </c>
    </row>
    <row r="263" spans="5:17" x14ac:dyDescent="0.2">
      <c r="E263" s="538"/>
      <c r="F263" s="538"/>
      <c r="G263" s="537"/>
      <c r="I263" s="537"/>
      <c r="J263" s="537"/>
      <c r="L263" s="553">
        <f>_xll.qlCalendarAdvance(Calendar,L262,"1M","f",,Trigger)</f>
        <v>49999</v>
      </c>
      <c r="M263" s="544">
        <f>_xll.qlCalendarAdvance(Calendar,L263,"3M","f",,Trigger)</f>
        <v>50091</v>
      </c>
      <c r="N263" s="546" t="str">
        <f>_xll.qlMakeDatedOIS(,L263,M263,"eonia",,,,,Trigger)</f>
        <v>obj_008aa#0000</v>
      </c>
      <c r="O263" s="545">
        <f>_xll.qlIndexFixing("euribor6m",_xll.qlInterestRateIndexFixingDate("Euribor6M",L263),TRUE)</f>
        <v>2.2507719956767227E-2</v>
      </c>
      <c r="P263" s="545">
        <f>_xll.qlOvernightIndexedSwapFairRate(N263,Trigger)</f>
        <v>2.1694382628300569E-2</v>
      </c>
      <c r="Q263" s="547">
        <f t="shared" si="8"/>
        <v>8.1333732846665743E-4</v>
      </c>
    </row>
    <row r="264" spans="5:17" x14ac:dyDescent="0.2">
      <c r="E264" s="538"/>
      <c r="F264" s="538"/>
      <c r="G264" s="537"/>
      <c r="I264" s="537"/>
      <c r="J264" s="537"/>
      <c r="L264" s="553">
        <f>_xll.qlCalendarAdvance(Calendar,L263,"1M","f",,Trigger)</f>
        <v>50031</v>
      </c>
      <c r="M264" s="544">
        <f>_xll.qlCalendarAdvance(Calendar,L264,"3M","f",,Trigger)</f>
        <v>50122</v>
      </c>
      <c r="N264" s="546" t="str">
        <f>_xll.qlMakeDatedOIS(,L264,M264,"eonia",,,,,Trigger)</f>
        <v>obj_008ac#0000</v>
      </c>
      <c r="O264" s="545">
        <f>_xll.qlIndexFixing("euribor6m",_xll.qlInterestRateIndexFixingDate("Euribor6M",L264),TRUE)</f>
        <v>2.2464437822206952E-2</v>
      </c>
      <c r="P264" s="545">
        <f>_xll.qlOvernightIndexedSwapFairRate(N264,Trigger)</f>
        <v>2.1693730170727392E-2</v>
      </c>
      <c r="Q264" s="547">
        <f t="shared" si="8"/>
        <v>7.7070765147956022E-4</v>
      </c>
    </row>
    <row r="265" spans="5:17" x14ac:dyDescent="0.2">
      <c r="E265" s="538"/>
      <c r="F265" s="538"/>
      <c r="G265" s="537"/>
      <c r="I265" s="537"/>
      <c r="J265" s="537"/>
      <c r="L265" s="553">
        <f>_xll.qlCalendarAdvance(Calendar,L264,"1M","f",,Trigger)</f>
        <v>50062</v>
      </c>
      <c r="M265" s="544">
        <f>_xll.qlCalendarAdvance(Calendar,L265,"3M","f",,Trigger)</f>
        <v>50152</v>
      </c>
      <c r="N265" s="546" t="str">
        <f>_xll.qlMakeDatedOIS(,L265,M265,"eonia",,,,,Trigger)</f>
        <v>obj_008ae#0000</v>
      </c>
      <c r="O265" s="545">
        <f>_xll.qlIndexFixing("euribor6m",_xll.qlInterestRateIndexFixingDate("Euribor6M",L265),TRUE)</f>
        <v>2.2422534176236051E-2</v>
      </c>
      <c r="P265" s="545">
        <f>_xll.qlOvernightIndexedSwapFairRate(N265,Trigger)</f>
        <v>2.1693077739304734E-2</v>
      </c>
      <c r="Q265" s="547">
        <f t="shared" si="8"/>
        <v>7.2945643693131737E-4</v>
      </c>
    </row>
    <row r="266" spans="5:17" x14ac:dyDescent="0.2">
      <c r="E266" s="538"/>
      <c r="F266" s="538"/>
      <c r="G266" s="537"/>
      <c r="I266" s="537"/>
      <c r="J266" s="537"/>
      <c r="L266" s="553">
        <f>_xll.qlCalendarAdvance(Calendar,L265,"1M","f",,Trigger)</f>
        <v>50094</v>
      </c>
      <c r="M266" s="544">
        <f>_xll.qlCalendarAdvance(Calendar,L266,"3M","f",,Trigger)</f>
        <v>50185</v>
      </c>
      <c r="N266" s="546" t="str">
        <f>_xll.qlMakeDatedOIS(,L266,M266,"eonia",,,,,Trigger)</f>
        <v>obj_008b0#0000</v>
      </c>
      <c r="O266" s="545">
        <f>_xll.qlIndexFixing("euribor6m",_xll.qlInterestRateIndexFixingDate("Euribor6M",L266),TRUE)</f>
        <v>2.2379397303160936E-2</v>
      </c>
      <c r="P266" s="545">
        <f>_xll.qlOvernightIndexedSwapFairRate(N266,Trigger)</f>
        <v>2.1693730170727388E-2</v>
      </c>
      <c r="Q266" s="547">
        <f t="shared" si="8"/>
        <v>6.8566713243354768E-4</v>
      </c>
    </row>
    <row r="267" spans="5:17" x14ac:dyDescent="0.2">
      <c r="E267" s="538"/>
      <c r="F267" s="538"/>
      <c r="G267" s="537"/>
      <c r="I267" s="537"/>
      <c r="J267" s="537"/>
      <c r="L267" s="553">
        <f>_xll.qlCalendarAdvance(Calendar,L266,"1M","f",,Trigger)</f>
        <v>50122</v>
      </c>
      <c r="M267" s="544">
        <f>_xll.qlCalendarAdvance(Calendar,L267,"3M","f",,Trigger)</f>
        <v>50214</v>
      </c>
      <c r="N267" s="546" t="str">
        <f>_xll.qlMakeDatedOIS(,L267,M267,"eonia",,,,,Trigger)</f>
        <v>obj_008b2#0000</v>
      </c>
      <c r="O267" s="545">
        <f>_xll.qlIndexFixing("euribor6m",_xll.qlInterestRateIndexFixingDate("Euribor6M",L267),TRUE)</f>
        <v>2.2341733192313359E-2</v>
      </c>
      <c r="P267" s="545">
        <f>_xll.qlOvernightIndexedSwapFairRate(N267,Trigger)</f>
        <v>2.1694382628300569E-2</v>
      </c>
      <c r="Q267" s="547">
        <f t="shared" si="8"/>
        <v>6.4735056401278926E-4</v>
      </c>
    </row>
    <row r="268" spans="5:17" x14ac:dyDescent="0.2">
      <c r="E268" s="538"/>
      <c r="F268" s="538"/>
      <c r="G268" s="537"/>
      <c r="I268" s="537"/>
      <c r="J268" s="537"/>
      <c r="L268" s="553">
        <f>_xll.qlCalendarAdvance(Calendar,L267,"1M","f",,Trigger)</f>
        <v>50153</v>
      </c>
      <c r="M268" s="544">
        <f>_xll.qlCalendarAdvance(Calendar,L268,"3M","f",,Trigger)</f>
        <v>50244</v>
      </c>
      <c r="N268" s="546" t="str">
        <f>_xll.qlMakeDatedOIS(,L268,M268,"eonia",,,,,Trigger)</f>
        <v>obj_008b4#0000</v>
      </c>
      <c r="O268" s="545">
        <f>_xll.qlIndexFixing("euribor6m",_xll.qlInterestRateIndexFixingDate("Euribor6M",L268),TRUE)</f>
        <v>2.2300038372423909E-2</v>
      </c>
      <c r="P268" s="545">
        <f>_xll.qlOvernightIndexedSwapFairRate(N268,Trigger)</f>
        <v>2.1693730170726511E-2</v>
      </c>
      <c r="Q268" s="547">
        <f t="shared" si="8"/>
        <v>6.0630820169739821E-4</v>
      </c>
    </row>
    <row r="269" spans="5:17" x14ac:dyDescent="0.2">
      <c r="E269" s="538"/>
      <c r="F269" s="538"/>
      <c r="G269" s="537"/>
      <c r="I269" s="537"/>
      <c r="J269" s="537"/>
      <c r="L269" s="553">
        <f>_xll.qlCalendarAdvance(Calendar,L268,"1M","f",,Trigger)</f>
        <v>50185</v>
      </c>
      <c r="M269" s="544">
        <f>_xll.qlCalendarAdvance(Calendar,L269,"3M","f",,Trigger)</f>
        <v>50277</v>
      </c>
      <c r="N269" s="546" t="str">
        <f>_xll.qlMakeDatedOIS(,L269,M269,"eonia",,,,,Trigger)</f>
        <v>obj_008b6#0000</v>
      </c>
      <c r="O269" s="545">
        <f>_xll.qlIndexFixing("euribor6m",_xll.qlInterestRateIndexFixingDate("Euribor6M",L269),TRUE)</f>
        <v>2.2257108362067457E-2</v>
      </c>
      <c r="P269" s="545">
        <f>_xll.qlOvernightIndexedSwapFairRate(N269,Trigger)</f>
        <v>2.1694382628299699E-2</v>
      </c>
      <c r="Q269" s="547">
        <f t="shared" si="8"/>
        <v>5.6272573376775839E-4</v>
      </c>
    </row>
    <row r="270" spans="5:17" x14ac:dyDescent="0.2">
      <c r="E270" s="538"/>
      <c r="F270" s="538"/>
      <c r="G270" s="537"/>
      <c r="I270" s="537"/>
      <c r="J270" s="537"/>
      <c r="L270" s="553">
        <f>_xll.qlCalendarAdvance(Calendar,L269,"1M","f",,Trigger)</f>
        <v>50216</v>
      </c>
      <c r="M270" s="544">
        <f>_xll.qlCalendarAdvance(Calendar,L270,"3M","f",,Trigger)</f>
        <v>50308</v>
      </c>
      <c r="N270" s="546" t="str">
        <f>_xll.qlMakeDatedOIS(,L270,M270,"eonia",,,,,Trigger)</f>
        <v>obj_008b8#0000</v>
      </c>
      <c r="O270" s="545">
        <f>_xll.qlIndexFixing("euribor6m",_xll.qlInterestRateIndexFixingDate("Euribor6M",L270),TRUE)</f>
        <v>2.2215603976017708E-2</v>
      </c>
      <c r="P270" s="545">
        <f>_xll.qlOvernightIndexedSwapFairRate(N270,Trigger)</f>
        <v>2.1694382628300569E-2</v>
      </c>
      <c r="Q270" s="547">
        <f t="shared" si="8"/>
        <v>5.212213477171386E-4</v>
      </c>
    </row>
    <row r="271" spans="5:17" x14ac:dyDescent="0.2">
      <c r="E271" s="538"/>
      <c r="F271" s="538"/>
      <c r="G271" s="537"/>
      <c r="I271" s="537"/>
      <c r="J271" s="537"/>
      <c r="L271" s="553">
        <f>_xll.qlCalendarAdvance(Calendar,L270,"1M","f",,Trigger)</f>
        <v>50248</v>
      </c>
      <c r="M271" s="544">
        <f>_xll.qlCalendarAdvance(Calendar,L271,"3M","f",,Trigger)</f>
        <v>50340</v>
      </c>
      <c r="N271" s="546" t="str">
        <f>_xll.qlMakeDatedOIS(,L271,M271,"eonia",,,,,Trigger)</f>
        <v>obj_008ba#0000</v>
      </c>
      <c r="O271" s="545">
        <f>_xll.qlIndexFixing("euribor6m",_xll.qlInterestRateIndexFixingDate("Euribor6M",L271),TRUE)</f>
        <v>2.2172775356308305E-2</v>
      </c>
      <c r="P271" s="545">
        <f>_xll.qlOvernightIndexedSwapFairRate(N271,Trigger)</f>
        <v>2.1694382628299699E-2</v>
      </c>
      <c r="Q271" s="547">
        <f t="shared" si="8"/>
        <v>4.7839272800860588E-4</v>
      </c>
    </row>
    <row r="272" spans="5:17" x14ac:dyDescent="0.2">
      <c r="E272" s="538"/>
      <c r="F272" s="538"/>
      <c r="G272" s="537"/>
      <c r="I272" s="537"/>
      <c r="J272" s="537"/>
      <c r="L272" s="553">
        <f>_xll.qlCalendarAdvance(Calendar,L271,"1M","f",,Trigger)</f>
        <v>50279</v>
      </c>
      <c r="M272" s="544">
        <f>_xll.qlCalendarAdvance(Calendar,L272,"3M","f",,Trigger)</f>
        <v>50371</v>
      </c>
      <c r="N272" s="546" t="str">
        <f>_xll.qlMakeDatedOIS(,L272,M272,"eonia",,,,,Trigger)</f>
        <v>obj_008bc#0000</v>
      </c>
      <c r="O272" s="545">
        <f>_xll.qlIndexFixing("euribor6m",_xll.qlInterestRateIndexFixingDate("Euribor6M",L272),TRUE)</f>
        <v>2.2131373438404996E-2</v>
      </c>
      <c r="P272" s="545">
        <f>_xll.qlOvernightIndexedSwapFairRate(N272,Trigger)</f>
        <v>2.1694382628300569E-2</v>
      </c>
      <c r="Q272" s="547">
        <f t="shared" si="8"/>
        <v>4.369908101044262E-4</v>
      </c>
    </row>
    <row r="273" spans="5:17" x14ac:dyDescent="0.2">
      <c r="E273" s="538"/>
      <c r="F273" s="538"/>
      <c r="G273" s="537"/>
      <c r="I273" s="537"/>
      <c r="J273" s="537"/>
      <c r="L273" s="553">
        <f>_xll.qlCalendarAdvance(Calendar,L272,"1M","f",,Trigger)</f>
        <v>50311</v>
      </c>
      <c r="M273" s="544">
        <f>_xll.qlCalendarAdvance(Calendar,L273,"3M","f",,Trigger)</f>
        <v>50402</v>
      </c>
      <c r="N273" s="546" t="str">
        <f>_xll.qlMakeDatedOIS(,L273,M273,"eonia",,,,,Trigger)</f>
        <v>obj_008be#0000</v>
      </c>
      <c r="O273" s="545">
        <f>_xll.qlIndexFixing("euribor6m",_xll.qlInterestRateIndexFixingDate("Euribor6M",L273),TRUE)</f>
        <v>2.2088713285100883E-2</v>
      </c>
      <c r="P273" s="545">
        <f>_xll.qlOvernightIndexedSwapFairRate(N273,Trigger)</f>
        <v>2.1693730170726514E-2</v>
      </c>
      <c r="Q273" s="547">
        <f t="shared" si="8"/>
        <v>3.9498311437436914E-4</v>
      </c>
    </row>
    <row r="274" spans="5:17" x14ac:dyDescent="0.2">
      <c r="E274" s="538"/>
      <c r="F274" s="538"/>
      <c r="G274" s="537"/>
      <c r="I274" s="537"/>
      <c r="J274" s="537"/>
      <c r="L274" s="553">
        <f>_xll.qlCalendarAdvance(Calendar,L273,"1M","f",,Trigger)</f>
        <v>50341</v>
      </c>
      <c r="M274" s="544">
        <f>_xll.qlCalendarAdvance(Calendar,L274,"3M","f",,Trigger)</f>
        <v>50433</v>
      </c>
      <c r="N274" s="546" t="str">
        <f>_xll.qlMakeDatedOIS(,L274,M274,"eonia",,,,,Trigger)</f>
        <v>obj_008c0#0000</v>
      </c>
      <c r="O274" s="545">
        <f>_xll.qlIndexFixing("euribor6m",_xll.qlInterestRateIndexFixingDate("Euribor6M",L274),TRUE)</f>
        <v>2.2048798864101299E-2</v>
      </c>
      <c r="P274" s="545">
        <f>_xll.qlOvernightIndexedSwapFairRate(N274,Trigger)</f>
        <v>2.1694382628300569E-2</v>
      </c>
      <c r="Q274" s="547">
        <f t="shared" si="8"/>
        <v>3.544162358007294E-4</v>
      </c>
    </row>
    <row r="275" spans="5:17" x14ac:dyDescent="0.2">
      <c r="E275" s="538"/>
      <c r="F275" s="538"/>
      <c r="G275" s="537"/>
      <c r="I275" s="537"/>
      <c r="J275" s="537"/>
      <c r="L275" s="553">
        <f>_xll.qlCalendarAdvance(Calendar,L274,"1M","f",,Trigger)</f>
        <v>50374</v>
      </c>
      <c r="M275" s="544">
        <f>_xll.qlCalendarAdvance(Calendar,L275,"3M","f",,Trigger)</f>
        <v>50465</v>
      </c>
      <c r="N275" s="546" t="str">
        <f>_xll.qlMakeDatedOIS(,L275,M275,"eonia",,,,,Trigger)</f>
        <v>obj_008c2#0000</v>
      </c>
      <c r="O275" s="545">
        <f>_xll.qlIndexFixing("euribor6m",_xll.qlInterestRateIndexFixingDate("Euribor6M",L275),TRUE)</f>
        <v>2.2004969387887627E-2</v>
      </c>
      <c r="P275" s="545">
        <f>_xll.qlOvernightIndexedSwapFairRate(N275,Trigger)</f>
        <v>2.1693730170726511E-2</v>
      </c>
      <c r="Q275" s="547">
        <f t="shared" si="8"/>
        <v>3.1123921716111683E-4</v>
      </c>
    </row>
    <row r="276" spans="5:17" x14ac:dyDescent="0.2">
      <c r="E276" s="538"/>
      <c r="F276" s="538"/>
      <c r="G276" s="537"/>
      <c r="I276" s="537"/>
      <c r="J276" s="537"/>
      <c r="L276" s="553">
        <f>_xll.qlCalendarAdvance(Calendar,L275,"1M","f",,Trigger)</f>
        <v>50404</v>
      </c>
      <c r="M276" s="544">
        <f>_xll.qlCalendarAdvance(Calendar,L276,"3M","f",,Trigger)</f>
        <v>50494</v>
      </c>
      <c r="N276" s="546" t="str">
        <f>_xll.qlMakeDatedOIS(,L276,M276,"eonia",,,,,Trigger)</f>
        <v>obj_008c4#0000</v>
      </c>
      <c r="O276" s="545">
        <f>_xll.qlIndexFixing("euribor6m",_xll.qlInterestRateIndexFixingDate("Euribor6M",L276),TRUE)</f>
        <v>2.1965193847880902E-2</v>
      </c>
      <c r="P276" s="545">
        <f>_xll.qlOvernightIndexedSwapFairRate(N276,Trigger)</f>
        <v>2.1693077739304734E-2</v>
      </c>
      <c r="Q276" s="547">
        <f t="shared" si="8"/>
        <v>2.7211610857616822E-4</v>
      </c>
    </row>
    <row r="277" spans="5:17" x14ac:dyDescent="0.2">
      <c r="E277" s="538"/>
      <c r="F277" s="538"/>
      <c r="G277" s="537"/>
      <c r="I277" s="537"/>
      <c r="J277" s="537"/>
      <c r="L277" s="553">
        <f>_xll.qlCalendarAdvance(Calendar,L276,"1M","f",,Trigger)</f>
        <v>50437</v>
      </c>
      <c r="M277" s="544">
        <f>_xll.qlCalendarAdvance(Calendar,L277,"3M","f",,Trigger)</f>
        <v>50528</v>
      </c>
      <c r="N277" s="546" t="str">
        <f>_xll.qlMakeDatedOIS(,L277,M277,"eonia",,,,,Trigger)</f>
        <v>obj_008c6#0000</v>
      </c>
      <c r="O277" s="545">
        <f>_xll.qlIndexFixing("euribor6m",_xll.qlInterestRateIndexFixingDate("Euribor6M",L277),TRUE)</f>
        <v>2.1921517131256823E-2</v>
      </c>
      <c r="P277" s="545">
        <f>_xll.qlOvernightIndexedSwapFairRate(N277,Trigger)</f>
        <v>2.1693730170726511E-2</v>
      </c>
      <c r="Q277" s="547">
        <f t="shared" si="8"/>
        <v>2.2778696053031219E-4</v>
      </c>
    </row>
    <row r="278" spans="5:17" x14ac:dyDescent="0.2">
      <c r="E278" s="538"/>
      <c r="F278" s="538"/>
      <c r="G278" s="537"/>
      <c r="I278" s="537"/>
      <c r="J278" s="537"/>
      <c r="L278" s="553">
        <f>_xll.qlCalendarAdvance(Calendar,L277,"1M","f",,Trigger)</f>
        <v>50465</v>
      </c>
      <c r="M278" s="544">
        <f>_xll.qlCalendarAdvance(Calendar,L278,"3M","f",,Trigger)</f>
        <v>50557</v>
      </c>
      <c r="N278" s="546" t="str">
        <f>_xll.qlMakeDatedOIS(,L278,M278,"eonia",,,,,Trigger)</f>
        <v>obj_008c8#0000</v>
      </c>
      <c r="O278" s="545">
        <f>_xll.qlIndexFixing("euribor6m",_xll.qlInterestRateIndexFixingDate("Euribor6M",L278),TRUE)</f>
        <v>2.1884528208494323E-2</v>
      </c>
      <c r="P278" s="545">
        <f>_xll.qlOvernightIndexedSwapFairRate(N278,Trigger)</f>
        <v>2.1694382628300573E-2</v>
      </c>
      <c r="Q278" s="547">
        <f t="shared" si="8"/>
        <v>1.9014558019374989E-4</v>
      </c>
    </row>
    <row r="279" spans="5:17" x14ac:dyDescent="0.2">
      <c r="E279" s="538"/>
      <c r="F279" s="538"/>
      <c r="G279" s="537"/>
      <c r="I279" s="537"/>
      <c r="J279" s="537"/>
      <c r="L279" s="553">
        <f>_xll.qlCalendarAdvance(Calendar,L278,"1M","f",,Trigger)</f>
        <v>50496</v>
      </c>
      <c r="M279" s="544">
        <f>_xll.qlCalendarAdvance(Calendar,L279,"3M","f",,Trigger)</f>
        <v>50587</v>
      </c>
      <c r="N279" s="546" t="str">
        <f>_xll.qlMakeDatedOIS(,L279,M279,"eonia",,,,,Trigger)</f>
        <v>obj_008ca#0000</v>
      </c>
      <c r="O279" s="545">
        <f>_xll.qlIndexFixing("euribor6m",_xll.qlInterestRateIndexFixingDate("Euribor6M",L279),TRUE)</f>
        <v>2.1843630217400895E-2</v>
      </c>
      <c r="P279" s="545">
        <f>_xll.qlOvernightIndexedSwapFairRate(N279,Trigger)</f>
        <v>2.1693730170726504E-2</v>
      </c>
      <c r="Q279" s="547">
        <f t="shared" si="8"/>
        <v>1.4990004667439147E-4</v>
      </c>
    </row>
    <row r="280" spans="5:17" x14ac:dyDescent="0.2">
      <c r="E280" s="538"/>
      <c r="F280" s="538"/>
      <c r="G280" s="537"/>
      <c r="I280" s="537"/>
      <c r="J280" s="537"/>
      <c r="L280" s="553">
        <f>_xll.qlCalendarAdvance(Calendar,L279,"1M","f",,Trigger)</f>
        <v>50528</v>
      </c>
      <c r="M280" s="544">
        <f>_xll.qlCalendarAdvance(Calendar,L280,"3M","f",,Trigger)</f>
        <v>50620</v>
      </c>
      <c r="N280" s="546" t="str">
        <f>_xll.qlMakeDatedOIS(,L280,M280,"eonia",,,,,Trigger)</f>
        <v>obj_008cc#0000</v>
      </c>
      <c r="O280" s="545">
        <f>_xll.qlIndexFixing("euribor6m",_xll.qlInterestRateIndexFixingDate("Euribor6M",L280),TRUE)</f>
        <v>2.1801491754543694E-2</v>
      </c>
      <c r="P280" s="545">
        <f>_xll.qlOvernightIndexedSwapFairRate(N280,Trigger)</f>
        <v>2.1694382628299699E-2</v>
      </c>
      <c r="Q280" s="547">
        <f t="shared" si="8"/>
        <v>1.0710912624399549E-4</v>
      </c>
    </row>
    <row r="281" spans="5:17" x14ac:dyDescent="0.2">
      <c r="E281" s="538"/>
      <c r="F281" s="538"/>
      <c r="G281" s="537"/>
      <c r="I281" s="537"/>
      <c r="J281" s="537"/>
      <c r="L281" s="553">
        <f>_xll.qlCalendarAdvance(Calendar,L280,"1M","f",,Trigger)</f>
        <v>50559</v>
      </c>
      <c r="M281" s="544">
        <f>_xll.qlCalendarAdvance(Calendar,L281,"3M","f",,Trigger)</f>
        <v>50651</v>
      </c>
      <c r="N281" s="546" t="str">
        <f>_xll.qlMakeDatedOIS(,L281,M281,"eonia",,,,,Trigger)</f>
        <v>obj_008ce#0000</v>
      </c>
      <c r="O281" s="545">
        <f>_xll.qlIndexFixing("euribor6m",_xll.qlInterestRateIndexFixingDate("Euribor6M",L281),TRUE)</f>
        <v>2.1760739943874109E-2</v>
      </c>
      <c r="P281" s="545">
        <f>_xll.qlOvernightIndexedSwapFairRate(N281,Trigger)</f>
        <v>2.1694382628300563E-2</v>
      </c>
      <c r="Q281" s="547">
        <f t="shared" si="8"/>
        <v>6.6357315573545989E-5</v>
      </c>
    </row>
    <row r="282" spans="5:17" x14ac:dyDescent="0.2">
      <c r="E282" s="538"/>
      <c r="F282" s="538"/>
      <c r="G282" s="537"/>
      <c r="I282" s="537"/>
      <c r="J282" s="537"/>
      <c r="L282" s="553">
        <f>_xll.qlCalendarAdvance(Calendar,L281,"1M","f",,Trigger)</f>
        <v>50591</v>
      </c>
      <c r="M282" s="544">
        <f>_xll.qlCalendarAdvance(Calendar,L282,"3M","f",,Trigger)</f>
        <v>50683</v>
      </c>
      <c r="N282" s="546" t="str">
        <f>_xll.qlMakeDatedOIS(,L282,M282,"eonia",,,,,Trigger)</f>
        <v>obj_008d0#0000</v>
      </c>
      <c r="O282" s="545">
        <f>_xll.qlIndexFixing("euribor6m",_xll.qlInterestRateIndexFixingDate("Euribor6M",L282),TRUE)</f>
        <v>2.1718746925176242E-2</v>
      </c>
      <c r="P282" s="545">
        <f>_xll.qlOvernightIndexedSwapFairRate(N282,Trigger)</f>
        <v>2.1694382628299695E-2</v>
      </c>
      <c r="Q282" s="547">
        <f t="shared" si="8"/>
        <v>2.4364296876546593E-5</v>
      </c>
    </row>
    <row r="283" spans="5:17" x14ac:dyDescent="0.2">
      <c r="E283" s="538"/>
      <c r="F283" s="538"/>
      <c r="G283" s="537"/>
      <c r="I283" s="537"/>
      <c r="J283" s="537"/>
      <c r="L283" s="553">
        <f>_xll.qlCalendarAdvance(Calendar,L282,"1M","f",,Trigger)</f>
        <v>50622</v>
      </c>
      <c r="M283" s="544">
        <f>_xll.qlCalendarAdvance(Calendar,L283,"3M","f",,Trigger)</f>
        <v>50714</v>
      </c>
      <c r="N283" s="546" t="str">
        <f>_xll.qlMakeDatedOIS(,L283,M283,"eonia",,,,,Trigger)</f>
        <v>obj_008d2#0000</v>
      </c>
      <c r="O283" s="545">
        <f>_xll.qlIndexFixing("euribor6m",_xll.qlInterestRateIndexFixingDate("Euribor6M",L283),TRUE)</f>
        <v>2.1678132209469708E-2</v>
      </c>
      <c r="P283" s="545">
        <f>_xll.qlOvernightIndexedSwapFairRate(N283,Trigger)</f>
        <v>2.1694382628299699E-2</v>
      </c>
      <c r="Q283" s="547">
        <f t="shared" si="8"/>
        <v>-1.6250418829990426E-5</v>
      </c>
    </row>
    <row r="284" spans="5:17" x14ac:dyDescent="0.2">
      <c r="E284" s="538"/>
      <c r="F284" s="538"/>
      <c r="G284" s="537"/>
      <c r="I284" s="537"/>
      <c r="J284" s="537"/>
      <c r="L284" s="553">
        <f>_xll.qlCalendarAdvance(Calendar,L283,"1M","f",,Trigger)</f>
        <v>50654</v>
      </c>
      <c r="M284" s="544">
        <f>_xll.qlCalendarAdvance(Calendar,L284,"3M","f",,Trigger)</f>
        <v>50745</v>
      </c>
      <c r="N284" s="546" t="str">
        <f>_xll.qlMakeDatedOIS(,L284,M284,"eonia",,,,,Trigger)</f>
        <v>obj_008d4#0000</v>
      </c>
      <c r="O284" s="545">
        <f>_xll.qlIndexFixing("euribor6m",_xll.qlInterestRateIndexFixingDate("Euribor6M",L284),TRUE)</f>
        <v>2.1636302278179649E-2</v>
      </c>
      <c r="P284" s="545">
        <f>_xll.qlOvernightIndexedSwapFairRate(N284,Trigger)</f>
        <v>2.1693730170726511E-2</v>
      </c>
      <c r="Q284" s="547">
        <f t="shared" si="8"/>
        <v>-5.7427892546861592E-5</v>
      </c>
    </row>
    <row r="285" spans="5:17" x14ac:dyDescent="0.2">
      <c r="E285" s="538"/>
      <c r="F285" s="538"/>
      <c r="G285" s="537"/>
      <c r="I285" s="537"/>
      <c r="J285" s="537"/>
      <c r="L285" s="553">
        <f>_xll.qlCalendarAdvance(Calendar,L284,"1M","f",,Trigger)</f>
        <v>50684</v>
      </c>
      <c r="M285" s="544">
        <f>_xll.qlCalendarAdvance(Calendar,L285,"3M","f",,Trigger)</f>
        <v>50776</v>
      </c>
      <c r="N285" s="546" t="str">
        <f>_xll.qlMakeDatedOIS(,L285,M285,"eonia",,,,,Trigger)</f>
        <v>obj_008d6#0000</v>
      </c>
      <c r="O285" s="545">
        <f>_xll.qlIndexFixing("euribor6m",_xll.qlInterestRateIndexFixingDate("Euribor6M",L285),TRUE)</f>
        <v>2.1597143779035724E-2</v>
      </c>
      <c r="P285" s="545">
        <f>_xll.qlOvernightIndexedSwapFairRate(N285,Trigger)</f>
        <v>2.1694382628300569E-2</v>
      </c>
      <c r="Q285" s="547">
        <f t="shared" si="8"/>
        <v>-9.7238849264845439E-5</v>
      </c>
    </row>
    <row r="286" spans="5:17" x14ac:dyDescent="0.2">
      <c r="E286" s="538"/>
      <c r="F286" s="538"/>
      <c r="G286" s="537"/>
      <c r="I286" s="537"/>
      <c r="J286" s="537"/>
      <c r="L286" s="553">
        <f>_xll.qlCalendarAdvance(Calendar,L285,"1M","f",,Trigger)</f>
        <v>50717</v>
      </c>
      <c r="M286" s="544">
        <f>_xll.qlCalendarAdvance(Calendar,L286,"3M","f",,Trigger)</f>
        <v>50809</v>
      </c>
      <c r="N286" s="546" t="str">
        <f>_xll.qlMakeDatedOIS(,L286,M286,"eonia",,,,,Trigger)</f>
        <v>obj_008d8#0000</v>
      </c>
      <c r="O286" s="545">
        <f>_xll.qlIndexFixing("euribor6m",_xll.qlInterestRateIndexFixingDate("Euribor6M",L286),TRUE)</f>
        <v>2.1554145765535677E-2</v>
      </c>
      <c r="P286" s="545">
        <f>_xll.qlOvernightIndexedSwapFairRate(N286,Trigger)</f>
        <v>2.1694382628299699E-2</v>
      </c>
      <c r="Q286" s="547">
        <f t="shared" si="8"/>
        <v>-1.4023686276402186E-4</v>
      </c>
    </row>
    <row r="287" spans="5:17" x14ac:dyDescent="0.2">
      <c r="E287" s="538"/>
      <c r="F287" s="538"/>
      <c r="G287" s="537"/>
      <c r="I287" s="537"/>
      <c r="J287" s="537"/>
      <c r="L287" s="553">
        <f>_xll.qlCalendarAdvance(Calendar,L286,"1M","f",,Trigger)</f>
        <v>50747</v>
      </c>
      <c r="M287" s="544">
        <f>_xll.qlCalendarAdvance(Calendar,L287,"3M","f",,Trigger)</f>
        <v>50837</v>
      </c>
      <c r="N287" s="546" t="str">
        <f>_xll.qlMakeDatedOIS(,L287,M287,"eonia",,,,,Trigger)</f>
        <v>obj_008da#0000</v>
      </c>
      <c r="O287" s="545">
        <f>_xll.qlIndexFixing("euribor6m",_xll.qlInterestRateIndexFixingDate("Euribor6M",L287),TRUE)</f>
        <v>2.1515126054142714E-2</v>
      </c>
      <c r="P287" s="545">
        <f>_xll.qlOvernightIndexedSwapFairRate(N287,Trigger)</f>
        <v>2.1693077739304737E-2</v>
      </c>
      <c r="Q287" s="547">
        <f t="shared" si="8"/>
        <v>-1.7795168516202345E-4</v>
      </c>
    </row>
    <row r="288" spans="5:17" x14ac:dyDescent="0.2">
      <c r="E288" s="538"/>
      <c r="F288" s="538"/>
      <c r="G288" s="537"/>
      <c r="I288" s="537"/>
      <c r="J288" s="537"/>
      <c r="L288" s="553">
        <f>_xll.qlCalendarAdvance(Calendar,L287,"1M","f",,Trigger)</f>
        <v>50780</v>
      </c>
      <c r="M288" s="544">
        <f>_xll.qlCalendarAdvance(Calendar,L288,"3M","f",,Trigger)</f>
        <v>50872</v>
      </c>
      <c r="N288" s="546" t="str">
        <f>_xll.qlMakeDatedOIS(,L288,M288,"eonia",,,,,Trigger)</f>
        <v>obj_008dc#0000</v>
      </c>
      <c r="O288" s="545">
        <f>_xll.qlIndexFixing("euribor6m",_xll.qlInterestRateIndexFixingDate("Euribor6M",L288),TRUE)</f>
        <v>2.1472280697849105E-2</v>
      </c>
      <c r="P288" s="545">
        <f>_xll.qlOvernightIndexedSwapFairRate(N288,Trigger)</f>
        <v>2.1694382628300566E-2</v>
      </c>
      <c r="Q288" s="547">
        <f t="shared" si="8"/>
        <v>-2.2210193045146126E-4</v>
      </c>
    </row>
    <row r="289" spans="5:17" x14ac:dyDescent="0.2">
      <c r="E289" s="538"/>
      <c r="F289" s="538"/>
      <c r="G289" s="537"/>
      <c r="I289" s="537"/>
      <c r="J289" s="537"/>
      <c r="L289" s="553">
        <f>_xll.qlCalendarAdvance(Calendar,L288,"1M","f",,Trigger)</f>
        <v>50811</v>
      </c>
      <c r="M289" s="544">
        <f>_xll.qlCalendarAdvance(Calendar,L289,"3M","f",,Trigger)</f>
        <v>50900</v>
      </c>
      <c r="N289" s="546" t="str">
        <f>_xll.qlMakeDatedOIS(,L289,M289,"eonia",,,,,Trigger)</f>
        <v>obj_008de#0000</v>
      </c>
      <c r="O289" s="545">
        <f>_xll.qlIndexFixing("euribor6m",_xll.qlInterestRateIndexFixingDate("Euribor6M",L289),TRUE)</f>
        <v>2.1432115504252634E-2</v>
      </c>
      <c r="P289" s="545">
        <f>_xll.qlOvernightIndexedSwapFairRate(N289,Trigger)</f>
        <v>2.1692425334032085E-2</v>
      </c>
      <c r="Q289" s="547">
        <f t="shared" si="8"/>
        <v>-2.6030982977945025E-4</v>
      </c>
    </row>
    <row r="290" spans="5:17" x14ac:dyDescent="0.2">
      <c r="E290" s="538"/>
      <c r="F290" s="538"/>
      <c r="G290" s="537"/>
      <c r="I290" s="537"/>
      <c r="J290" s="537"/>
      <c r="L290" s="553">
        <f>_xll.qlCalendarAdvance(Calendar,L289,"1M","f",,Trigger)</f>
        <v>50839</v>
      </c>
      <c r="M290" s="544">
        <f>_xll.qlCalendarAdvance(Calendar,L290,"3M","f",,Trigger)</f>
        <v>50931</v>
      </c>
      <c r="N290" s="546" t="str">
        <f>_xll.qlMakeDatedOIS(,L290,M290,"eonia",,,,,Trigger)</f>
        <v>obj_008e0#0000</v>
      </c>
      <c r="O290" s="545">
        <f>_xll.qlIndexFixing("euribor6m",_xll.qlInterestRateIndexFixingDate("Euribor6M",L290),TRUE)</f>
        <v>2.1395849185801067E-2</v>
      </c>
      <c r="P290" s="545">
        <f>_xll.qlOvernightIndexedSwapFairRate(N290,Trigger)</f>
        <v>2.1694382628299695E-2</v>
      </c>
      <c r="Q290" s="547">
        <f t="shared" si="8"/>
        <v>-2.9853344249862815E-4</v>
      </c>
    </row>
    <row r="291" spans="5:17" x14ac:dyDescent="0.2">
      <c r="E291" s="538"/>
      <c r="F291" s="538"/>
      <c r="G291" s="537"/>
      <c r="I291" s="537"/>
      <c r="J291" s="537"/>
      <c r="L291" s="553">
        <f>_xll.qlCalendarAdvance(Calendar,L290,"1M","f",,Trigger)</f>
        <v>50872</v>
      </c>
      <c r="M291" s="544">
        <f>_xll.qlCalendarAdvance(Calendar,L291,"3M","f",,Trigger)</f>
        <v>50963</v>
      </c>
      <c r="N291" s="546" t="str">
        <f>_xll.qlMakeDatedOIS(,L291,M291,"eonia",,,,,Trigger)</f>
        <v>obj_008e2#0000</v>
      </c>
      <c r="O291" s="545">
        <f>_xll.qlIndexFixing("euribor6m",_xll.qlInterestRateIndexFixingDate("Euribor6M",L291),TRUE)</f>
        <v>2.1353412108509162E-2</v>
      </c>
      <c r="P291" s="545">
        <f>_xll.qlOvernightIndexedSwapFairRate(N291,Trigger)</f>
        <v>2.1693730170726511E-2</v>
      </c>
      <c r="Q291" s="547">
        <f t="shared" si="8"/>
        <v>-3.403180622173485E-4</v>
      </c>
    </row>
    <row r="292" spans="5:17" x14ac:dyDescent="0.2">
      <c r="E292" s="538"/>
      <c r="F292" s="538"/>
      <c r="G292" s="537"/>
      <c r="I292" s="537"/>
      <c r="J292" s="537"/>
      <c r="L292" s="553">
        <f>_xll.qlCalendarAdvance(Calendar,L291,"1M","f",,Trigger)</f>
        <v>50902</v>
      </c>
      <c r="M292" s="544">
        <f>_xll.qlCalendarAdvance(Calendar,L292,"3M","f",,Trigger)</f>
        <v>50994</v>
      </c>
      <c r="N292" s="546" t="str">
        <f>_xll.qlMakeDatedOIS(,L292,M292,"eonia",,,,,Trigger)</f>
        <v>obj_008e4#0000</v>
      </c>
      <c r="O292" s="545">
        <f>_xll.qlIndexFixing("euribor6m",_xll.qlInterestRateIndexFixingDate("Euribor6M",L292),TRUE)</f>
        <v>2.1315165746535018E-2</v>
      </c>
      <c r="P292" s="545">
        <f>_xll.qlOvernightIndexedSwapFairRate(N292,Trigger)</f>
        <v>2.1694382628300566E-2</v>
      </c>
      <c r="Q292" s="547">
        <f t="shared" si="8"/>
        <v>-3.7921688176554766E-4</v>
      </c>
    </row>
    <row r="293" spans="5:17" x14ac:dyDescent="0.2">
      <c r="E293" s="538"/>
      <c r="F293" s="538"/>
      <c r="G293" s="537"/>
      <c r="I293" s="537"/>
      <c r="J293" s="537"/>
      <c r="L293" s="553">
        <f>_xll.qlCalendarAdvance(Calendar,L292,"1M","f",,Trigger)</f>
        <v>50934</v>
      </c>
      <c r="M293" s="544">
        <f>_xll.qlCalendarAdvance(Calendar,L293,"3M","f",,Trigger)</f>
        <v>51026</v>
      </c>
      <c r="N293" s="546" t="str">
        <f>_xll.qlMakeDatedOIS(,L293,M293,"eonia",,,,,Trigger)</f>
        <v>obj_008e6#0000</v>
      </c>
      <c r="O293" s="545">
        <f>_xll.qlIndexFixing("euribor6m",_xll.qlInterestRateIndexFixingDate("Euribor6M",L293),TRUE)</f>
        <v>2.1274882855842218E-2</v>
      </c>
      <c r="P293" s="545">
        <f>_xll.qlOvernightIndexedSwapFairRate(N293,Trigger)</f>
        <v>2.1189811867077347E-2</v>
      </c>
      <c r="Q293" s="547">
        <f t="shared" si="8"/>
        <v>8.5070988764871652E-5</v>
      </c>
    </row>
    <row r="294" spans="5:17" x14ac:dyDescent="0.2">
      <c r="E294" s="538"/>
      <c r="F294" s="538"/>
      <c r="G294" s="537"/>
      <c r="I294" s="537"/>
      <c r="J294" s="537"/>
      <c r="L294" s="553">
        <f>_xll.qlCalendarAdvance(Calendar,L293,"1M","f",,Trigger)</f>
        <v>50964</v>
      </c>
      <c r="M294" s="544">
        <f>_xll.qlCalendarAdvance(Calendar,L294,"3M","f",,Trigger)</f>
        <v>51056</v>
      </c>
      <c r="N294" s="546" t="str">
        <f>_xll.qlMakeDatedOIS(,L294,M294,"eonia",,,,,Trigger)</f>
        <v>obj_008e8#0000</v>
      </c>
      <c r="O294" s="545">
        <f>_xll.qlIndexFixing("euribor6m",_xll.qlInterestRateIndexFixingDate("Euribor6M",L294),TRUE)</f>
        <v>2.1237801197941268E-2</v>
      </c>
      <c r="P294" s="545">
        <f>_xll.qlOvernightIndexedSwapFairRate(N294,Trigger)</f>
        <v>2.0667910202780596E-2</v>
      </c>
      <c r="Q294" s="547">
        <f t="shared" si="8"/>
        <v>5.698909951606726E-4</v>
      </c>
    </row>
    <row r="295" spans="5:17" x14ac:dyDescent="0.2">
      <c r="E295" s="538"/>
      <c r="F295" s="538"/>
      <c r="G295" s="537"/>
      <c r="I295" s="537"/>
      <c r="J295" s="537"/>
      <c r="L295" s="553">
        <f>_xll.qlCalendarAdvance(Calendar,L294,"1M","f",,Trigger)</f>
        <v>50997</v>
      </c>
      <c r="M295" s="544">
        <f>_xll.qlCalendarAdvance(Calendar,L295,"3M","f",,Trigger)</f>
        <v>51089</v>
      </c>
      <c r="N295" s="546" t="str">
        <f>_xll.qlMakeDatedOIS(,L295,M295,"eonia",,,,,Trigger)</f>
        <v>obj_008ea#0000</v>
      </c>
      <c r="O295" s="545">
        <f>_xll.qlIndexFixing("euribor6m",_xll.qlInterestRateIndexFixingDate("Euribor6M",L295),TRUE)</f>
        <v>2.1197893613319137E-2</v>
      </c>
      <c r="P295" s="545">
        <f>_xll.qlOvernightIndexedSwapFairRate(N295,Trigger)</f>
        <v>2.0093898336570319E-2</v>
      </c>
      <c r="Q295" s="547">
        <f t="shared" si="8"/>
        <v>1.1039952767488183E-3</v>
      </c>
    </row>
    <row r="296" spans="5:17" x14ac:dyDescent="0.2">
      <c r="E296" s="538"/>
      <c r="F296" s="538"/>
      <c r="G296" s="537"/>
      <c r="I296" s="537"/>
      <c r="J296" s="537"/>
      <c r="L296" s="553">
        <f>_xll.qlCalendarAdvance(Calendar,L295,"1M","f",,Trigger)</f>
        <v>51028</v>
      </c>
      <c r="M296" s="544">
        <f>_xll.qlCalendarAdvance(Calendar,L296,"3M","f",,Trigger)</f>
        <v>51119</v>
      </c>
      <c r="N296" s="546" t="str">
        <f>_xll.qlMakeDatedOIS(,L296,M296,"eonia",,,,,Trigger)</f>
        <v>obj_008ec#0000</v>
      </c>
      <c r="O296" s="545">
        <f>_xll.qlIndexFixing("euribor6m",_xll.qlInterestRateIndexFixingDate("Euribor6M",L296),TRUE)</f>
        <v>2.1161288090197503E-2</v>
      </c>
      <c r="P296" s="545">
        <f>_xll.qlOvernightIndexedSwapFairRate(N296,Trigger)</f>
        <v>2.0093338520027888E-2</v>
      </c>
      <c r="Q296" s="547">
        <f t="shared" si="8"/>
        <v>1.067949570169615E-3</v>
      </c>
    </row>
    <row r="297" spans="5:17" x14ac:dyDescent="0.2">
      <c r="E297" s="538"/>
      <c r="F297" s="538"/>
      <c r="G297" s="537"/>
      <c r="I297" s="537"/>
      <c r="J297" s="537"/>
      <c r="L297" s="553">
        <f>_xll.qlCalendarAdvance(Calendar,L296,"1M","f",,Trigger)</f>
        <v>51060</v>
      </c>
      <c r="M297" s="544">
        <f>_xll.qlCalendarAdvance(Calendar,L297,"3M","f",,Trigger)</f>
        <v>51152</v>
      </c>
      <c r="N297" s="546" t="str">
        <f>_xll.qlMakeDatedOIS(,L297,M297,"eonia",,,,,Trigger)</f>
        <v>obj_008ee#0000</v>
      </c>
      <c r="O297" s="545">
        <f>_xll.qlIndexFixing("euribor6m",_xll.qlInterestRateIndexFixingDate("Euribor6M",L297),TRUE)</f>
        <v>2.1124692521286233E-2</v>
      </c>
      <c r="P297" s="545">
        <f>_xll.qlOvernightIndexedSwapFairRate(N297,Trigger)</f>
        <v>2.0093898336569445E-2</v>
      </c>
      <c r="Q297" s="547">
        <f t="shared" si="8"/>
        <v>1.0307941847167885E-3</v>
      </c>
    </row>
    <row r="298" spans="5:17" x14ac:dyDescent="0.2">
      <c r="E298" s="538"/>
      <c r="F298" s="538"/>
      <c r="G298" s="537"/>
      <c r="I298" s="537"/>
      <c r="J298" s="537"/>
      <c r="L298" s="553">
        <f>_xll.qlCalendarAdvance(Calendar,L297,"1M","f",,Trigger)</f>
        <v>51091</v>
      </c>
      <c r="M298" s="544">
        <f>_xll.qlCalendarAdvance(Calendar,L298,"3M","f",,Trigger)</f>
        <v>51183</v>
      </c>
      <c r="N298" s="546" t="str">
        <f>_xll.qlMakeDatedOIS(,L298,M298,"eonia",,,,,Trigger)</f>
        <v>obj_008f0#0000</v>
      </c>
      <c r="O298" s="545">
        <f>_xll.qlIndexFixing("euribor6m",_xll.qlInterestRateIndexFixingDate("Euribor6M",L298),TRUE)</f>
        <v>2.1090110817863841E-2</v>
      </c>
      <c r="P298" s="545">
        <f>_xll.qlOvernightIndexedSwapFairRate(N298,Trigger)</f>
        <v>2.0093898336570316E-2</v>
      </c>
      <c r="Q298" s="547">
        <f t="shared" si="8"/>
        <v>9.9621248129352566E-4</v>
      </c>
    </row>
    <row r="299" spans="5:17" x14ac:dyDescent="0.2">
      <c r="E299" s="538"/>
      <c r="F299" s="538"/>
      <c r="G299" s="537"/>
      <c r="I299" s="537"/>
      <c r="J299" s="537"/>
      <c r="L299" s="553">
        <f>_xll.qlCalendarAdvance(Calendar,L298,"1M","f",,Trigger)</f>
        <v>51123</v>
      </c>
      <c r="M299" s="544">
        <f>_xll.qlCalendarAdvance(Calendar,L299,"3M","f",,Trigger)</f>
        <v>51214</v>
      </c>
      <c r="N299" s="546" t="str">
        <f>_xll.qlMakeDatedOIS(,L299,M299,"eonia",,,,,Trigger)</f>
        <v>obj_008f2#0000</v>
      </c>
      <c r="O299" s="545">
        <f>_xll.qlIndexFixing("euribor6m",_xll.qlInterestRateIndexFixingDate("Euribor6M",L299),TRUE)</f>
        <v>2.105561954905558E-2</v>
      </c>
      <c r="P299" s="545">
        <f>_xll.qlOvernightIndexedSwapFairRate(N299,Trigger)</f>
        <v>2.0093338520027006E-2</v>
      </c>
      <c r="Q299" s="547">
        <f t="shared" si="8"/>
        <v>9.6228102902857354E-4</v>
      </c>
    </row>
    <row r="300" spans="5:17" x14ac:dyDescent="0.2">
      <c r="E300" s="538"/>
      <c r="F300" s="538"/>
      <c r="G300" s="537"/>
      <c r="I300" s="537"/>
      <c r="J300" s="537"/>
      <c r="L300" s="553">
        <f>_xll.qlCalendarAdvance(Calendar,L299,"1M","f",,Trigger)</f>
        <v>51154</v>
      </c>
      <c r="M300" s="544">
        <f>_xll.qlCalendarAdvance(Calendar,L300,"3M","f",,Trigger)</f>
        <v>51245</v>
      </c>
      <c r="N300" s="546" t="str">
        <f>_xll.qlMakeDatedOIS(,L300,M300,"eonia",,,,,Trigger)</f>
        <v>obj_008f4#0000</v>
      </c>
      <c r="O300" s="545">
        <f>_xll.qlIndexFixing("euribor6m",_xll.qlInterestRateIndexFixingDate("Euribor6M",L300),TRUE)</f>
        <v>2.1023020350946022E-2</v>
      </c>
      <c r="P300" s="545">
        <f>_xll.qlOvernightIndexedSwapFairRate(N300,Trigger)</f>
        <v>2.0093338520027006E-2</v>
      </c>
      <c r="Q300" s="547">
        <f t="shared" si="8"/>
        <v>9.2968183091901579E-4</v>
      </c>
    </row>
    <row r="301" spans="5:17" x14ac:dyDescent="0.2">
      <c r="E301" s="538"/>
      <c r="F301" s="538"/>
      <c r="G301" s="537"/>
      <c r="I301" s="537"/>
      <c r="J301" s="537"/>
      <c r="L301" s="553">
        <f>_xll.qlCalendarAdvance(Calendar,L300,"1M","f",,Trigger)</f>
        <v>51186</v>
      </c>
      <c r="M301" s="544">
        <f>_xll.qlCalendarAdvance(Calendar,L301,"3M","f",,Trigger)</f>
        <v>51277</v>
      </c>
      <c r="N301" s="546" t="str">
        <f>_xll.qlMakeDatedOIS(,L301,M301,"eonia",,,,,Trigger)</f>
        <v>obj_008f6#0000</v>
      </c>
      <c r="O301" s="545">
        <f>_xll.qlIndexFixing("euribor6m",_xll.qlInterestRateIndexFixingDate("Euribor6M",L301),TRUE)</f>
        <v>2.0990507636503113E-2</v>
      </c>
      <c r="P301" s="545">
        <f>_xll.qlOvernightIndexedSwapFairRate(N301,Trigger)</f>
        <v>2.0093338520027003E-2</v>
      </c>
      <c r="Q301" s="547">
        <f t="shared" si="8"/>
        <v>8.9716911647610975E-4</v>
      </c>
    </row>
    <row r="302" spans="5:17" x14ac:dyDescent="0.2">
      <c r="E302" s="538"/>
      <c r="F302" s="538"/>
      <c r="G302" s="537"/>
      <c r="I302" s="537"/>
      <c r="J302" s="537"/>
      <c r="L302" s="553">
        <f>_xll.qlCalendarAdvance(Calendar,L301,"1M","f",,Trigger)</f>
        <v>51215</v>
      </c>
      <c r="M302" s="544">
        <f>_xll.qlCalendarAdvance(Calendar,L302,"3M","f",,Trigger)</f>
        <v>51307</v>
      </c>
      <c r="N302" s="546" t="str">
        <f>_xll.qlMakeDatedOIS(,L302,M302,"eonia",,,,,Trigger)</f>
        <v>obj_008f8#0000</v>
      </c>
      <c r="O302" s="545">
        <f>_xll.qlIndexFixing("euribor6m",_xll.qlInterestRateIndexFixingDate("Euribor6M",L302),TRUE)</f>
        <v>2.0962232027503466E-2</v>
      </c>
      <c r="P302" s="545">
        <f>_xll.qlOvernightIndexedSwapFairRate(N302,Trigger)</f>
        <v>2.0093898336570316E-2</v>
      </c>
      <c r="Q302" s="547">
        <f t="shared" si="8"/>
        <v>8.6833369093314988E-4</v>
      </c>
    </row>
    <row r="303" spans="5:17" x14ac:dyDescent="0.2">
      <c r="E303" s="538"/>
      <c r="F303" s="538"/>
      <c r="G303" s="537"/>
      <c r="I303" s="537"/>
      <c r="J303" s="537"/>
      <c r="L303" s="553">
        <f>_xll.qlCalendarAdvance(Calendar,L302,"1M","f",,Trigger)</f>
        <v>51246</v>
      </c>
      <c r="M303" s="544">
        <f>_xll.qlCalendarAdvance(Calendar,L303,"3M","f",,Trigger)</f>
        <v>51337</v>
      </c>
      <c r="N303" s="546" t="str">
        <f>_xll.qlMakeDatedOIS(,L303,M303,"eonia",,,,,Trigger)</f>
        <v>obj_008fa#0000</v>
      </c>
      <c r="O303" s="545">
        <f>_xll.qlIndexFixing("euribor6m",_xll.qlInterestRateIndexFixingDate("Euribor6M",L303),TRUE)</f>
        <v>2.0932848595220935E-2</v>
      </c>
      <c r="P303" s="545">
        <f>_xll.qlOvernightIndexedSwapFairRate(N303,Trigger)</f>
        <v>2.0093338520027006E-2</v>
      </c>
      <c r="Q303" s="547">
        <f t="shared" si="8"/>
        <v>8.3951007519392912E-4</v>
      </c>
    </row>
    <row r="304" spans="5:17" x14ac:dyDescent="0.2">
      <c r="E304" s="538"/>
      <c r="F304" s="538"/>
      <c r="G304" s="537"/>
      <c r="I304" s="537"/>
      <c r="J304" s="537"/>
      <c r="L304" s="553">
        <f>_xll.qlCalendarAdvance(Calendar,L303,"1M","f",,Trigger)</f>
        <v>51277</v>
      </c>
      <c r="M304" s="544">
        <f>_xll.qlCalendarAdvance(Calendar,L304,"3M","f",,Trigger)</f>
        <v>51369</v>
      </c>
      <c r="N304" s="546" t="str">
        <f>_xll.qlMakeDatedOIS(,L304,M304,"eonia",,,,,Trigger)</f>
        <v>obj_008fc#0000</v>
      </c>
      <c r="O304" s="545">
        <f>_xll.qlIndexFixing("euribor6m",_xll.qlInterestRateIndexFixingDate("Euribor6M",L304),TRUE)</f>
        <v>2.0904146713277175E-2</v>
      </c>
      <c r="P304" s="545">
        <f>_xll.qlOvernightIndexedSwapFairRate(N304,Trigger)</f>
        <v>2.0093898336570316E-2</v>
      </c>
      <c r="Q304" s="547">
        <f t="shared" si="8"/>
        <v>8.1024837670685967E-4</v>
      </c>
    </row>
    <row r="305" spans="5:17" x14ac:dyDescent="0.2">
      <c r="E305" s="538"/>
      <c r="F305" s="538"/>
      <c r="G305" s="537"/>
      <c r="I305" s="537"/>
      <c r="J305" s="537"/>
      <c r="L305" s="553">
        <f>_xll.qlCalendarAdvance(Calendar,L304,"1M","f",,Trigger)</f>
        <v>51308</v>
      </c>
      <c r="M305" s="544">
        <f>_xll.qlCalendarAdvance(Calendar,L305,"3M","f",,Trigger)</f>
        <v>51400</v>
      </c>
      <c r="N305" s="546" t="str">
        <f>_xll.qlMakeDatedOIS(,L305,M305,"eonia",,,,,Trigger)</f>
        <v>obj_008fe#0000</v>
      </c>
      <c r="O305" s="545">
        <f>_xll.qlIndexFixing("euribor6m",_xll.qlInterestRateIndexFixingDate("Euribor6M",L305),TRUE)</f>
        <v>2.0876405837713108E-2</v>
      </c>
      <c r="P305" s="545">
        <f>_xll.qlOvernightIndexedSwapFairRate(N305,Trigger)</f>
        <v>2.0093898336570316E-2</v>
      </c>
      <c r="Q305" s="547">
        <f t="shared" si="8"/>
        <v>7.8250750114279219E-4</v>
      </c>
    </row>
    <row r="306" spans="5:17" x14ac:dyDescent="0.2">
      <c r="E306" s="538"/>
      <c r="F306" s="538"/>
      <c r="G306" s="537"/>
      <c r="I306" s="537"/>
      <c r="J306" s="537"/>
      <c r="L306" s="553">
        <f>_xll.qlCalendarAdvance(Calendar,L305,"1M","f",,Trigger)</f>
        <v>51340</v>
      </c>
      <c r="M306" s="544">
        <f>_xll.qlCalendarAdvance(Calendar,L306,"3M","f",,Trigger)</f>
        <v>51432</v>
      </c>
      <c r="N306" s="546" t="str">
        <f>_xll.qlMakeDatedOIS(,L306,M306,"eonia",,,,,Trigger)</f>
        <v>obj_00900#0000</v>
      </c>
      <c r="O306" s="545">
        <f>_xll.qlIndexFixing("euribor6m",_xll.qlInterestRateIndexFixingDate("Euribor6M",L306),TRUE)</f>
        <v>2.0849178255245331E-2</v>
      </c>
      <c r="P306" s="545">
        <f>_xll.qlOvernightIndexedSwapFairRate(N306,Trigger)</f>
        <v>2.0093898336570316E-2</v>
      </c>
      <c r="Q306" s="547">
        <f t="shared" si="8"/>
        <v>7.5527991867501559E-4</v>
      </c>
    </row>
    <row r="307" spans="5:17" x14ac:dyDescent="0.2">
      <c r="E307" s="538"/>
      <c r="F307" s="538"/>
      <c r="G307" s="537"/>
      <c r="I307" s="537"/>
      <c r="J307" s="537"/>
      <c r="L307" s="553">
        <f>_xll.qlCalendarAdvance(Calendar,L306,"1M","f",,Trigger)</f>
        <v>51371</v>
      </c>
      <c r="M307" s="544">
        <f>_xll.qlCalendarAdvance(Calendar,L307,"3M","f",,Trigger)</f>
        <v>51463</v>
      </c>
      <c r="N307" s="546" t="str">
        <f>_xll.qlMakeDatedOIS(,L307,M307,"eonia",,,,,Trigger)</f>
        <v>obj_00902#0000</v>
      </c>
      <c r="O307" s="545">
        <f>_xll.qlIndexFixing("euribor6m",_xll.qlInterestRateIndexFixingDate("Euribor6M",L307),TRUE)</f>
        <v>2.0824054467741573E-2</v>
      </c>
      <c r="P307" s="545">
        <f>_xll.qlOvernightIndexedSwapFairRate(N307,Trigger)</f>
        <v>2.0093898336570316E-2</v>
      </c>
      <c r="Q307" s="547">
        <f t="shared" si="8"/>
        <v>7.3015613117125705E-4</v>
      </c>
    </row>
    <row r="308" spans="5:17" x14ac:dyDescent="0.2">
      <c r="E308" s="538"/>
      <c r="F308" s="538"/>
      <c r="G308" s="537"/>
      <c r="I308" s="537"/>
      <c r="J308" s="537"/>
      <c r="L308" s="553">
        <f>_xll.qlCalendarAdvance(Calendar,L307,"1M","f",,Trigger)</f>
        <v>51403</v>
      </c>
      <c r="M308" s="544">
        <f>_xll.qlCalendarAdvance(Calendar,L308,"3M","f",,Trigger)</f>
        <v>51494</v>
      </c>
      <c r="N308" s="546" t="str">
        <f>_xll.qlMakeDatedOIS(,L308,M308,"eonia",,,,,Trigger)</f>
        <v>obj_00904#0000</v>
      </c>
      <c r="O308" s="545">
        <f>_xll.qlIndexFixing("euribor6m",_xll.qlInterestRateIndexFixingDate("Euribor6M",L308),TRUE)</f>
        <v>2.0797842583566917E-2</v>
      </c>
      <c r="P308" s="545">
        <f>_xll.qlOvernightIndexedSwapFairRate(N308,Trigger)</f>
        <v>2.0093338520027006E-2</v>
      </c>
      <c r="Q308" s="547">
        <f t="shared" si="8"/>
        <v>7.0450406353991107E-4</v>
      </c>
    </row>
    <row r="309" spans="5:17" x14ac:dyDescent="0.2">
      <c r="E309" s="538"/>
      <c r="F309" s="538"/>
      <c r="G309" s="537"/>
      <c r="I309" s="537"/>
      <c r="J309" s="537"/>
      <c r="L309" s="553">
        <f>_xll.qlCalendarAdvance(Calendar,L308,"1M","f",,Trigger)</f>
        <v>51433</v>
      </c>
      <c r="M309" s="544">
        <f>_xll.qlCalendarAdvance(Calendar,L309,"3M","f",,Trigger)</f>
        <v>51525</v>
      </c>
      <c r="N309" s="546" t="str">
        <f>_xll.qlMakeDatedOIS(,L309,M309,"eonia",,,,,Trigger)</f>
        <v>obj_00906#0000</v>
      </c>
      <c r="O309" s="545">
        <f>_xll.qlIndexFixing("euribor6m",_xll.qlInterestRateIndexFixingDate("Euribor6M",L309),TRUE)</f>
        <v>2.077502045425527E-2</v>
      </c>
      <c r="P309" s="545">
        <f>_xll.qlOvernightIndexedSwapFairRate(N309,Trigger)</f>
        <v>2.0093898336570316E-2</v>
      </c>
      <c r="Q309" s="547">
        <f t="shared" si="8"/>
        <v>6.8112211768495481E-4</v>
      </c>
    </row>
    <row r="310" spans="5:17" x14ac:dyDescent="0.2">
      <c r="E310" s="538"/>
      <c r="F310" s="538"/>
      <c r="G310" s="537"/>
      <c r="I310" s="537"/>
      <c r="J310" s="537"/>
      <c r="L310" s="553">
        <f>_xll.qlCalendarAdvance(Calendar,L309,"1M","f",,Trigger)</f>
        <v>51466</v>
      </c>
      <c r="M310" s="544">
        <f>_xll.qlCalendarAdvance(Calendar,L310,"3M","f",,Trigger)</f>
        <v>51558</v>
      </c>
      <c r="N310" s="546" t="str">
        <f>_xll.qlMakeDatedOIS(,L310,M310,"eonia",,,,,Trigger)</f>
        <v>obj_00908#0000</v>
      </c>
      <c r="O310" s="545">
        <f>_xll.qlIndexFixing("euribor6m",_xll.qlInterestRateIndexFixingDate("Euribor6M",L310),TRUE)</f>
        <v>2.0750985958318507E-2</v>
      </c>
      <c r="P310" s="545">
        <f>_xll.qlOvernightIndexedSwapFairRate(N310,Trigger)</f>
        <v>2.0093898336569448E-2</v>
      </c>
      <c r="Q310" s="547">
        <f t="shared" si="8"/>
        <v>6.5708762174905913E-4</v>
      </c>
    </row>
    <row r="311" spans="5:17" x14ac:dyDescent="0.2">
      <c r="E311" s="538"/>
      <c r="F311" s="538"/>
      <c r="G311" s="537"/>
      <c r="I311" s="537"/>
      <c r="J311" s="537"/>
      <c r="L311" s="553">
        <f>_xll.qlCalendarAdvance(Calendar,L310,"1M","f",,Trigger)</f>
        <v>51497</v>
      </c>
      <c r="M311" s="544">
        <f>_xll.qlCalendarAdvance(Calendar,L311,"3M","f",,Trigger)</f>
        <v>51587</v>
      </c>
      <c r="N311" s="546" t="str">
        <f>_xll.qlMakeDatedOIS(,L311,M311,"eonia",,,,,Trigger)</f>
        <v>obj_0090a#0000</v>
      </c>
      <c r="O311" s="545">
        <f>_xll.qlIndexFixing("euribor6m",_xll.qlInterestRateIndexFixingDate("Euribor6M",L311),TRUE)</f>
        <v>2.0729429023177828E-2</v>
      </c>
      <c r="P311" s="545">
        <f>_xll.qlOvernightIndexedSwapFairRate(N311,Trigger)</f>
        <v>2.0092778724270843E-2</v>
      </c>
      <c r="Q311" s="547">
        <f t="shared" si="8"/>
        <v>6.3665029890698499E-4</v>
      </c>
    </row>
    <row r="312" spans="5:17" x14ac:dyDescent="0.2">
      <c r="E312" s="538"/>
      <c r="F312" s="538"/>
      <c r="G312" s="537"/>
      <c r="I312" s="537"/>
      <c r="J312" s="537"/>
      <c r="L312" s="553">
        <f>_xll.qlCalendarAdvance(Calendar,L311,"1M","f",,Trigger)</f>
        <v>51529</v>
      </c>
      <c r="M312" s="544">
        <f>_xll.qlCalendarAdvance(Calendar,L312,"3M","f",,Trigger)</f>
        <v>51620</v>
      </c>
      <c r="N312" s="546" t="str">
        <f>_xll.qlMakeDatedOIS(,L312,M312,"eonia",,,,,Trigger)</f>
        <v>obj_0090c#0000</v>
      </c>
      <c r="O312" s="545">
        <f>_xll.qlIndexFixing("euribor6m",_xll.qlInterestRateIndexFixingDate("Euribor6M",L312),TRUE)</f>
        <v>2.0708214059583615E-2</v>
      </c>
      <c r="P312" s="545">
        <f>_xll.qlOvernightIndexedSwapFairRate(N312,Trigger)</f>
        <v>2.0093338520027006E-2</v>
      </c>
      <c r="Q312" s="547">
        <f t="shared" si="8"/>
        <v>6.1487553955660856E-4</v>
      </c>
    </row>
    <row r="313" spans="5:17" x14ac:dyDescent="0.2">
      <c r="E313" s="538"/>
      <c r="F313" s="538"/>
      <c r="G313" s="537"/>
      <c r="I313" s="537"/>
      <c r="J313" s="537"/>
      <c r="L313" s="553">
        <f>_xll.qlCalendarAdvance(Calendar,L312,"1M","f",,Trigger)</f>
        <v>51560</v>
      </c>
      <c r="M313" s="544">
        <f>_xll.qlCalendarAdvance(Calendar,L313,"3M","f",,Trigger)</f>
        <v>51649</v>
      </c>
      <c r="N313" s="546" t="str">
        <f>_xll.qlMakeDatedOIS(,L313,M313,"eonia",,,,,Trigger)</f>
        <v>obj_0090e#0000</v>
      </c>
      <c r="O313" s="545">
        <f>_xll.qlIndexFixing("euribor6m",_xll.qlInterestRateIndexFixingDate("Euribor6M",L313),TRUE)</f>
        <v>2.0688967853518824E-2</v>
      </c>
      <c r="P313" s="545">
        <f>_xll.qlOvernightIndexedSwapFairRate(N313,Trigger)</f>
        <v>2.0092218949299256E-2</v>
      </c>
      <c r="Q313" s="547">
        <f t="shared" si="8"/>
        <v>5.9674890421956839E-4</v>
      </c>
    </row>
    <row r="314" spans="5:17" x14ac:dyDescent="0.2">
      <c r="E314" s="538"/>
      <c r="F314" s="538"/>
      <c r="G314" s="537"/>
      <c r="I314" s="537"/>
      <c r="J314" s="537"/>
      <c r="L314" s="553">
        <f>_xll.qlCalendarAdvance(Calendar,L313,"1M","f",,Trigger)</f>
        <v>51588</v>
      </c>
      <c r="M314" s="544">
        <f>_xll.qlCalendarAdvance(Calendar,L314,"3M","f",,Trigger)</f>
        <v>51680</v>
      </c>
      <c r="N314" s="546" t="str">
        <f>_xll.qlMakeDatedOIS(,L314,M314,"eonia",,,,,Trigger)</f>
        <v>obj_00910#0000</v>
      </c>
      <c r="O314" s="545">
        <f>_xll.qlIndexFixing("euribor6m",_xll.qlInterestRateIndexFixingDate("Euribor6M",L314),TRUE)</f>
        <v>2.0673120862010445E-2</v>
      </c>
      <c r="P314" s="545">
        <f>_xll.qlOvernightIndexedSwapFairRate(N314,Trigger)</f>
        <v>2.0093898336569448E-2</v>
      </c>
      <c r="Q314" s="547">
        <f t="shared" si="8"/>
        <v>5.7922252544099703E-4</v>
      </c>
    </row>
    <row r="315" spans="5:17" x14ac:dyDescent="0.2">
      <c r="E315" s="538"/>
      <c r="F315" s="538"/>
      <c r="G315" s="537"/>
      <c r="I315" s="537"/>
      <c r="J315" s="537"/>
      <c r="L315" s="553">
        <f>_xll.qlCalendarAdvance(Calendar,L314,"1M","f",,Trigger)</f>
        <v>51620</v>
      </c>
      <c r="M315" s="544">
        <f>_xll.qlCalendarAdvance(Calendar,L315,"3M","f",,Trigger)</f>
        <v>51711</v>
      </c>
      <c r="N315" s="546" t="str">
        <f>_xll.qlMakeDatedOIS(,L315,M315,"eonia",,,,,Trigger)</f>
        <v>obj_00912#0000</v>
      </c>
      <c r="O315" s="545">
        <f>_xll.qlIndexFixing("euribor6m",_xll.qlInterestRateIndexFixingDate("Euribor6M",L315),TRUE)</f>
        <v>2.0653972963492601E-2</v>
      </c>
      <c r="P315" s="545">
        <f>_xll.qlOvernightIndexedSwapFairRate(N315,Trigger)</f>
        <v>2.0093338520027006E-2</v>
      </c>
      <c r="Q315" s="547">
        <f t="shared" si="8"/>
        <v>5.6063444346559493E-4</v>
      </c>
    </row>
    <row r="316" spans="5:17" x14ac:dyDescent="0.2">
      <c r="E316" s="538"/>
      <c r="F316" s="538"/>
      <c r="G316" s="537"/>
      <c r="I316" s="537"/>
      <c r="J316" s="537"/>
      <c r="L316" s="553">
        <f>_xll.qlCalendarAdvance(Calendar,L315,"1M","f",,Trigger)</f>
        <v>51650</v>
      </c>
      <c r="M316" s="544">
        <f>_xll.qlCalendarAdvance(Calendar,L316,"3M","f",,Trigger)</f>
        <v>51742</v>
      </c>
      <c r="N316" s="546" t="str">
        <f>_xll.qlMakeDatedOIS(,L316,M316,"eonia",,,,,Trigger)</f>
        <v>obj_00914#0000</v>
      </c>
      <c r="O316" s="545">
        <f>_xll.qlIndexFixing("euribor6m",_xll.qlInterestRateIndexFixingDate("Euribor6M",L316),TRUE)</f>
        <v>2.063820937670725E-2</v>
      </c>
      <c r="P316" s="545">
        <f>_xll.qlOvernightIndexedSwapFairRate(N316,Trigger)</f>
        <v>2.009389833657119E-2</v>
      </c>
      <c r="Q316" s="547">
        <f t="shared" si="8"/>
        <v>5.4431104013605985E-4</v>
      </c>
    </row>
    <row r="317" spans="5:17" x14ac:dyDescent="0.2">
      <c r="E317" s="538"/>
      <c r="F317" s="538"/>
      <c r="G317" s="537"/>
      <c r="I317" s="537"/>
      <c r="J317" s="537"/>
      <c r="L317" s="553">
        <f>_xll.qlCalendarAdvance(Calendar,L316,"1M","f",,Trigger)</f>
        <v>51683</v>
      </c>
      <c r="M317" s="544">
        <f>_xll.qlCalendarAdvance(Calendar,L317,"3M","f",,Trigger)</f>
        <v>51775</v>
      </c>
      <c r="N317" s="546" t="str">
        <f>_xll.qlMakeDatedOIS(,L317,M317,"eonia",,,,,Trigger)</f>
        <v>obj_00916#0000</v>
      </c>
      <c r="O317" s="545">
        <f>_xll.qlIndexFixing("euribor6m",_xll.qlInterestRateIndexFixingDate("Euribor6M",L317),TRUE)</f>
        <v>2.062193705857112E-2</v>
      </c>
      <c r="P317" s="545">
        <f>_xll.qlOvernightIndexedSwapFairRate(N317,Trigger)</f>
        <v>2.0093898336569445E-2</v>
      </c>
      <c r="Q317" s="547">
        <f t="shared" si="8"/>
        <v>5.2803872200167523E-4</v>
      </c>
    </row>
    <row r="318" spans="5:17" x14ac:dyDescent="0.2">
      <c r="E318" s="538"/>
      <c r="F318" s="538"/>
      <c r="G318" s="537"/>
      <c r="I318" s="537"/>
      <c r="J318" s="537"/>
      <c r="L318" s="553">
        <f>_xll.qlCalendarAdvance(Calendar,L317,"1M","f",,Trigger)</f>
        <v>51714</v>
      </c>
      <c r="M318" s="544">
        <f>_xll.qlCalendarAdvance(Calendar,L318,"3M","f",,Trigger)</f>
        <v>51806</v>
      </c>
      <c r="N318" s="546" t="str">
        <f>_xll.qlMakeDatedOIS(,L318,M318,"eonia",,,,,Trigger)</f>
        <v>obj_00918#0000</v>
      </c>
      <c r="O318" s="545">
        <f>_xll.qlIndexFixing("euribor6m",_xll.qlInterestRateIndexFixingDate("Euribor6M",L318),TRUE)</f>
        <v>2.0607724240891214E-2</v>
      </c>
      <c r="P318" s="545">
        <f>_xll.qlOvernightIndexedSwapFairRate(N318,Trigger)</f>
        <v>2.0093898336570316E-2</v>
      </c>
      <c r="Q318" s="547">
        <f t="shared" si="8"/>
        <v>5.1382590432089842E-4</v>
      </c>
    </row>
    <row r="319" spans="5:17" x14ac:dyDescent="0.2">
      <c r="E319" s="538"/>
      <c r="F319" s="538"/>
      <c r="G319" s="537"/>
      <c r="I319" s="537"/>
      <c r="J319" s="537"/>
      <c r="L319" s="553">
        <f>_xll.qlCalendarAdvance(Calendar,L318,"1M","f",,Trigger)</f>
        <v>51746</v>
      </c>
      <c r="M319" s="544">
        <f>_xll.qlCalendarAdvance(Calendar,L319,"3M","f",,Trigger)</f>
        <v>51837</v>
      </c>
      <c r="N319" s="546" t="str">
        <f>_xll.qlMakeDatedOIS(,L319,M319,"eonia",,,,,Trigger)</f>
        <v>obj_0091a#0000</v>
      </c>
      <c r="O319" s="545">
        <f>_xll.qlIndexFixing("euribor6m",_xll.qlInterestRateIndexFixingDate("Euribor6M",L319),TRUE)</f>
        <v>2.0592151009018123E-2</v>
      </c>
      <c r="P319" s="545">
        <f>_xll.qlOvernightIndexedSwapFairRate(N319,Trigger)</f>
        <v>2.0093338520026132E-2</v>
      </c>
      <c r="Q319" s="547">
        <f t="shared" si="8"/>
        <v>4.9881248899199052E-4</v>
      </c>
    </row>
    <row r="320" spans="5:17" x14ac:dyDescent="0.2">
      <c r="E320" s="538"/>
      <c r="F320" s="538"/>
      <c r="G320" s="537"/>
      <c r="I320" s="537"/>
      <c r="J320" s="537"/>
      <c r="L320" s="553">
        <f>_xll.qlCalendarAdvance(Calendar,L319,"1M","f",,Trigger)</f>
        <v>51776</v>
      </c>
      <c r="M320" s="544">
        <f>_xll.qlCalendarAdvance(Calendar,L320,"3M","f",,Trigger)</f>
        <v>51868</v>
      </c>
      <c r="N320" s="546" t="str">
        <f>_xll.qlMakeDatedOIS(,L320,M320,"eonia",,,,,Trigger)</f>
        <v>obj_0091c#0000</v>
      </c>
      <c r="O320" s="545">
        <f>_xll.qlIndexFixing("euribor6m",_xll.qlInterestRateIndexFixingDate("Euribor6M",L320),TRUE)</f>
        <v>2.0579917715396506E-2</v>
      </c>
      <c r="P320" s="545">
        <f>_xll.qlOvernightIndexedSwapFairRate(N320,Trigger)</f>
        <v>2.0093898336569448E-2</v>
      </c>
      <c r="Q320" s="547">
        <f t="shared" si="8"/>
        <v>4.8601937882705726E-4</v>
      </c>
    </row>
    <row r="321" spans="5:17" x14ac:dyDescent="0.2">
      <c r="E321" s="538"/>
      <c r="F321" s="538"/>
      <c r="G321" s="537"/>
      <c r="I321" s="537"/>
      <c r="J321" s="537"/>
      <c r="L321" s="553">
        <f>_xll.qlCalendarAdvance(Calendar,L320,"1M","f",,Trigger)</f>
        <v>51809</v>
      </c>
      <c r="M321" s="544">
        <f>_xll.qlCalendarAdvance(Calendar,L321,"3M","f",,Trigger)</f>
        <v>51901</v>
      </c>
      <c r="N321" s="546" t="str">
        <f>_xll.qlMakeDatedOIS(,L321,M321,"eonia",,,,,Trigger)</f>
        <v>obj_0091e#0000</v>
      </c>
      <c r="O321" s="545">
        <f>_xll.qlIndexFixing("euribor6m",_xll.qlInterestRateIndexFixingDate("Euribor6M",L321),TRUE)</f>
        <v>2.0567530626067292E-2</v>
      </c>
      <c r="P321" s="545">
        <f>_xll.qlOvernightIndexedSwapFairRate(N321,Trigger)</f>
        <v>2.0093898336570319E-2</v>
      </c>
      <c r="Q321" s="547">
        <f t="shared" si="8"/>
        <v>4.7363228949697314E-4</v>
      </c>
    </row>
    <row r="322" spans="5:17" x14ac:dyDescent="0.2">
      <c r="E322" s="538"/>
      <c r="F322" s="538"/>
      <c r="G322" s="537"/>
      <c r="I322" s="537"/>
      <c r="J322" s="537"/>
      <c r="L322" s="553">
        <f>_xll.qlCalendarAdvance(Calendar,L321,"1M","f",,Trigger)</f>
        <v>51839</v>
      </c>
      <c r="M322" s="544">
        <f>_xll.qlCalendarAdvance(Calendar,L322,"3M","f",,Trigger)</f>
        <v>51929</v>
      </c>
      <c r="N322" s="546" t="str">
        <f>_xll.qlMakeDatedOIS(,L322,M322,"eonia",,,,,Trigger)</f>
        <v>obj_00920#0000</v>
      </c>
      <c r="O322" s="545">
        <f>_xll.qlIndexFixing("euribor6m",_xll.qlInterestRateIndexFixingDate("Euribor6M",L322),TRUE)</f>
        <v>2.0557241922108595E-2</v>
      </c>
      <c r="P322" s="545">
        <f>_xll.qlOvernightIndexedSwapFairRate(N322,Trigger)</f>
        <v>2.0092778724269955E-2</v>
      </c>
      <c r="Q322" s="547">
        <f t="shared" si="8"/>
        <v>4.644631978386396E-4</v>
      </c>
    </row>
    <row r="323" spans="5:17" x14ac:dyDescent="0.2">
      <c r="E323" s="538"/>
      <c r="F323" s="538"/>
      <c r="G323" s="537"/>
      <c r="I323" s="537"/>
      <c r="J323" s="537"/>
      <c r="L323" s="553">
        <f>_xll.qlCalendarAdvance(Calendar,L322,"1M","f",,Trigger)</f>
        <v>51872</v>
      </c>
      <c r="M323" s="544">
        <f>_xll.qlCalendarAdvance(Calendar,L323,"3M","f",,Trigger)</f>
        <v>51964</v>
      </c>
      <c r="N323" s="546" t="str">
        <f>_xll.qlMakeDatedOIS(,L323,M323,"eonia",,,,,Trigger)</f>
        <v>obj_00922#0000</v>
      </c>
      <c r="O323" s="545">
        <f>_xll.qlIndexFixing("euribor6m",_xll.qlInterestRateIndexFixingDate("Euribor6M",L323),TRUE)</f>
        <v>2.0546993845110596E-2</v>
      </c>
      <c r="P323" s="545">
        <f>_xll.qlOvernightIndexedSwapFairRate(N323,Trigger)</f>
        <v>2.0093898336569445E-2</v>
      </c>
      <c r="Q323" s="547">
        <f t="shared" ref="Q323:Q386" si="9">O323-P323</f>
        <v>4.5309550854115074E-4</v>
      </c>
    </row>
    <row r="324" spans="5:17" x14ac:dyDescent="0.2">
      <c r="E324" s="538"/>
      <c r="F324" s="538"/>
      <c r="G324" s="537"/>
      <c r="I324" s="537"/>
      <c r="J324" s="537"/>
      <c r="L324" s="553">
        <f>_xll.qlCalendarAdvance(Calendar,L323,"1M","f",,Trigger)</f>
        <v>51903</v>
      </c>
      <c r="M324" s="544">
        <f>_xll.qlCalendarAdvance(Calendar,L324,"3M","f",,Trigger)</f>
        <v>51992</v>
      </c>
      <c r="N324" s="546" t="str">
        <f>_xll.qlMakeDatedOIS(,L324,M324,"eonia",,,,,Trigger)</f>
        <v>obj_00924#0000</v>
      </c>
      <c r="O324" s="545">
        <f>_xll.qlIndexFixing("euribor6m",_xll.qlInterestRateIndexFixingDate("Euribor6M",L324),TRUE)</f>
        <v>2.0537919035700819E-2</v>
      </c>
      <c r="P324" s="545">
        <f>_xll.qlOvernightIndexedSwapFairRate(N324,Trigger)</f>
        <v>2.0092218949299259E-2</v>
      </c>
      <c r="Q324" s="547">
        <f t="shared" si="9"/>
        <v>4.4570008640155978E-4</v>
      </c>
    </row>
    <row r="325" spans="5:17" x14ac:dyDescent="0.2">
      <c r="E325" s="538"/>
      <c r="F325" s="538"/>
      <c r="G325" s="537"/>
      <c r="I325" s="537"/>
      <c r="J325" s="537"/>
      <c r="L325" s="553">
        <f>_xll.qlCalendarAdvance(Calendar,L324,"1M","f",,Trigger)</f>
        <v>51931</v>
      </c>
      <c r="M325" s="544">
        <f>_xll.qlCalendarAdvance(Calendar,L325,"3M","f",,Trigger)</f>
        <v>52023</v>
      </c>
      <c r="N325" s="546" t="str">
        <f>_xll.qlMakeDatedOIS(,L325,M325,"eonia",,,,,Trigger)</f>
        <v>obj_00926#0000</v>
      </c>
      <c r="O325" s="545">
        <f>_xll.qlIndexFixing("euribor6m",_xll.qlInterestRateIndexFixingDate("Euribor6M",L325),TRUE)</f>
        <v>2.053339712752348E-2</v>
      </c>
      <c r="P325" s="545">
        <f>_xll.qlOvernightIndexedSwapFairRate(N325,Trigger)</f>
        <v>2.0093898336570316E-2</v>
      </c>
      <c r="Q325" s="547">
        <f t="shared" si="9"/>
        <v>4.3949879095316405E-4</v>
      </c>
    </row>
    <row r="326" spans="5:17" x14ac:dyDescent="0.2">
      <c r="E326" s="538"/>
      <c r="F326" s="538"/>
      <c r="G326" s="537"/>
      <c r="I326" s="537"/>
      <c r="J326" s="537"/>
      <c r="L326" s="553">
        <f>_xll.qlCalendarAdvance(Calendar,L325,"1M","f",,Trigger)</f>
        <v>51964</v>
      </c>
      <c r="M326" s="544">
        <f>_xll.qlCalendarAdvance(Calendar,L326,"3M","f",,Trigger)</f>
        <v>52055</v>
      </c>
      <c r="N326" s="546" t="str">
        <f>_xll.qlMakeDatedOIS(,L326,M326,"eonia",,,,,Trigger)</f>
        <v>obj_00928#0000</v>
      </c>
      <c r="O326" s="545">
        <f>_xll.qlIndexFixing("euribor6m",_xll.qlInterestRateIndexFixingDate("Euribor6M",L326),TRUE)</f>
        <v>2.0524838619220859E-2</v>
      </c>
      <c r="P326" s="545">
        <f>_xll.qlOvernightIndexedSwapFairRate(N326,Trigger)</f>
        <v>2.0093338520027006E-2</v>
      </c>
      <c r="Q326" s="547">
        <f t="shared" si="9"/>
        <v>4.3150009919385238E-4</v>
      </c>
    </row>
    <row r="327" spans="5:17" x14ac:dyDescent="0.2">
      <c r="E327" s="538"/>
      <c r="F327" s="538"/>
      <c r="G327" s="537"/>
      <c r="I327" s="537"/>
      <c r="J327" s="537"/>
      <c r="L327" s="553">
        <f>_xll.qlCalendarAdvance(Calendar,L326,"1M","f",,Trigger)</f>
        <v>51994</v>
      </c>
      <c r="M327" s="544">
        <f>_xll.qlCalendarAdvance(Calendar,L327,"3M","f",,Trigger)</f>
        <v>52086</v>
      </c>
      <c r="N327" s="546" t="str">
        <f>_xll.qlMakeDatedOIS(,L327,M327,"eonia",,,,,Trigger)</f>
        <v>obj_0092a#0000</v>
      </c>
      <c r="O327" s="545">
        <f>_xll.qlIndexFixing("euribor6m",_xll.qlInterestRateIndexFixingDate("Euribor6M",L327),TRUE)</f>
        <v>2.0520894731689165E-2</v>
      </c>
      <c r="P327" s="545">
        <f>_xll.qlOvernightIndexedSwapFairRate(N327,Trigger)</f>
        <v>2.0093898336570316E-2</v>
      </c>
      <c r="Q327" s="547">
        <f t="shared" si="9"/>
        <v>4.2699639511884976E-4</v>
      </c>
    </row>
    <row r="328" spans="5:17" x14ac:dyDescent="0.2">
      <c r="E328" s="538"/>
      <c r="F328" s="538"/>
      <c r="G328" s="537"/>
      <c r="I328" s="537"/>
      <c r="J328" s="537"/>
      <c r="L328" s="553">
        <f>_xll.qlCalendarAdvance(Calendar,L327,"1M","f",,Trigger)</f>
        <v>52026</v>
      </c>
      <c r="M328" s="544">
        <f>_xll.qlCalendarAdvance(Calendar,L328,"3M","f",,Trigger)</f>
        <v>52118</v>
      </c>
      <c r="N328" s="546" t="str">
        <f>_xll.qlMakeDatedOIS(,L328,M328,"eonia",,,,,Trigger)</f>
        <v>obj_0092c#0000</v>
      </c>
      <c r="O328" s="545">
        <f>_xll.qlIndexFixing("euribor6m",_xll.qlInterestRateIndexFixingDate("Euribor6M",L328),TRUE)</f>
        <v>2.0514514238987498E-2</v>
      </c>
      <c r="P328" s="545">
        <f>_xll.qlOvernightIndexedSwapFairRate(N328,Trigger)</f>
        <v>2.0093898336569448E-2</v>
      </c>
      <c r="Q328" s="547">
        <f t="shared" si="9"/>
        <v>4.2061590241804919E-4</v>
      </c>
    </row>
    <row r="329" spans="5:17" x14ac:dyDescent="0.2">
      <c r="E329" s="538"/>
      <c r="F329" s="538"/>
      <c r="G329" s="537"/>
      <c r="I329" s="537"/>
      <c r="J329" s="537"/>
      <c r="L329" s="553">
        <f>_xll.qlCalendarAdvance(Calendar,L328,"1M","f",,Trigger)</f>
        <v>52056</v>
      </c>
      <c r="M329" s="544">
        <f>_xll.qlCalendarAdvance(Calendar,L329,"3M","f",,Trigger)</f>
        <v>52148</v>
      </c>
      <c r="N329" s="546" t="str">
        <f>_xll.qlMakeDatedOIS(,L329,M329,"eonia",,,,,Trigger)</f>
        <v>obj_0092e#0000</v>
      </c>
      <c r="O329" s="545">
        <f>_xll.qlIndexFixing("euribor6m",_xll.qlInterestRateIndexFixingDate("Euribor6M",L329),TRUE)</f>
        <v>2.0511484659248014E-2</v>
      </c>
      <c r="P329" s="545">
        <f>_xll.qlOvernightIndexedSwapFairRate(N329,Trigger)</f>
        <v>2.0093898336570319E-2</v>
      </c>
      <c r="Q329" s="547">
        <f t="shared" si="9"/>
        <v>4.1758632267769463E-4</v>
      </c>
    </row>
    <row r="330" spans="5:17" x14ac:dyDescent="0.2">
      <c r="E330" s="538"/>
      <c r="F330" s="538"/>
      <c r="G330" s="537"/>
      <c r="I330" s="537"/>
      <c r="J330" s="537"/>
      <c r="L330" s="553">
        <f>_xll.qlCalendarAdvance(Calendar,L329,"1M","f",,Trigger)</f>
        <v>52089</v>
      </c>
      <c r="M330" s="544">
        <f>_xll.qlCalendarAdvance(Calendar,L330,"3M","f",,Trigger)</f>
        <v>52181</v>
      </c>
      <c r="N330" s="546" t="str">
        <f>_xll.qlMakeDatedOIS(,L330,M330,"eonia",,,,,Trigger)</f>
        <v>obj_00930#0000</v>
      </c>
      <c r="O330" s="545">
        <f>_xll.qlIndexFixing("euribor6m",_xll.qlInterestRateIndexFixingDate("Euribor6M",L330),TRUE)</f>
        <v>2.050863751944149E-2</v>
      </c>
      <c r="P330" s="545">
        <f>_xll.qlOvernightIndexedSwapFairRate(N330,Trigger)</f>
        <v>2.0093898336570316E-2</v>
      </c>
      <c r="Q330" s="547">
        <f t="shared" si="9"/>
        <v>4.1473918287117384E-4</v>
      </c>
    </row>
    <row r="331" spans="5:17" x14ac:dyDescent="0.2">
      <c r="E331" s="538"/>
      <c r="F331" s="538"/>
      <c r="G331" s="537"/>
      <c r="I331" s="537"/>
      <c r="J331" s="537"/>
      <c r="L331" s="553">
        <f>_xll.qlCalendarAdvance(Calendar,L330,"1M","f",,Trigger)</f>
        <v>52120</v>
      </c>
      <c r="M331" s="544">
        <f>_xll.qlCalendarAdvance(Calendar,L331,"3M","f",,Trigger)</f>
        <v>52211</v>
      </c>
      <c r="N331" s="546" t="str">
        <f>_xll.qlMakeDatedOIS(,L331,M331,"eonia",,,,,Trigger)</f>
        <v>obj_00932#0000</v>
      </c>
      <c r="O331" s="545">
        <f>_xll.qlIndexFixing("euribor6m",_xll.qlInterestRateIndexFixingDate("Euribor6M",L331),TRUE)</f>
        <v>2.0505247873345428E-2</v>
      </c>
      <c r="P331" s="545">
        <f>_xll.qlOvernightIndexedSwapFairRate(N331,Trigger)</f>
        <v>2.0093338520027006E-2</v>
      </c>
      <c r="Q331" s="547">
        <f t="shared" si="9"/>
        <v>4.1190935331842163E-4</v>
      </c>
    </row>
    <row r="332" spans="5:17" x14ac:dyDescent="0.2">
      <c r="E332" s="538"/>
      <c r="F332" s="538"/>
      <c r="G332" s="537"/>
      <c r="I332" s="537"/>
      <c r="J332" s="537"/>
      <c r="L332" s="553">
        <f>_xll.qlCalendarAdvance(Calendar,L331,"1M","f",,Trigger)</f>
        <v>52152</v>
      </c>
      <c r="M332" s="544">
        <f>_xll.qlCalendarAdvance(Calendar,L332,"3M","f",,Trigger)</f>
        <v>52244</v>
      </c>
      <c r="N332" s="546" t="str">
        <f>_xll.qlMakeDatedOIS(,L332,M332,"eonia",,,,,Trigger)</f>
        <v>obj_00934#0000</v>
      </c>
      <c r="O332" s="545">
        <f>_xll.qlIndexFixing("euribor6m",_xll.qlInterestRateIndexFixingDate("Euribor6M",L332),TRUE)</f>
        <v>2.0505123094310879E-2</v>
      </c>
      <c r="P332" s="545">
        <f>_xll.qlOvernightIndexedSwapFairRate(N332,Trigger)</f>
        <v>2.0093898336569448E-2</v>
      </c>
      <c r="Q332" s="547">
        <f t="shared" si="9"/>
        <v>4.1122475774143033E-4</v>
      </c>
    </row>
    <row r="333" spans="5:17" x14ac:dyDescent="0.2">
      <c r="E333" s="538"/>
      <c r="F333" s="538"/>
      <c r="G333" s="537"/>
      <c r="I333" s="537"/>
      <c r="J333" s="537"/>
      <c r="L333" s="553">
        <f>_xll.qlCalendarAdvance(Calendar,L332,"1M","f",,Trigger)</f>
        <v>52183</v>
      </c>
      <c r="M333" s="544">
        <f>_xll.qlCalendarAdvance(Calendar,L333,"3M","f",,Trigger)</f>
        <v>52275</v>
      </c>
      <c r="N333" s="546" t="str">
        <f>_xll.qlMakeDatedOIS(,L333,M333,"eonia",,,,,Trigger)</f>
        <v>obj_00936#0000</v>
      </c>
      <c r="O333" s="545">
        <f>_xll.qlIndexFixing("euribor6m",_xll.qlInterestRateIndexFixingDate("Euribor6M",L333),TRUE)</f>
        <v>2.0504836079644852E-2</v>
      </c>
      <c r="P333" s="545">
        <f>_xll.qlOvernightIndexedSwapFairRate(N333,Trigger)</f>
        <v>2.0093898336569445E-2</v>
      </c>
      <c r="Q333" s="547">
        <f t="shared" si="9"/>
        <v>4.1093774307540687E-4</v>
      </c>
    </row>
    <row r="334" spans="5:17" x14ac:dyDescent="0.2">
      <c r="E334" s="538"/>
      <c r="F334" s="538"/>
      <c r="G334" s="537"/>
      <c r="I334" s="537"/>
      <c r="J334" s="537"/>
      <c r="L334" s="553">
        <f>_xll.qlCalendarAdvance(Calendar,L333,"1M","f",,Trigger)</f>
        <v>52215</v>
      </c>
      <c r="M334" s="544">
        <f>_xll.qlCalendarAdvance(Calendar,L334,"3M","f",,Trigger)</f>
        <v>52306</v>
      </c>
      <c r="N334" s="546" t="str">
        <f>_xll.qlMakeDatedOIS(,L334,M334,"eonia",,,,,Trigger)</f>
        <v>obj_00938#0000</v>
      </c>
      <c r="O334" s="545">
        <f>_xll.qlIndexFixing("euribor6m",_xll.qlInterestRateIndexFixingDate("Euribor6M",L334),TRUE)</f>
        <v>2.0506817699733459E-2</v>
      </c>
      <c r="P334" s="545">
        <f>_xll.qlOvernightIndexedSwapFairRate(N334,Trigger)</f>
        <v>2.0093338520027006E-2</v>
      </c>
      <c r="Q334" s="547">
        <f t="shared" si="9"/>
        <v>4.1347917970645243E-4</v>
      </c>
    </row>
    <row r="335" spans="5:17" x14ac:dyDescent="0.2">
      <c r="E335" s="538"/>
      <c r="F335" s="538"/>
      <c r="G335" s="537"/>
      <c r="I335" s="537"/>
      <c r="J335" s="537"/>
      <c r="L335" s="553">
        <f>_xll.qlCalendarAdvance(Calendar,L334,"1M","f",,Trigger)</f>
        <v>52246</v>
      </c>
      <c r="M335" s="544">
        <f>_xll.qlCalendarAdvance(Calendar,L335,"3M","f",,Trigger)</f>
        <v>52336</v>
      </c>
      <c r="N335" s="546" t="str">
        <f>_xll.qlMakeDatedOIS(,L335,M335,"eonia",,,,,Trigger)</f>
        <v>obj_0093a#0000</v>
      </c>
      <c r="O335" s="545">
        <f>_xll.qlIndexFixing("euribor6m",_xll.qlInterestRateIndexFixingDate("Euribor6M",L335),TRUE)</f>
        <v>2.0508507275895278E-2</v>
      </c>
      <c r="P335" s="545">
        <f>_xll.qlOvernightIndexedSwapFairRate(N335,Trigger)</f>
        <v>2.0092778724270843E-2</v>
      </c>
      <c r="Q335" s="547">
        <f t="shared" si="9"/>
        <v>4.1572855162443426E-4</v>
      </c>
    </row>
    <row r="336" spans="5:17" x14ac:dyDescent="0.2">
      <c r="E336" s="538"/>
      <c r="F336" s="538"/>
      <c r="G336" s="537"/>
      <c r="I336" s="537"/>
      <c r="J336" s="537"/>
      <c r="L336" s="553">
        <f>_xll.qlCalendarAdvance(Calendar,L335,"1M","f",,Trigger)</f>
        <v>52278</v>
      </c>
      <c r="M336" s="544">
        <f>_xll.qlCalendarAdvance(Calendar,L336,"3M","f",,Trigger)</f>
        <v>52369</v>
      </c>
      <c r="N336" s="546" t="str">
        <f>_xll.qlMakeDatedOIS(,L336,M336,"eonia",,,,,Trigger)</f>
        <v>obj_0093c#0000</v>
      </c>
      <c r="O336" s="545">
        <f>_xll.qlIndexFixing("euribor6m",_xll.qlInterestRateIndexFixingDate("Euribor6M",L336),TRUE)</f>
        <v>2.05125955350162E-2</v>
      </c>
      <c r="P336" s="545">
        <f>_xll.qlOvernightIndexedSwapFairRate(N336,Trigger)</f>
        <v>2.009333852002701E-2</v>
      </c>
      <c r="Q336" s="547">
        <f t="shared" si="9"/>
        <v>4.1925701498918971E-4</v>
      </c>
    </row>
    <row r="337" spans="5:17" x14ac:dyDescent="0.2">
      <c r="E337" s="538"/>
      <c r="F337" s="538"/>
      <c r="G337" s="537"/>
      <c r="I337" s="537"/>
      <c r="J337" s="537"/>
      <c r="L337" s="553">
        <f>_xll.qlCalendarAdvance(Calendar,L336,"1M","f",,Trigger)</f>
        <v>52306</v>
      </c>
      <c r="M337" s="544">
        <f>_xll.qlCalendarAdvance(Calendar,L337,"3M","f",,Trigger)</f>
        <v>52398</v>
      </c>
      <c r="N337" s="546" t="str">
        <f>_xll.qlMakeDatedOIS(,L337,M337,"eonia",,,,,Trigger)</f>
        <v>obj_0093e#0000</v>
      </c>
      <c r="O337" s="545">
        <f>_xll.qlIndexFixing("euribor6m",_xll.qlInterestRateIndexFixingDate("Euribor6M",L337),TRUE)</f>
        <v>2.0517824234837286E-2</v>
      </c>
      <c r="P337" s="545">
        <f>_xll.qlOvernightIndexedSwapFairRate(N337,Trigger)</f>
        <v>2.0093898336570316E-2</v>
      </c>
      <c r="Q337" s="547">
        <f t="shared" si="9"/>
        <v>4.2392589826696983E-4</v>
      </c>
    </row>
    <row r="338" spans="5:17" x14ac:dyDescent="0.2">
      <c r="E338" s="538"/>
      <c r="F338" s="538"/>
      <c r="G338" s="537"/>
      <c r="I338" s="537"/>
      <c r="J338" s="537"/>
      <c r="L338" s="553">
        <f>_xll.qlCalendarAdvance(Calendar,L337,"1M","f",,Trigger)</f>
        <v>52337</v>
      </c>
      <c r="M338" s="544">
        <f>_xll.qlCalendarAdvance(Calendar,L338,"3M","f",,Trigger)</f>
        <v>52428</v>
      </c>
      <c r="N338" s="546" t="str">
        <f>_xll.qlMakeDatedOIS(,L338,M338,"eonia",,,,,Trigger)</f>
        <v>obj_00940#0000</v>
      </c>
      <c r="O338" s="545">
        <f>_xll.qlIndexFixing("euribor6m",_xll.qlInterestRateIndexFixingDate("Euribor6M",L338),TRUE)</f>
        <v>2.0522400241361888E-2</v>
      </c>
      <c r="P338" s="545">
        <f>_xll.qlOvernightIndexedSwapFairRate(N338,Trigger)</f>
        <v>2.0093338520027006E-2</v>
      </c>
      <c r="Q338" s="547">
        <f t="shared" si="9"/>
        <v>4.2906172133488213E-4</v>
      </c>
    </row>
    <row r="339" spans="5:17" x14ac:dyDescent="0.2">
      <c r="E339" s="538"/>
      <c r="F339" s="538"/>
      <c r="G339" s="537"/>
      <c r="I339" s="537"/>
      <c r="J339" s="537"/>
      <c r="L339" s="553">
        <f>_xll.qlCalendarAdvance(Calendar,L338,"1M","f",,Trigger)</f>
        <v>52369</v>
      </c>
      <c r="M339" s="544">
        <f>_xll.qlCalendarAdvance(Calendar,L339,"3M","f",,Trigger)</f>
        <v>52461</v>
      </c>
      <c r="N339" s="546" t="str">
        <f>_xll.qlMakeDatedOIS(,L339,M339,"eonia",,,,,Trigger)</f>
        <v>obj_00942#0000</v>
      </c>
      <c r="O339" s="545">
        <f>_xll.qlIndexFixing("euribor6m",_xll.qlInterestRateIndexFixingDate("Euribor6M",L339),TRUE)</f>
        <v>2.0529566284467293E-2</v>
      </c>
      <c r="P339" s="545">
        <f>_xll.qlOvernightIndexedSwapFairRate(N339,Trigger)</f>
        <v>2.0093898336570319E-2</v>
      </c>
      <c r="Q339" s="547">
        <f t="shared" si="9"/>
        <v>4.3566794789697341E-4</v>
      </c>
    </row>
    <row r="340" spans="5:17" x14ac:dyDescent="0.2">
      <c r="E340" s="538"/>
      <c r="F340" s="538"/>
      <c r="G340" s="537"/>
      <c r="I340" s="537"/>
      <c r="J340" s="537"/>
      <c r="L340" s="553">
        <f>_xll.qlCalendarAdvance(Calendar,L339,"1M","f",,Trigger)</f>
        <v>52400</v>
      </c>
      <c r="M340" s="544">
        <f>_xll.qlCalendarAdvance(Calendar,L340,"3M","f",,Trigger)</f>
        <v>52492</v>
      </c>
      <c r="N340" s="546" t="str">
        <f>_xll.qlMakeDatedOIS(,L340,M340,"eonia",,,,,Trigger)</f>
        <v>obj_00944#0000</v>
      </c>
      <c r="O340" s="545">
        <f>_xll.qlIndexFixing("euribor6m",_xll.qlInterestRateIndexFixingDate("Euribor6M",L340),TRUE)</f>
        <v>2.053611859252687E-2</v>
      </c>
      <c r="P340" s="545">
        <f>_xll.qlOvernightIndexedSwapFairRate(N340,Trigger)</f>
        <v>2.0093898336570316E-2</v>
      </c>
      <c r="Q340" s="547">
        <f t="shared" si="9"/>
        <v>4.4222025595655468E-4</v>
      </c>
    </row>
    <row r="341" spans="5:17" x14ac:dyDescent="0.2">
      <c r="E341" s="538"/>
      <c r="F341" s="538"/>
      <c r="G341" s="537"/>
      <c r="I341" s="537"/>
      <c r="J341" s="537"/>
      <c r="L341" s="553">
        <f>_xll.qlCalendarAdvance(Calendar,L340,"1M","f",,Trigger)</f>
        <v>52432</v>
      </c>
      <c r="M341" s="544">
        <f>_xll.qlCalendarAdvance(Calendar,L341,"3M","f",,Trigger)</f>
        <v>52524</v>
      </c>
      <c r="N341" s="546" t="str">
        <f>_xll.qlMakeDatedOIS(,L341,M341,"eonia",,,,,Trigger)</f>
        <v>obj_00946#0000</v>
      </c>
      <c r="O341" s="545">
        <f>_xll.qlIndexFixing("euribor6m",_xll.qlInterestRateIndexFixingDate("Euribor6M",L341),TRUE)</f>
        <v>2.0545392160501299E-2</v>
      </c>
      <c r="P341" s="545">
        <f>_xll.qlOvernightIndexedSwapFairRate(N341,Trigger)</f>
        <v>2.0093898336570316E-2</v>
      </c>
      <c r="Q341" s="547">
        <f t="shared" si="9"/>
        <v>4.514938239309832E-4</v>
      </c>
    </row>
    <row r="342" spans="5:17" x14ac:dyDescent="0.2">
      <c r="E342" s="538"/>
      <c r="F342" s="538"/>
      <c r="G342" s="537"/>
      <c r="I342" s="537"/>
      <c r="J342" s="537"/>
      <c r="L342" s="553">
        <f>_xll.qlCalendarAdvance(Calendar,L341,"1M","f",,Trigger)</f>
        <v>52463</v>
      </c>
      <c r="M342" s="544">
        <f>_xll.qlCalendarAdvance(Calendar,L342,"3M","f",,Trigger)</f>
        <v>52555</v>
      </c>
      <c r="N342" s="546" t="str">
        <f>_xll.qlMakeDatedOIS(,L342,M342,"eonia",,,,,Trigger)</f>
        <v>obj_00948#0000</v>
      </c>
      <c r="O342" s="545">
        <f>_xll.qlIndexFixing("euribor6m",_xll.qlInterestRateIndexFixingDate("Euribor6M",L342),TRUE)</f>
        <v>2.0556196023125434E-2</v>
      </c>
      <c r="P342" s="545">
        <f>_xll.qlOvernightIndexedSwapFairRate(N342,Trigger)</f>
        <v>2.0093898336570316E-2</v>
      </c>
      <c r="Q342" s="547">
        <f t="shared" si="9"/>
        <v>4.6229768655511871E-4</v>
      </c>
    </row>
    <row r="343" spans="5:17" x14ac:dyDescent="0.2">
      <c r="E343" s="538"/>
      <c r="F343" s="538"/>
      <c r="G343" s="537"/>
      <c r="I343" s="537"/>
      <c r="J343" s="537"/>
      <c r="L343" s="553">
        <f>_xll.qlCalendarAdvance(Calendar,L342,"1M","f",,Trigger)</f>
        <v>52495</v>
      </c>
      <c r="M343" s="544">
        <f>_xll.qlCalendarAdvance(Calendar,L343,"3M","f",,Trigger)</f>
        <v>52586</v>
      </c>
      <c r="N343" s="546" t="str">
        <f>_xll.qlMakeDatedOIS(,L343,M343,"eonia",,,,,Trigger)</f>
        <v>obj_0094a#0000</v>
      </c>
      <c r="O343" s="545">
        <f>_xll.qlIndexFixing("euribor6m",_xll.qlInterestRateIndexFixingDate("Euribor6M",L343),TRUE)</f>
        <v>2.0563752024086532E-2</v>
      </c>
      <c r="P343" s="545">
        <f>_xll.qlOvernightIndexedSwapFairRate(N343,Trigger)</f>
        <v>2.0093338520027006E-2</v>
      </c>
      <c r="Q343" s="547">
        <f t="shared" si="9"/>
        <v>4.7041350405952614E-4</v>
      </c>
    </row>
    <row r="344" spans="5:17" x14ac:dyDescent="0.2">
      <c r="E344" s="538"/>
      <c r="F344" s="538"/>
      <c r="G344" s="537"/>
      <c r="I344" s="537"/>
      <c r="J344" s="537"/>
      <c r="L344" s="553">
        <f>_xll.qlCalendarAdvance(Calendar,L343,"1M","f",,Trigger)</f>
        <v>52525</v>
      </c>
      <c r="M344" s="544">
        <f>_xll.qlCalendarAdvance(Calendar,L344,"3M","f",,Trigger)</f>
        <v>52617</v>
      </c>
      <c r="N344" s="546" t="str">
        <f>_xll.qlMakeDatedOIS(,L344,M344,"eonia",,,,,Trigger)</f>
        <v>obj_0094c#0000</v>
      </c>
      <c r="O344" s="545">
        <f>_xll.qlIndexFixing("euribor6m",_xll.qlInterestRateIndexFixingDate("Euribor6M",L344),TRUE)</f>
        <v>2.0575427029745099E-2</v>
      </c>
      <c r="P344" s="545">
        <f>_xll.qlOvernightIndexedSwapFairRate(N344,Trigger)</f>
        <v>2.0093898336569448E-2</v>
      </c>
      <c r="Q344" s="547">
        <f t="shared" si="9"/>
        <v>4.8152869317565072E-4</v>
      </c>
    </row>
    <row r="345" spans="5:17" x14ac:dyDescent="0.2">
      <c r="E345" s="538"/>
      <c r="F345" s="538"/>
      <c r="G345" s="537"/>
      <c r="I345" s="537"/>
      <c r="J345" s="537"/>
      <c r="L345" s="553">
        <f>_xll.qlCalendarAdvance(Calendar,L344,"1M","f",,Trigger)</f>
        <v>52558</v>
      </c>
      <c r="M345" s="544">
        <f>_xll.qlCalendarAdvance(Calendar,L345,"3M","f",,Trigger)</f>
        <v>52650</v>
      </c>
      <c r="N345" s="546" t="str">
        <f>_xll.qlMakeDatedOIS(,L345,M345,"eonia",,,,,Trigger)</f>
        <v>obj_0094e#0000</v>
      </c>
      <c r="O345" s="545">
        <f>_xll.qlIndexFixing("euribor6m",_xll.qlInterestRateIndexFixingDate("Euribor6M",L345),TRUE)</f>
        <v>2.058767832378056E-2</v>
      </c>
      <c r="P345" s="545">
        <f>_xll.qlOvernightIndexedSwapFairRate(N345,Trigger)</f>
        <v>2.0093898336571183E-2</v>
      </c>
      <c r="Q345" s="547">
        <f t="shared" si="9"/>
        <v>4.9377998720937649E-4</v>
      </c>
    </row>
    <row r="346" spans="5:17" x14ac:dyDescent="0.2">
      <c r="E346" s="538"/>
      <c r="F346" s="538"/>
      <c r="G346" s="537"/>
      <c r="I346" s="537"/>
      <c r="J346" s="537"/>
      <c r="L346" s="553">
        <f>_xll.qlCalendarAdvance(Calendar,L345,"1M","f",,Trigger)</f>
        <v>52588</v>
      </c>
      <c r="M346" s="544">
        <f>_xll.qlCalendarAdvance(Calendar,L346,"3M","f",,Trigger)</f>
        <v>52679</v>
      </c>
      <c r="N346" s="546" t="str">
        <f>_xll.qlMakeDatedOIS(,L346,M346,"eonia",,,,,Trigger)</f>
        <v>obj_00950#0000</v>
      </c>
      <c r="O346" s="545">
        <f>_xll.qlIndexFixing("euribor6m",_xll.qlInterestRateIndexFixingDate("Euribor6M",L346),TRUE)</f>
        <v>2.0601331825240675E-2</v>
      </c>
      <c r="P346" s="545">
        <f>_xll.qlOvernightIndexedSwapFairRate(N346,Trigger)</f>
        <v>2.0093338520027003E-2</v>
      </c>
      <c r="Q346" s="547">
        <f t="shared" si="9"/>
        <v>5.0799330521367203E-4</v>
      </c>
    </row>
    <row r="347" spans="5:17" x14ac:dyDescent="0.2">
      <c r="E347" s="538"/>
      <c r="F347" s="538"/>
      <c r="G347" s="537"/>
      <c r="I347" s="537"/>
      <c r="J347" s="537"/>
      <c r="L347" s="553">
        <f>_xll.qlCalendarAdvance(Calendar,L346,"1M","f",,Trigger)</f>
        <v>52621</v>
      </c>
      <c r="M347" s="544">
        <f>_xll.qlCalendarAdvance(Calendar,L347,"3M","f",,Trigger)</f>
        <v>52712</v>
      </c>
      <c r="N347" s="546" t="str">
        <f>_xll.qlMakeDatedOIS(,L347,M347,"eonia",,,,,Trigger)</f>
        <v>obj_00952#0000</v>
      </c>
      <c r="O347" s="545">
        <f>_xll.qlIndexFixing("euribor6m",_xll.qlInterestRateIndexFixingDate("Euribor6M",L347),TRUE)</f>
        <v>2.06156883489651E-2</v>
      </c>
      <c r="P347" s="545">
        <f>_xll.qlOvernightIndexedSwapFairRate(N347,Trigger)</f>
        <v>2.009333852002701E-2</v>
      </c>
      <c r="Q347" s="547">
        <f t="shared" si="9"/>
        <v>5.2234982893809012E-4</v>
      </c>
    </row>
    <row r="348" spans="5:17" x14ac:dyDescent="0.2">
      <c r="E348" s="538"/>
      <c r="F348" s="538"/>
      <c r="G348" s="537"/>
      <c r="I348" s="537"/>
      <c r="J348" s="537"/>
      <c r="L348" s="553">
        <f>_xll.qlCalendarAdvance(Calendar,L347,"1M","f",,Trigger)</f>
        <v>52652</v>
      </c>
      <c r="M348" s="544">
        <f>_xll.qlCalendarAdvance(Calendar,L348,"3M","f",,Trigger)</f>
        <v>52742</v>
      </c>
      <c r="N348" s="546" t="str">
        <f>_xll.qlMakeDatedOIS(,L348,M348,"eonia",,,,,Trigger)</f>
        <v>obj_00954#0000</v>
      </c>
      <c r="O348" s="545">
        <f>_xll.qlIndexFixing("euribor6m",_xll.qlInterestRateIndexFixingDate("Euribor6M",L348),TRUE)</f>
        <v>2.063096929652472E-2</v>
      </c>
      <c r="P348" s="545">
        <f>_xll.qlOvernightIndexedSwapFairRate(N348,Trigger)</f>
        <v>2.0092778724270843E-2</v>
      </c>
      <c r="Q348" s="547">
        <f t="shared" si="9"/>
        <v>5.3819057225387712E-4</v>
      </c>
    </row>
    <row r="349" spans="5:17" x14ac:dyDescent="0.2">
      <c r="E349" s="538"/>
      <c r="F349" s="538"/>
      <c r="G349" s="537"/>
      <c r="I349" s="537"/>
      <c r="J349" s="537"/>
      <c r="L349" s="553">
        <f>_xll.qlCalendarAdvance(Calendar,L348,"1M","f",,Trigger)</f>
        <v>52681</v>
      </c>
      <c r="M349" s="544">
        <f>_xll.qlCalendarAdvance(Calendar,L349,"3M","f",,Trigger)</f>
        <v>52775</v>
      </c>
      <c r="N349" s="546" t="str">
        <f>_xll.qlMakeDatedOIS(,L349,M349,"eonia",,,,,Trigger)</f>
        <v>obj_00956#0000</v>
      </c>
      <c r="O349" s="545">
        <f>_xll.qlIndexFixing("euribor6m",_xll.qlInterestRateIndexFixingDate("Euribor6M",L349),TRUE)</f>
        <v>2.0648720286351153E-2</v>
      </c>
      <c r="P349" s="545">
        <f>_xll.qlOvernightIndexedSwapFairRate(N349,Trigger)</f>
        <v>2.0095018032019588E-2</v>
      </c>
      <c r="Q349" s="547">
        <f t="shared" si="9"/>
        <v>5.5370225433156589E-4</v>
      </c>
    </row>
    <row r="350" spans="5:17" x14ac:dyDescent="0.2">
      <c r="E350" s="538"/>
      <c r="F350" s="538"/>
      <c r="G350" s="537"/>
      <c r="I350" s="537"/>
      <c r="J350" s="537"/>
      <c r="L350" s="553">
        <f>_xll.qlCalendarAdvance(Calendar,L349,"1M","f",,Trigger)</f>
        <v>52712</v>
      </c>
      <c r="M350" s="544">
        <f>_xll.qlCalendarAdvance(Calendar,L350,"3M","f",,Trigger)</f>
        <v>52803</v>
      </c>
      <c r="N350" s="546" t="str">
        <f>_xll.qlMakeDatedOIS(,L350,M350,"eonia",,,,,Trigger)</f>
        <v>obj_00958#0000</v>
      </c>
      <c r="O350" s="545">
        <f>_xll.qlIndexFixing("euribor6m",_xll.qlInterestRateIndexFixingDate("Euribor6M",L350),TRUE)</f>
        <v>2.0663918278446689E-2</v>
      </c>
      <c r="P350" s="545">
        <f>_xll.qlOvernightIndexedSwapFairRate(N350,Trigger)</f>
        <v>2.0093338520027006E-2</v>
      </c>
      <c r="Q350" s="547">
        <f t="shared" si="9"/>
        <v>5.7057975841968284E-4</v>
      </c>
    </row>
    <row r="351" spans="5:17" x14ac:dyDescent="0.2">
      <c r="E351" s="538"/>
      <c r="F351" s="538"/>
      <c r="G351" s="537"/>
      <c r="I351" s="537"/>
      <c r="J351" s="537"/>
      <c r="L351" s="553">
        <f>_xll.qlCalendarAdvance(Calendar,L350,"1M","f",,Trigger)</f>
        <v>52742</v>
      </c>
      <c r="M351" s="544">
        <f>_xll.qlCalendarAdvance(Calendar,L351,"3M","f",,Trigger)</f>
        <v>52834</v>
      </c>
      <c r="N351" s="546" t="str">
        <f>_xll.qlMakeDatedOIS(,L351,M351,"eonia",,,,,Trigger)</f>
        <v>obj_0095a#0000</v>
      </c>
      <c r="O351" s="545">
        <f>_xll.qlIndexFixing("euribor6m",_xll.qlInterestRateIndexFixingDate("Euribor6M",L351),TRUE)</f>
        <v>2.0681781177704483E-2</v>
      </c>
      <c r="P351" s="545">
        <f>_xll.qlOvernightIndexedSwapFairRate(N351,Trigger)</f>
        <v>2.0195200066178556E-2</v>
      </c>
      <c r="Q351" s="547">
        <f t="shared" si="9"/>
        <v>4.865811115259272E-4</v>
      </c>
    </row>
    <row r="352" spans="5:17" x14ac:dyDescent="0.2">
      <c r="E352" s="538"/>
      <c r="F352" s="538"/>
      <c r="G352" s="537"/>
      <c r="I352" s="537"/>
      <c r="J352" s="537"/>
      <c r="L352" s="553">
        <f>_xll.qlCalendarAdvance(Calendar,L351,"1M","f",,Trigger)</f>
        <v>52775</v>
      </c>
      <c r="M352" s="544">
        <f>_xll.qlCalendarAdvance(Calendar,L352,"3M","f",,Trigger)</f>
        <v>52867</v>
      </c>
      <c r="N352" s="546" t="str">
        <f>_xll.qlMakeDatedOIS(,L352,M352,"eonia",,,,,Trigger)</f>
        <v>obj_0095c#0000</v>
      </c>
      <c r="O352" s="545">
        <f>_xll.qlIndexFixing("euribor6m",_xll.qlInterestRateIndexFixingDate("Euribor6M",L352),TRUE)</f>
        <v>2.0700051955179377E-2</v>
      </c>
      <c r="P352" s="545">
        <f>_xll.qlOvernightIndexedSwapFairRate(N352,Trigger)</f>
        <v>2.0529514285984377E-2</v>
      </c>
      <c r="Q352" s="547">
        <f t="shared" si="9"/>
        <v>1.7053766919499988E-4</v>
      </c>
    </row>
    <row r="353" spans="5:17" x14ac:dyDescent="0.2">
      <c r="E353" s="538"/>
      <c r="F353" s="538"/>
      <c r="G353" s="537"/>
      <c r="I353" s="537"/>
      <c r="J353" s="537"/>
      <c r="L353" s="553">
        <f>_xll.qlCalendarAdvance(Calendar,L352,"1M","f",,Trigger)</f>
        <v>52805</v>
      </c>
      <c r="M353" s="544">
        <f>_xll.qlCalendarAdvance(Calendar,L353,"3M","f",,Trigger)</f>
        <v>52897</v>
      </c>
      <c r="N353" s="546" t="str">
        <f>_xll.qlMakeDatedOIS(,L353,M353,"eonia",,,,,Trigger)</f>
        <v>obj_0095e#0000</v>
      </c>
      <c r="O353" s="545">
        <f>_xll.qlIndexFixing("euribor6m",_xll.qlInterestRateIndexFixingDate("Euribor6M",L353),TRUE)</f>
        <v>2.0718632901293263E-2</v>
      </c>
      <c r="P353" s="545">
        <f>_xll.qlOvernightIndexedSwapFairRate(N353,Trigger)</f>
        <v>2.0833460962237375E-2</v>
      </c>
      <c r="Q353" s="547">
        <f t="shared" si="9"/>
        <v>-1.1482806094411172E-4</v>
      </c>
    </row>
    <row r="354" spans="5:17" x14ac:dyDescent="0.2">
      <c r="E354" s="538"/>
      <c r="F354" s="538"/>
      <c r="G354" s="537"/>
      <c r="I354" s="537"/>
      <c r="J354" s="537"/>
      <c r="L354" s="553">
        <f>_xll.qlCalendarAdvance(Calendar,L353,"1M","f",,Trigger)</f>
        <v>52838</v>
      </c>
      <c r="M354" s="544">
        <f>_xll.qlCalendarAdvance(Calendar,L354,"3M","f",,Trigger)</f>
        <v>52930</v>
      </c>
      <c r="N354" s="546" t="str">
        <f>_xll.qlMakeDatedOIS(,L354,M354,"eonia",,,,,Trigger)</f>
        <v>obj_00960#0000</v>
      </c>
      <c r="O354" s="545">
        <f>_xll.qlIndexFixing("euribor6m",_xll.qlInterestRateIndexFixingDate("Euribor6M",L354),TRUE)</f>
        <v>2.0737321627571133E-2</v>
      </c>
      <c r="P354" s="545">
        <f>_xll.qlOvernightIndexedSwapFairRate(N354,Trigger)</f>
        <v>2.1025972671188834E-2</v>
      </c>
      <c r="Q354" s="547">
        <f t="shared" si="9"/>
        <v>-2.8865104361770061E-4</v>
      </c>
    </row>
    <row r="355" spans="5:17" x14ac:dyDescent="0.2">
      <c r="E355" s="538"/>
      <c r="F355" s="538"/>
      <c r="G355" s="537"/>
      <c r="I355" s="537"/>
      <c r="J355" s="537"/>
      <c r="L355" s="553">
        <f>_xll.qlCalendarAdvance(Calendar,L354,"1M","f",,Trigger)</f>
        <v>52869</v>
      </c>
      <c r="M355" s="544">
        <f>_xll.qlCalendarAdvance(Calendar,L355,"3M","f",,Trigger)</f>
        <v>52960</v>
      </c>
      <c r="N355" s="546" t="str">
        <f>_xll.qlMakeDatedOIS(,L355,M355,"eonia",,,,,Trigger)</f>
        <v>obj_00962#0000</v>
      </c>
      <c r="O355" s="545">
        <f>_xll.qlIndexFixing("euribor6m",_xll.qlInterestRateIndexFixingDate("Euribor6M",L355),TRUE)</f>
        <v>2.0753947229636652E-2</v>
      </c>
      <c r="P355" s="545">
        <f>_xll.qlOvernightIndexedSwapFairRate(N355,Trigger)</f>
        <v>2.1025359763904319E-2</v>
      </c>
      <c r="Q355" s="547">
        <f t="shared" si="9"/>
        <v>-2.7141253426766696E-4</v>
      </c>
    </row>
    <row r="356" spans="5:17" x14ac:dyDescent="0.2">
      <c r="E356" s="538"/>
      <c r="F356" s="538"/>
      <c r="G356" s="537"/>
      <c r="I356" s="537"/>
      <c r="J356" s="537"/>
      <c r="L356" s="553">
        <f>_xll.qlCalendarAdvance(Calendar,L355,"1M","f",,Trigger)</f>
        <v>52901</v>
      </c>
      <c r="M356" s="544">
        <f>_xll.qlCalendarAdvance(Calendar,L356,"3M","f",,Trigger)</f>
        <v>52993</v>
      </c>
      <c r="N356" s="546" t="str">
        <f>_xll.qlMakeDatedOIS(,L356,M356,"eonia",,,,,Trigger)</f>
        <v>obj_00964#0000</v>
      </c>
      <c r="O356" s="545">
        <f>_xll.qlIndexFixing("euribor6m",_xll.qlInterestRateIndexFixingDate("Euribor6M",L356),TRUE)</f>
        <v>2.0771175596170911E-2</v>
      </c>
      <c r="P356" s="545">
        <f>_xll.qlOvernightIndexedSwapFairRate(N356,Trigger)</f>
        <v>2.1025972671189705E-2</v>
      </c>
      <c r="Q356" s="547">
        <f t="shared" si="9"/>
        <v>-2.5479707501879431E-4</v>
      </c>
    </row>
    <row r="357" spans="5:17" x14ac:dyDescent="0.2">
      <c r="E357" s="538"/>
      <c r="F357" s="538"/>
      <c r="G357" s="537"/>
      <c r="I357" s="537"/>
      <c r="J357" s="537"/>
      <c r="L357" s="553">
        <f>_xll.qlCalendarAdvance(Calendar,L356,"1M","f",,Trigger)</f>
        <v>52931</v>
      </c>
      <c r="M357" s="544">
        <f>_xll.qlCalendarAdvance(Calendar,L357,"3M","f",,Trigger)</f>
        <v>53021</v>
      </c>
      <c r="N357" s="546" t="str">
        <f>_xll.qlMakeDatedOIS(,L357,M357,"eonia",,,,,Trigger)</f>
        <v>obj_00966#0000</v>
      </c>
      <c r="O357" s="545">
        <f>_xll.qlIndexFixing("euribor6m",_xll.qlInterestRateIndexFixingDate("Euribor6M",L357),TRUE)</f>
        <v>2.079170269243338E-2</v>
      </c>
      <c r="P357" s="545">
        <f>_xll.qlOvernightIndexedSwapFairRate(N357,Trigger)</f>
        <v>2.1024746880431877E-2</v>
      </c>
      <c r="Q357" s="547">
        <f t="shared" si="9"/>
        <v>-2.3304418799849694E-4</v>
      </c>
    </row>
    <row r="358" spans="5:17" x14ac:dyDescent="0.2">
      <c r="E358" s="538"/>
      <c r="F358" s="538"/>
      <c r="G358" s="537"/>
      <c r="I358" s="537"/>
      <c r="J358" s="537"/>
      <c r="L358" s="553">
        <f>_xll.qlCalendarAdvance(Calendar,L357,"1M","f",,Trigger)</f>
        <v>52961</v>
      </c>
      <c r="M358" s="544">
        <f>_xll.qlCalendarAdvance(Calendar,L358,"3M","f",,Trigger)</f>
        <v>53051</v>
      </c>
      <c r="N358" s="546" t="str">
        <f>_xll.qlMakeDatedOIS(,L358,M358,"eonia",,,,,Trigger)</f>
        <v>obj_00968#0000</v>
      </c>
      <c r="O358" s="545">
        <f>_xll.qlIndexFixing("euribor6m",_xll.qlInterestRateIndexFixingDate("Euribor6M",L358),TRUE)</f>
        <v>2.0809558057172654E-2</v>
      </c>
      <c r="P358" s="545">
        <f>_xll.qlOvernightIndexedSwapFairRate(N358,Trigger)</f>
        <v>2.1024746880430989E-2</v>
      </c>
      <c r="Q358" s="547">
        <f t="shared" si="9"/>
        <v>-2.1518882325833461E-4</v>
      </c>
    </row>
    <row r="359" spans="5:17" x14ac:dyDescent="0.2">
      <c r="E359" s="538"/>
      <c r="F359" s="538"/>
      <c r="G359" s="537"/>
      <c r="I359" s="537"/>
      <c r="J359" s="537"/>
      <c r="L359" s="553">
        <f>_xll.qlCalendarAdvance(Calendar,L358,"1M","f",,Trigger)</f>
        <v>52992</v>
      </c>
      <c r="M359" s="544">
        <f>_xll.qlCalendarAdvance(Calendar,L359,"3M","f",,Trigger)</f>
        <v>53084</v>
      </c>
      <c r="N359" s="546" t="str">
        <f>_xll.qlMakeDatedOIS(,L359,M359,"eonia",,,,,Trigger)</f>
        <v>obj_0096a#0000</v>
      </c>
      <c r="O359" s="545">
        <f>_xll.qlIndexFixing("euribor6m",_xll.qlInterestRateIndexFixingDate("Euribor6M",L359),TRUE)</f>
        <v>2.0828021550988261E-2</v>
      </c>
      <c r="P359" s="545">
        <f>_xll.qlOvernightIndexedSwapFairRate(N359,Trigger)</f>
        <v>2.1025972671188834E-2</v>
      </c>
      <c r="Q359" s="547">
        <f t="shared" si="9"/>
        <v>-1.9795112020057348E-4</v>
      </c>
    </row>
    <row r="360" spans="5:17" x14ac:dyDescent="0.2">
      <c r="E360" s="538"/>
      <c r="F360" s="538"/>
      <c r="G360" s="537"/>
      <c r="I360" s="537"/>
      <c r="J360" s="537"/>
      <c r="L360" s="553">
        <f>_xll.qlCalendarAdvance(Calendar,L359,"1M","f",,Trigger)</f>
        <v>53021</v>
      </c>
      <c r="M360" s="544">
        <f>_xll.qlCalendarAdvance(Calendar,L360,"3M","f",,Trigger)</f>
        <v>53111</v>
      </c>
      <c r="N360" s="546" t="str">
        <f>_xll.qlMakeDatedOIS(,L360,M360,"eonia",,,,,Trigger)</f>
        <v>obj_0096c#0000</v>
      </c>
      <c r="O360" s="545">
        <f>_xll.qlIndexFixing("euribor6m",_xll.qlInterestRateIndexFixingDate("Euribor6M",L360),TRUE)</f>
        <v>2.0847105309358214E-2</v>
      </c>
      <c r="P360" s="545">
        <f>_xll.qlOvernightIndexedSwapFairRate(N360,Trigger)</f>
        <v>2.1024746880431877E-2</v>
      </c>
      <c r="Q360" s="547">
        <f t="shared" si="9"/>
        <v>-1.7764157107366327E-4</v>
      </c>
    </row>
    <row r="361" spans="5:17" x14ac:dyDescent="0.2">
      <c r="E361" s="538"/>
      <c r="F361" s="538"/>
      <c r="G361" s="537"/>
      <c r="I361" s="537"/>
      <c r="J361" s="537"/>
      <c r="L361" s="553">
        <f>_xll.qlCalendarAdvance(Calendar,L360,"1M","f",,Trigger)</f>
        <v>53049</v>
      </c>
      <c r="M361" s="544">
        <f>_xll.qlCalendarAdvance(Calendar,L361,"3M","f",,Trigger)</f>
        <v>53141</v>
      </c>
      <c r="N361" s="546" t="str">
        <f>_xll.qlMakeDatedOIS(,L361,M361,"eonia",,,,,Trigger)</f>
        <v>obj_0096e#0000</v>
      </c>
      <c r="O361" s="545">
        <f>_xll.qlIndexFixing("euribor6m",_xll.qlInterestRateIndexFixingDate("Euribor6M",L361),TRUE)</f>
        <v>2.0863806757840244E-2</v>
      </c>
      <c r="P361" s="545">
        <f>_xll.qlOvernightIndexedSwapFairRate(N361,Trigger)</f>
        <v>2.1025972671188834E-2</v>
      </c>
      <c r="Q361" s="547">
        <f t="shared" si="9"/>
        <v>-1.6216591334859004E-4</v>
      </c>
    </row>
    <row r="362" spans="5:17" x14ac:dyDescent="0.2">
      <c r="E362" s="538"/>
      <c r="F362" s="538"/>
      <c r="G362" s="537"/>
      <c r="I362" s="537"/>
      <c r="J362" s="537"/>
      <c r="L362" s="553">
        <f>_xll.qlCalendarAdvance(Calendar,L361,"1M","f",,Trigger)</f>
        <v>53080</v>
      </c>
      <c r="M362" s="544">
        <f>_xll.qlCalendarAdvance(Calendar,L362,"3M","f",,Trigger)</f>
        <v>53171</v>
      </c>
      <c r="N362" s="546" t="str">
        <f>_xll.qlMakeDatedOIS(,L362,M362,"eonia",,,,,Trigger)</f>
        <v>obj_00970#0000</v>
      </c>
      <c r="O362" s="545">
        <f>_xll.qlIndexFixing("euribor6m",_xll.qlInterestRateIndexFixingDate("Euribor6M",L362),TRUE)</f>
        <v>2.0884114834517888E-2</v>
      </c>
      <c r="P362" s="545">
        <f>_xll.qlOvernightIndexedSwapFairRate(N362,Trigger)</f>
        <v>2.1025359763905196E-2</v>
      </c>
      <c r="Q362" s="547">
        <f t="shared" si="9"/>
        <v>-1.4124492938730887E-4</v>
      </c>
    </row>
    <row r="363" spans="5:17" x14ac:dyDescent="0.2">
      <c r="E363" s="538"/>
      <c r="F363" s="538"/>
      <c r="G363" s="537"/>
      <c r="I363" s="537"/>
      <c r="J363" s="537"/>
      <c r="L363" s="553">
        <f>_xll.qlCalendarAdvance(Calendar,L362,"1M","f",,Trigger)</f>
        <v>53111</v>
      </c>
      <c r="M363" s="544">
        <f>_xll.qlCalendarAdvance(Calendar,L363,"3M","f",,Trigger)</f>
        <v>53203</v>
      </c>
      <c r="N363" s="546" t="str">
        <f>_xll.qlMakeDatedOIS(,L363,M363,"eonia",,,,,Trigger)</f>
        <v>obj_00972#0000</v>
      </c>
      <c r="O363" s="545">
        <f>_xll.qlIndexFixing("euribor6m",_xll.qlInterestRateIndexFixingDate("Euribor6M",L363),TRUE)</f>
        <v>2.090082676374189E-2</v>
      </c>
      <c r="P363" s="545">
        <f>_xll.qlOvernightIndexedSwapFairRate(N363,Trigger)</f>
        <v>2.1025972671187967E-2</v>
      </c>
      <c r="Q363" s="547">
        <f t="shared" si="9"/>
        <v>-1.2514590744607673E-4</v>
      </c>
    </row>
    <row r="364" spans="5:17" x14ac:dyDescent="0.2">
      <c r="E364" s="538"/>
      <c r="F364" s="538"/>
      <c r="G364" s="537"/>
      <c r="I364" s="537"/>
      <c r="J364" s="537"/>
      <c r="L364" s="553">
        <f>_xll.qlCalendarAdvance(Calendar,L363,"1M","f",,Trigger)</f>
        <v>53142</v>
      </c>
      <c r="M364" s="544">
        <f>_xll.qlCalendarAdvance(Calendar,L364,"3M","f",,Trigger)</f>
        <v>53234</v>
      </c>
      <c r="N364" s="546" t="str">
        <f>_xll.qlMakeDatedOIS(,L364,M364,"eonia",,,,,Trigger)</f>
        <v>obj_00974#0000</v>
      </c>
      <c r="O364" s="545">
        <f>_xll.qlIndexFixing("euribor6m",_xll.qlInterestRateIndexFixingDate("Euribor6M",L364),TRUE)</f>
        <v>2.0918451718706821E-2</v>
      </c>
      <c r="P364" s="545">
        <f>_xll.qlOvernightIndexedSwapFairRate(N364,Trigger)</f>
        <v>2.1025972671187963E-2</v>
      </c>
      <c r="Q364" s="547">
        <f t="shared" si="9"/>
        <v>-1.0752095248114241E-4</v>
      </c>
    </row>
    <row r="365" spans="5:17" x14ac:dyDescent="0.2">
      <c r="E365" s="538"/>
      <c r="F365" s="538"/>
      <c r="G365" s="537"/>
      <c r="I365" s="537"/>
      <c r="J365" s="537"/>
      <c r="L365" s="553">
        <f>_xll.qlCalendarAdvance(Calendar,L364,"1M","f",,Trigger)</f>
        <v>53174</v>
      </c>
      <c r="M365" s="544">
        <f>_xll.qlCalendarAdvance(Calendar,L365,"3M","f",,Trigger)</f>
        <v>53266</v>
      </c>
      <c r="N365" s="546" t="str">
        <f>_xll.qlMakeDatedOIS(,L365,M365,"eonia",,,,,Trigger)</f>
        <v>obj_00976#0000</v>
      </c>
      <c r="O365" s="545">
        <f>_xll.qlIndexFixing("euribor6m",_xll.qlInterestRateIndexFixingDate("Euribor6M",L365),TRUE)</f>
        <v>2.0938497818548327E-2</v>
      </c>
      <c r="P365" s="545">
        <f>_xll.qlOvernightIndexedSwapFairRate(N365,Trigger)</f>
        <v>2.1025972671187963E-2</v>
      </c>
      <c r="Q365" s="547">
        <f t="shared" si="9"/>
        <v>-8.7474852639636558E-5</v>
      </c>
    </row>
    <row r="366" spans="5:17" x14ac:dyDescent="0.2">
      <c r="E366" s="538"/>
      <c r="F366" s="538"/>
      <c r="G366" s="537"/>
      <c r="I366" s="537"/>
      <c r="J366" s="537"/>
      <c r="L366" s="553">
        <f>_xll.qlCalendarAdvance(Calendar,L365,"1M","f",,Trigger)</f>
        <v>53205</v>
      </c>
      <c r="M366" s="544">
        <f>_xll.qlCalendarAdvance(Calendar,L366,"3M","f",,Trigger)</f>
        <v>53296</v>
      </c>
      <c r="N366" s="546" t="str">
        <f>_xll.qlMakeDatedOIS(,L366,M366,"eonia",,,,,Trigger)</f>
        <v>obj_00978#0000</v>
      </c>
      <c r="O366" s="545">
        <f>_xll.qlIndexFixing("euribor6m",_xll.qlInterestRateIndexFixingDate("Euribor6M",L366),TRUE)</f>
        <v>2.0954332286935832E-2</v>
      </c>
      <c r="P366" s="545">
        <f>_xll.qlOvernightIndexedSwapFairRate(N366,Trigger)</f>
        <v>2.1025359763904319E-2</v>
      </c>
      <c r="Q366" s="547">
        <f t="shared" si="9"/>
        <v>-7.1027476968486825E-5</v>
      </c>
    </row>
    <row r="367" spans="5:17" x14ac:dyDescent="0.2">
      <c r="E367" s="538"/>
      <c r="F367" s="538"/>
      <c r="G367" s="537"/>
      <c r="I367" s="537"/>
      <c r="J367" s="537"/>
      <c r="L367" s="553">
        <f>_xll.qlCalendarAdvance(Calendar,L366,"1M","f",,Trigger)</f>
        <v>53237</v>
      </c>
      <c r="M367" s="544">
        <f>_xll.qlCalendarAdvance(Calendar,L367,"3M","f",,Trigger)</f>
        <v>53329</v>
      </c>
      <c r="N367" s="546" t="str">
        <f>_xll.qlMakeDatedOIS(,L367,M367,"eonia",,,,,Trigger)</f>
        <v>obj_0097a#0000</v>
      </c>
      <c r="O367" s="545">
        <f>_xll.qlIndexFixing("euribor6m",_xll.qlInterestRateIndexFixingDate("Euribor6M",L367),TRUE)</f>
        <v>2.0974405839937579E-2</v>
      </c>
      <c r="P367" s="545">
        <f>_xll.qlOvernightIndexedSwapFairRate(N367,Trigger)</f>
        <v>2.1025972671188834E-2</v>
      </c>
      <c r="Q367" s="547">
        <f t="shared" si="9"/>
        <v>-5.1566831251254747E-5</v>
      </c>
    </row>
    <row r="368" spans="5:17" x14ac:dyDescent="0.2">
      <c r="E368" s="538"/>
      <c r="F368" s="538"/>
      <c r="G368" s="537"/>
      <c r="I368" s="537"/>
      <c r="J368" s="537"/>
      <c r="L368" s="553">
        <f>_xll.qlCalendarAdvance(Calendar,L367,"1M","f",,Trigger)</f>
        <v>53268</v>
      </c>
      <c r="M368" s="544">
        <f>_xll.qlCalendarAdvance(Calendar,L368,"3M","f",,Trigger)</f>
        <v>53360</v>
      </c>
      <c r="N368" s="546" t="str">
        <f>_xll.qlMakeDatedOIS(,L368,M368,"eonia",,,,,Trigger)</f>
        <v>obj_0097c#0000</v>
      </c>
      <c r="O368" s="545">
        <f>_xll.qlIndexFixing("euribor6m",_xll.qlInterestRateIndexFixingDate("Euribor6M",L368),TRUE)</f>
        <v>2.0992076633438474E-2</v>
      </c>
      <c r="P368" s="545">
        <f>_xll.qlOvernightIndexedSwapFairRate(N368,Trigger)</f>
        <v>2.1025972671187967E-2</v>
      </c>
      <c r="Q368" s="547">
        <f t="shared" si="9"/>
        <v>-3.3896037749493041E-5</v>
      </c>
    </row>
    <row r="369" spans="5:17" x14ac:dyDescent="0.2">
      <c r="E369" s="538"/>
      <c r="F369" s="538"/>
      <c r="G369" s="537"/>
      <c r="I369" s="537"/>
      <c r="J369" s="537"/>
      <c r="L369" s="553">
        <f>_xll.qlCalendarAdvance(Calendar,L368,"1M","f",,Trigger)</f>
        <v>53300</v>
      </c>
      <c r="M369" s="544">
        <f>_xll.qlCalendarAdvance(Calendar,L369,"3M","f",,Trigger)</f>
        <v>53391</v>
      </c>
      <c r="N369" s="546" t="str">
        <f>_xll.qlMakeDatedOIS(,L369,M369,"eonia",,,,,Trigger)</f>
        <v>obj_0097e#0000</v>
      </c>
      <c r="O369" s="545">
        <f>_xll.qlIndexFixing("euribor6m",_xll.qlInterestRateIndexFixingDate("Euribor6M",L369),TRUE)</f>
        <v>2.1012180425232493E-2</v>
      </c>
      <c r="P369" s="545">
        <f>_xll.qlOvernightIndexedSwapFairRate(N369,Trigger)</f>
        <v>2.1025359763905196E-2</v>
      </c>
      <c r="Q369" s="547">
        <f t="shared" si="9"/>
        <v>-1.3179338672703045E-5</v>
      </c>
    </row>
    <row r="370" spans="5:17" x14ac:dyDescent="0.2">
      <c r="E370" s="538"/>
      <c r="F370" s="538"/>
      <c r="G370" s="537"/>
      <c r="I370" s="537"/>
      <c r="J370" s="537"/>
      <c r="L370" s="553">
        <f>_xll.qlCalendarAdvance(Calendar,L369,"1M","f",,Trigger)</f>
        <v>53331</v>
      </c>
      <c r="M370" s="544">
        <f>_xll.qlCalendarAdvance(Calendar,L370,"3M","f",,Trigger)</f>
        <v>53421</v>
      </c>
      <c r="N370" s="546" t="str">
        <f>_xll.qlMakeDatedOIS(,L370,M370,"eonia",,,,,Trigger)</f>
        <v>obj_00980#0000</v>
      </c>
      <c r="O370" s="545">
        <f>_xll.qlIndexFixing("euribor6m",_xll.qlInterestRateIndexFixingDate("Euribor6M",L370),TRUE)</f>
        <v>2.102987534995988E-2</v>
      </c>
      <c r="P370" s="545">
        <f>_xll.qlOvernightIndexedSwapFairRate(N370,Trigger)</f>
        <v>2.1024746880432765E-2</v>
      </c>
      <c r="Q370" s="547">
        <f t="shared" si="9"/>
        <v>5.1284695271151814E-6</v>
      </c>
    </row>
    <row r="371" spans="5:17" x14ac:dyDescent="0.2">
      <c r="E371" s="538"/>
      <c r="F371" s="538"/>
      <c r="G371" s="537"/>
      <c r="I371" s="537"/>
      <c r="J371" s="537"/>
      <c r="L371" s="553">
        <f>_xll.qlCalendarAdvance(Calendar,L370,"1M","f",,Trigger)</f>
        <v>53363</v>
      </c>
      <c r="M371" s="544">
        <f>_xll.qlCalendarAdvance(Calendar,L371,"3M","f",,Trigger)</f>
        <v>53454</v>
      </c>
      <c r="N371" s="546" t="str">
        <f>_xll.qlMakeDatedOIS(,L371,M371,"eonia",,,,,Trigger)</f>
        <v>obj_00982#0000</v>
      </c>
      <c r="O371" s="545">
        <f>_xll.qlIndexFixing("euribor6m",_xll.qlInterestRateIndexFixingDate("Euribor6M",L371),TRUE)</f>
        <v>2.1050009389199521E-2</v>
      </c>
      <c r="P371" s="545">
        <f>_xll.qlOvernightIndexedSwapFairRate(N371,Trigger)</f>
        <v>2.1025359763904319E-2</v>
      </c>
      <c r="Q371" s="547">
        <f t="shared" si="9"/>
        <v>2.4649625295202621E-5</v>
      </c>
    </row>
    <row r="372" spans="5:17" x14ac:dyDescent="0.2">
      <c r="E372" s="538"/>
      <c r="F372" s="538"/>
      <c r="G372" s="537"/>
      <c r="I372" s="537"/>
      <c r="J372" s="537"/>
      <c r="L372" s="553">
        <f>_xll.qlCalendarAdvance(Calendar,L371,"1M","f",,Trigger)</f>
        <v>53391</v>
      </c>
      <c r="M372" s="544">
        <f>_xll.qlCalendarAdvance(Calendar,L372,"3M","f",,Trigger)</f>
        <v>53483</v>
      </c>
      <c r="N372" s="546" t="str">
        <f>_xll.qlMakeDatedOIS(,L372,M372,"eonia",,,,,Trigger)</f>
        <v>obj_00984#0000</v>
      </c>
      <c r="O372" s="545">
        <f>_xll.qlIndexFixing("euribor6m",_xll.qlInterestRateIndexFixingDate("Euribor6M",L372),TRUE)</f>
        <v>2.1068669986629058E-2</v>
      </c>
      <c r="P372" s="545">
        <f>_xll.qlOvernightIndexedSwapFairRate(N372,Trigger)</f>
        <v>2.1025972671187967E-2</v>
      </c>
      <c r="Q372" s="547">
        <f t="shared" si="9"/>
        <v>4.2697315441091177E-5</v>
      </c>
    </row>
    <row r="373" spans="5:17" x14ac:dyDescent="0.2">
      <c r="E373" s="538"/>
      <c r="F373" s="538"/>
      <c r="G373" s="537"/>
      <c r="I373" s="537"/>
      <c r="J373" s="537"/>
      <c r="L373" s="553">
        <f>_xll.qlCalendarAdvance(Calendar,L372,"1M","f",,Trigger)</f>
        <v>53422</v>
      </c>
      <c r="M373" s="544">
        <f>_xll.qlCalendarAdvance(Calendar,L373,"3M","f",,Trigger)</f>
        <v>53513</v>
      </c>
      <c r="N373" s="546" t="str">
        <f>_xll.qlMakeDatedOIS(,L373,M373,"eonia",,,,,Trigger)</f>
        <v>obj_00986#0000</v>
      </c>
      <c r="O373" s="545">
        <f>_xll.qlIndexFixing("euribor6m",_xll.qlInterestRateIndexFixingDate("Euribor6M",L373),TRUE)</f>
        <v>2.1086402227278405E-2</v>
      </c>
      <c r="P373" s="545">
        <f>_xll.qlOvernightIndexedSwapFairRate(N373,Trigger)</f>
        <v>2.1025359763904319E-2</v>
      </c>
      <c r="Q373" s="547">
        <f t="shared" si="9"/>
        <v>6.1042463374086364E-5</v>
      </c>
    </row>
    <row r="374" spans="5:17" x14ac:dyDescent="0.2">
      <c r="E374" s="538"/>
      <c r="F374" s="538"/>
      <c r="G374" s="537"/>
      <c r="I374" s="537"/>
      <c r="J374" s="537"/>
      <c r="L374" s="553">
        <f>_xll.qlCalendarAdvance(Calendar,L373,"1M","f",,Trigger)</f>
        <v>53454</v>
      </c>
      <c r="M374" s="544">
        <f>_xll.qlCalendarAdvance(Calendar,L374,"3M","f",,Trigger)</f>
        <v>53546</v>
      </c>
      <c r="N374" s="546" t="str">
        <f>_xll.qlMakeDatedOIS(,L374,M374,"eonia",,,,,Trigger)</f>
        <v>obj_00988#0000</v>
      </c>
      <c r="O374" s="545">
        <f>_xll.qlIndexFixing("euribor6m",_xll.qlInterestRateIndexFixingDate("Euribor6M",L374),TRUE)</f>
        <v>2.1106582783818124E-2</v>
      </c>
      <c r="P374" s="545">
        <f>_xll.qlOvernightIndexedSwapFairRate(N374,Trigger)</f>
        <v>2.1025972671187967E-2</v>
      </c>
      <c r="Q374" s="547">
        <f t="shared" si="9"/>
        <v>8.0610112630156994E-5</v>
      </c>
    </row>
    <row r="375" spans="5:17" x14ac:dyDescent="0.2">
      <c r="E375" s="538"/>
      <c r="F375" s="538"/>
      <c r="G375" s="537"/>
      <c r="I375" s="537"/>
      <c r="J375" s="537"/>
      <c r="L375" s="553">
        <f>_xll.qlCalendarAdvance(Calendar,L374,"1M","f",,Trigger)</f>
        <v>53485</v>
      </c>
      <c r="M375" s="544">
        <f>_xll.qlCalendarAdvance(Calendar,L375,"3M","f",,Trigger)</f>
        <v>53577</v>
      </c>
      <c r="N375" s="546" t="str">
        <f>_xll.qlMakeDatedOIS(,L375,M375,"eonia",,,,,Trigger)</f>
        <v>obj_0098a#0000</v>
      </c>
      <c r="O375" s="545">
        <f>_xll.qlIndexFixing("euribor6m",_xll.qlInterestRateIndexFixingDate("Euribor6M",L375),TRUE)</f>
        <v>2.1124339148499028E-2</v>
      </c>
      <c r="P375" s="545">
        <f>_xll.qlOvernightIndexedSwapFairRate(N375,Trigger)</f>
        <v>2.1025972671187967E-2</v>
      </c>
      <c r="Q375" s="547">
        <f t="shared" si="9"/>
        <v>9.836647731106124E-5</v>
      </c>
    </row>
    <row r="376" spans="5:17" x14ac:dyDescent="0.2">
      <c r="E376" s="538"/>
      <c r="F376" s="538"/>
      <c r="G376" s="537"/>
      <c r="I376" s="537"/>
      <c r="J376" s="537"/>
      <c r="L376" s="553">
        <f>_xll.qlCalendarAdvance(Calendar,L375,"1M","f",,Trigger)</f>
        <v>53517</v>
      </c>
      <c r="M376" s="544">
        <f>_xll.qlCalendarAdvance(Calendar,L376,"3M","f",,Trigger)</f>
        <v>53609</v>
      </c>
      <c r="N376" s="546" t="str">
        <f>_xll.qlMakeDatedOIS(,L376,M376,"eonia",,,,,Trigger)</f>
        <v>obj_0098c#0000</v>
      </c>
      <c r="O376" s="545">
        <f>_xll.qlIndexFixing("euribor6m",_xll.qlInterestRateIndexFixingDate("Euribor6M",L376),TRUE)</f>
        <v>2.1144549981470022E-2</v>
      </c>
      <c r="P376" s="545">
        <f>_xll.qlOvernightIndexedSwapFairRate(N376,Trigger)</f>
        <v>2.1025972671188834E-2</v>
      </c>
      <c r="Q376" s="547">
        <f t="shared" si="9"/>
        <v>1.1857731028118781E-4</v>
      </c>
    </row>
    <row r="377" spans="5:17" x14ac:dyDescent="0.2">
      <c r="E377" s="538"/>
      <c r="F377" s="538"/>
      <c r="G377" s="537"/>
      <c r="I377" s="537"/>
      <c r="J377" s="537"/>
      <c r="L377" s="553">
        <f>_xll.qlCalendarAdvance(Calendar,L376,"1M","f",,Trigger)</f>
        <v>53548</v>
      </c>
      <c r="M377" s="544">
        <f>_xll.qlCalendarAdvance(Calendar,L377,"3M","f",,Trigger)</f>
        <v>53640</v>
      </c>
      <c r="N377" s="546" t="str">
        <f>_xll.qlMakeDatedOIS(,L377,M377,"eonia",,,,,Trigger)</f>
        <v>obj_0098e#0000</v>
      </c>
      <c r="O377" s="545">
        <f>_xll.qlIndexFixing("euribor6m",_xll.qlInterestRateIndexFixingDate("Euribor6M",L377),TRUE)</f>
        <v>2.1165095936300959E-2</v>
      </c>
      <c r="P377" s="545">
        <f>_xll.qlOvernightIndexedSwapFairRate(N377,Trigger)</f>
        <v>2.1025972671189701E-2</v>
      </c>
      <c r="Q377" s="547">
        <f t="shared" si="9"/>
        <v>1.3912326511125728E-4</v>
      </c>
    </row>
    <row r="378" spans="5:17" x14ac:dyDescent="0.2">
      <c r="E378" s="538"/>
      <c r="F378" s="538"/>
      <c r="G378" s="537"/>
      <c r="I378" s="537"/>
      <c r="J378" s="537"/>
      <c r="L378" s="553">
        <f>_xll.qlCalendarAdvance(Calendar,L377,"1M","f",,Trigger)</f>
        <v>53580</v>
      </c>
      <c r="M378" s="544">
        <f>_xll.qlCalendarAdvance(Calendar,L378,"3M","f",,Trigger)</f>
        <v>53671</v>
      </c>
      <c r="N378" s="546" t="str">
        <f>_xll.qlMakeDatedOIS(,L378,M378,"eonia",,,,,Trigger)</f>
        <v>obj_00990#0000</v>
      </c>
      <c r="O378" s="545">
        <f>_xll.qlIndexFixing("euribor6m",_xll.qlInterestRateIndexFixingDate("Euribor6M",L378),TRUE)</f>
        <v>2.1180725428323353E-2</v>
      </c>
      <c r="P378" s="545">
        <f>_xll.qlOvernightIndexedSwapFairRate(N378,Trigger)</f>
        <v>2.1025359763905196E-2</v>
      </c>
      <c r="Q378" s="547">
        <f t="shared" si="9"/>
        <v>1.5536566441815697E-4</v>
      </c>
    </row>
    <row r="379" spans="5:17" x14ac:dyDescent="0.2">
      <c r="E379" s="538"/>
      <c r="F379" s="538"/>
      <c r="G379" s="537"/>
      <c r="I379" s="537"/>
      <c r="J379" s="537"/>
      <c r="L379" s="553">
        <f>_xll.qlCalendarAdvance(Calendar,L378,"1M","f",,Trigger)</f>
        <v>53610</v>
      </c>
      <c r="M379" s="544">
        <f>_xll.qlCalendarAdvance(Calendar,L379,"3M","f",,Trigger)</f>
        <v>53702</v>
      </c>
      <c r="N379" s="546" t="str">
        <f>_xll.qlMakeDatedOIS(,L379,M379,"eonia",,,,,Trigger)</f>
        <v>obj_00992#0000</v>
      </c>
      <c r="O379" s="545">
        <f>_xll.qlIndexFixing("euribor6m",_xll.qlInterestRateIndexFixingDate("Euribor6M",L379),TRUE)</f>
        <v>2.1198847541672207E-2</v>
      </c>
      <c r="P379" s="545">
        <f>_xll.qlOvernightIndexedSwapFairRate(N379,Trigger)</f>
        <v>2.1025972671188834E-2</v>
      </c>
      <c r="Q379" s="547">
        <f t="shared" si="9"/>
        <v>1.7287487048337283E-4</v>
      </c>
    </row>
    <row r="380" spans="5:17" x14ac:dyDescent="0.2">
      <c r="E380" s="538"/>
      <c r="F380" s="538"/>
      <c r="G380" s="537"/>
      <c r="I380" s="537"/>
      <c r="J380" s="537"/>
      <c r="L380" s="553">
        <f>_xll.qlCalendarAdvance(Calendar,L379,"1M","f",,Trigger)</f>
        <v>53643</v>
      </c>
      <c r="M380" s="544">
        <f>_xll.qlCalendarAdvance(Calendar,L380,"3M","f",,Trigger)</f>
        <v>53735</v>
      </c>
      <c r="N380" s="546" t="str">
        <f>_xll.qlMakeDatedOIS(,L380,M380,"eonia",,,,,Trigger)</f>
        <v>obj_00994#0000</v>
      </c>
      <c r="O380" s="545">
        <f>_xll.qlIndexFixing("euribor6m",_xll.qlInterestRateIndexFixingDate("Euribor6M",L380),TRUE)</f>
        <v>2.1218796112358079E-2</v>
      </c>
      <c r="P380" s="545">
        <f>_xll.qlOvernightIndexedSwapFairRate(N380,Trigger)</f>
        <v>2.1025972671189705E-2</v>
      </c>
      <c r="Q380" s="547">
        <f t="shared" si="9"/>
        <v>1.9282344116837435E-4</v>
      </c>
    </row>
    <row r="381" spans="5:17" x14ac:dyDescent="0.2">
      <c r="E381" s="538"/>
      <c r="F381" s="538"/>
      <c r="G381" s="537"/>
      <c r="I381" s="537"/>
      <c r="J381" s="537"/>
      <c r="L381" s="553">
        <f>_xll.qlCalendarAdvance(Calendar,L380,"1M","f",,Trigger)</f>
        <v>53673</v>
      </c>
      <c r="M381" s="544">
        <f>_xll.qlCalendarAdvance(Calendar,L381,"3M","f",,Trigger)</f>
        <v>53763</v>
      </c>
      <c r="N381" s="546" t="str">
        <f>_xll.qlMakeDatedOIS(,L381,M381,"eonia",,,,,Trigger)</f>
        <v>obj_00996#0000</v>
      </c>
      <c r="O381" s="545">
        <f>_xll.qlIndexFixing("euribor6m",_xll.qlInterestRateIndexFixingDate("Euribor6M",L381),TRUE)</f>
        <v>2.1236944127887552E-2</v>
      </c>
      <c r="P381" s="545">
        <f>_xll.qlOvernightIndexedSwapFairRate(N381,Trigger)</f>
        <v>2.1024746880431877E-2</v>
      </c>
      <c r="Q381" s="547">
        <f t="shared" si="9"/>
        <v>2.1219724745567478E-4</v>
      </c>
    </row>
    <row r="382" spans="5:17" x14ac:dyDescent="0.2">
      <c r="E382" s="538"/>
      <c r="F382" s="538"/>
      <c r="G382" s="537"/>
      <c r="I382" s="537"/>
      <c r="J382" s="537"/>
      <c r="L382" s="553">
        <f>_xll.qlCalendarAdvance(Calendar,L381,"1M","f",,Trigger)</f>
        <v>53706</v>
      </c>
      <c r="M382" s="544">
        <f>_xll.qlCalendarAdvance(Calendar,L382,"3M","f",,Trigger)</f>
        <v>53798</v>
      </c>
      <c r="N382" s="546" t="str">
        <f>_xll.qlMakeDatedOIS(,L382,M382,"eonia",,,,,Trigger)</f>
        <v>obj_00998#0000</v>
      </c>
      <c r="O382" s="545">
        <f>_xll.qlIndexFixing("euribor6m",_xll.qlInterestRateIndexFixingDate("Euribor6M",L382),TRUE)</f>
        <v>2.1256921191778144E-2</v>
      </c>
      <c r="P382" s="545">
        <f>_xll.qlOvernightIndexedSwapFairRate(N382,Trigger)</f>
        <v>2.1025972671187967E-2</v>
      </c>
      <c r="Q382" s="547">
        <f t="shared" si="9"/>
        <v>2.3094852059017679E-4</v>
      </c>
    </row>
    <row r="383" spans="5:17" x14ac:dyDescent="0.2">
      <c r="E383" s="538"/>
      <c r="F383" s="538"/>
      <c r="G383" s="537"/>
      <c r="I383" s="537"/>
      <c r="J383" s="537"/>
      <c r="L383" s="553">
        <f>_xll.qlCalendarAdvance(Calendar,L382,"1M","f",,Trigger)</f>
        <v>53737</v>
      </c>
      <c r="M383" s="544">
        <f>_xll.qlCalendarAdvance(Calendar,L383,"3M","f",,Trigger)</f>
        <v>53826</v>
      </c>
      <c r="N383" s="546" t="str">
        <f>_xll.qlMakeDatedOIS(,L383,M383,"eonia",,,,,Trigger)</f>
        <v>obj_0099a#0000</v>
      </c>
      <c r="O383" s="545">
        <f>_xll.qlIndexFixing("euribor6m",_xll.qlInterestRateIndexFixingDate("Euribor6M",L383),TRUE)</f>
        <v>2.1274771493583877E-2</v>
      </c>
      <c r="P383" s="545">
        <f>_xll.qlOvernightIndexedSwapFairRate(N383,Trigger)</f>
        <v>2.1024134020768515E-2</v>
      </c>
      <c r="Q383" s="547">
        <f t="shared" si="9"/>
        <v>2.5063747281536125E-4</v>
      </c>
    </row>
    <row r="384" spans="5:17" x14ac:dyDescent="0.2">
      <c r="E384" s="538"/>
      <c r="F384" s="538"/>
      <c r="G384" s="537"/>
      <c r="I384" s="537"/>
      <c r="J384" s="537"/>
      <c r="L384" s="553">
        <f>_xll.qlCalendarAdvance(Calendar,L383,"1M","f",,Trigger)</f>
        <v>53765</v>
      </c>
      <c r="M384" s="544">
        <f>_xll.qlCalendarAdvance(Calendar,L384,"3M","f",,Trigger)</f>
        <v>53857</v>
      </c>
      <c r="N384" s="546" t="str">
        <f>_xll.qlMakeDatedOIS(,L384,M384,"eonia",,,,,Trigger)</f>
        <v>obj_0099c#0000</v>
      </c>
      <c r="O384" s="545">
        <f>_xll.qlIndexFixing("euribor6m",_xll.qlInterestRateIndexFixingDate("Euribor6M",L384),TRUE)</f>
        <v>2.1296398875921361E-2</v>
      </c>
      <c r="P384" s="545">
        <f>_xll.qlOvernightIndexedSwapFairRate(N384,Trigger)</f>
        <v>2.1025972671187963E-2</v>
      </c>
      <c r="Q384" s="547">
        <f t="shared" si="9"/>
        <v>2.704262047333976E-4</v>
      </c>
    </row>
    <row r="385" spans="5:17" x14ac:dyDescent="0.2">
      <c r="E385" s="538"/>
      <c r="F385" s="538"/>
      <c r="G385" s="537"/>
      <c r="I385" s="537"/>
      <c r="J385" s="537"/>
      <c r="L385" s="553">
        <f>_xll.qlCalendarAdvance(Calendar,L384,"1M","f",,Trigger)</f>
        <v>53798</v>
      </c>
      <c r="M385" s="544">
        <f>_xll.qlCalendarAdvance(Calendar,L385,"3M","f",,Trigger)</f>
        <v>53889</v>
      </c>
      <c r="N385" s="546" t="str">
        <f>_xll.qlMakeDatedOIS(,L385,M385,"eonia",,,,,Trigger)</f>
        <v>obj_0099e#0000</v>
      </c>
      <c r="O385" s="545">
        <f>_xll.qlIndexFixing("euribor6m",_xll.qlInterestRateIndexFixingDate("Euribor6M",L385),TRUE)</f>
        <v>2.1313625920908293E-2</v>
      </c>
      <c r="P385" s="545">
        <f>_xll.qlOvernightIndexedSwapFairRate(N385,Trigger)</f>
        <v>2.1025359763904319E-2</v>
      </c>
      <c r="Q385" s="547">
        <f t="shared" si="9"/>
        <v>2.8826615700397462E-4</v>
      </c>
    </row>
    <row r="386" spans="5:17" x14ac:dyDescent="0.2">
      <c r="E386" s="538"/>
      <c r="F386" s="538"/>
      <c r="G386" s="537"/>
      <c r="I386" s="537"/>
      <c r="J386" s="537"/>
      <c r="L386" s="553">
        <f>_xll.qlCalendarAdvance(Calendar,L385,"1M","f",,Trigger)</f>
        <v>53828</v>
      </c>
      <c r="M386" s="544">
        <f>_xll.qlCalendarAdvance(Calendar,L386,"3M","f",,Trigger)</f>
        <v>53920</v>
      </c>
      <c r="N386" s="546" t="str">
        <f>_xll.qlMakeDatedOIS(,L386,M386,"eonia",,,,,Trigger)</f>
        <v>obj_009a0#0000</v>
      </c>
      <c r="O386" s="545">
        <f>_xll.qlIndexFixing("euribor6m",_xll.qlInterestRateIndexFixingDate("Euribor6M",L386),TRUE)</f>
        <v>2.133464003473684E-2</v>
      </c>
      <c r="P386" s="545">
        <f>_xll.qlOvernightIndexedSwapFairRate(N386,Trigger)</f>
        <v>2.1025972671188838E-2</v>
      </c>
      <c r="Q386" s="547">
        <f t="shared" si="9"/>
        <v>3.0866736354800278E-4</v>
      </c>
    </row>
    <row r="387" spans="5:17" x14ac:dyDescent="0.2">
      <c r="E387" s="538"/>
      <c r="F387" s="538"/>
      <c r="G387" s="537"/>
      <c r="I387" s="537"/>
      <c r="J387" s="537"/>
      <c r="L387" s="553">
        <f>_xll.qlCalendarAdvance(Calendar,L386,"1M","f",,Trigger)</f>
        <v>53860</v>
      </c>
      <c r="M387" s="544">
        <f>_xll.qlCalendarAdvance(Calendar,L387,"3M","f",,Trigger)</f>
        <v>53952</v>
      </c>
      <c r="N387" s="546" t="str">
        <f>_xll.qlMakeDatedOIS(,L387,M387,"eonia",,,,,Trigger)</f>
        <v>obj_009a2#0000</v>
      </c>
      <c r="O387" s="545">
        <f>_xll.qlIndexFixing("euribor6m",_xll.qlInterestRateIndexFixingDate("Euribor6M",L387),TRUE)</f>
        <v>2.1351279778070165E-2</v>
      </c>
      <c r="P387" s="545">
        <f>_xll.qlOvernightIndexedSwapFairRate(N387,Trigger)</f>
        <v>2.1025972671187963E-2</v>
      </c>
      <c r="Q387" s="547">
        <f t="shared" ref="Q387:Q450" si="10">O387-P387</f>
        <v>3.2530710688220138E-4</v>
      </c>
    </row>
    <row r="388" spans="5:17" x14ac:dyDescent="0.2">
      <c r="E388" s="538"/>
      <c r="F388" s="538"/>
      <c r="G388" s="537"/>
      <c r="I388" s="537"/>
      <c r="J388" s="537"/>
      <c r="L388" s="553">
        <f>_xll.qlCalendarAdvance(Calendar,L387,"1M","f",,Trigger)</f>
        <v>53890</v>
      </c>
      <c r="M388" s="544">
        <f>_xll.qlCalendarAdvance(Calendar,L388,"3M","f",,Trigger)</f>
        <v>53982</v>
      </c>
      <c r="N388" s="546" t="str">
        <f>_xll.qlMakeDatedOIS(,L388,M388,"eonia",,,,,Trigger)</f>
        <v>obj_009a4#0000</v>
      </c>
      <c r="O388" s="545">
        <f>_xll.qlIndexFixing("euribor6m",_xll.qlInterestRateIndexFixingDate("Euribor6M",L388),TRUE)</f>
        <v>2.1370454583315799E-2</v>
      </c>
      <c r="P388" s="545">
        <f>_xll.qlOvernightIndexedSwapFairRate(N388,Trigger)</f>
        <v>2.1025972671188834E-2</v>
      </c>
      <c r="Q388" s="547">
        <f t="shared" si="10"/>
        <v>3.4448191212696488E-4</v>
      </c>
    </row>
    <row r="389" spans="5:17" x14ac:dyDescent="0.2">
      <c r="E389" s="538"/>
      <c r="F389" s="538"/>
      <c r="G389" s="537"/>
      <c r="I389" s="537"/>
      <c r="J389" s="537"/>
      <c r="L389" s="553">
        <f>_xll.qlCalendarAdvance(Calendar,L388,"1M","f",,Trigger)</f>
        <v>53923</v>
      </c>
      <c r="M389" s="544">
        <f>_xll.qlCalendarAdvance(Calendar,L389,"3M","f",,Trigger)</f>
        <v>54015</v>
      </c>
      <c r="N389" s="546" t="str">
        <f>_xll.qlMakeDatedOIS(,L389,M389,"eonia",,,,,Trigger)</f>
        <v>obj_009a6#0000</v>
      </c>
      <c r="O389" s="545">
        <f>_xll.qlIndexFixing("euribor6m",_xll.qlInterestRateIndexFixingDate("Euribor6M",L389),TRUE)</f>
        <v>2.1390532627036458E-2</v>
      </c>
      <c r="P389" s="545">
        <f>_xll.qlOvernightIndexedSwapFairRate(N389,Trigger)</f>
        <v>2.1025972671187967E-2</v>
      </c>
      <c r="Q389" s="547">
        <f t="shared" si="10"/>
        <v>3.6455995584849105E-4</v>
      </c>
    </row>
    <row r="390" spans="5:17" x14ac:dyDescent="0.2">
      <c r="E390" s="538"/>
      <c r="F390" s="538"/>
      <c r="G390" s="537"/>
      <c r="I390" s="537"/>
      <c r="J390" s="537"/>
      <c r="L390" s="553">
        <f>_xll.qlCalendarAdvance(Calendar,L389,"1M","f",,Trigger)</f>
        <v>53954</v>
      </c>
      <c r="M390" s="544">
        <f>_xll.qlCalendarAdvance(Calendar,L390,"3M","f",,Trigger)</f>
        <v>54045</v>
      </c>
      <c r="N390" s="546" t="str">
        <f>_xll.qlMakeDatedOIS(,L390,M390,"eonia",,,,,Trigger)</f>
        <v>obj_009a8#0000</v>
      </c>
      <c r="O390" s="545">
        <f>_xll.qlIndexFixing("euribor6m",_xll.qlInterestRateIndexFixingDate("Euribor6M",L390),TRUE)</f>
        <v>2.1407529450814575E-2</v>
      </c>
      <c r="P390" s="545">
        <f>_xll.qlOvernightIndexedSwapFairRate(N390,Trigger)</f>
        <v>2.1025359763904322E-2</v>
      </c>
      <c r="Q390" s="547">
        <f t="shared" si="10"/>
        <v>3.8216968691025255E-4</v>
      </c>
    </row>
    <row r="391" spans="5:17" x14ac:dyDescent="0.2">
      <c r="E391" s="538"/>
      <c r="F391" s="538"/>
      <c r="G391" s="537"/>
      <c r="I391" s="537"/>
      <c r="J391" s="537"/>
      <c r="L391" s="553">
        <f>_xll.qlCalendarAdvance(Calendar,L390,"1M","f",,Trigger)</f>
        <v>53986</v>
      </c>
      <c r="M391" s="544">
        <f>_xll.qlCalendarAdvance(Calendar,L391,"3M","f",,Trigger)</f>
        <v>54078</v>
      </c>
      <c r="N391" s="546" t="str">
        <f>_xll.qlMakeDatedOIS(,L391,M391,"eonia",,,,,Trigger)</f>
        <v>obj_009aa#0000</v>
      </c>
      <c r="O391" s="545">
        <f>_xll.qlIndexFixing("euribor6m",_xll.qlInterestRateIndexFixingDate("Euribor6M",L391),TRUE)</f>
        <v>2.1427964512265158E-2</v>
      </c>
      <c r="P391" s="545">
        <f>_xll.qlOvernightIndexedSwapFairRate(N391,Trigger)</f>
        <v>2.1025972671187967E-2</v>
      </c>
      <c r="Q391" s="547">
        <f t="shared" si="10"/>
        <v>4.0199184107719138E-4</v>
      </c>
    </row>
    <row r="392" spans="5:17" x14ac:dyDescent="0.2">
      <c r="E392" s="538"/>
      <c r="F392" s="538"/>
      <c r="G392" s="537"/>
      <c r="I392" s="537"/>
      <c r="J392" s="537"/>
      <c r="L392" s="553">
        <f>_xll.qlCalendarAdvance(Calendar,L391,"1M","f",,Trigger)</f>
        <v>54017</v>
      </c>
      <c r="M392" s="544">
        <f>_xll.qlCalendarAdvance(Calendar,L392,"3M","f",,Trigger)</f>
        <v>54109</v>
      </c>
      <c r="N392" s="546" t="str">
        <f>_xll.qlMakeDatedOIS(,L392,M392,"eonia",,,,,Trigger)</f>
        <v>obj_009ac#0000</v>
      </c>
      <c r="O392" s="545">
        <f>_xll.qlIndexFixing("euribor6m",_xll.qlInterestRateIndexFixingDate("Euribor6M",L392),TRUE)</f>
        <v>2.144592309876513E-2</v>
      </c>
      <c r="P392" s="545">
        <f>_xll.qlOvernightIndexedSwapFairRate(N392,Trigger)</f>
        <v>2.1025972671188834E-2</v>
      </c>
      <c r="Q392" s="547">
        <f t="shared" si="10"/>
        <v>4.1995042757629608E-4</v>
      </c>
    </row>
    <row r="393" spans="5:17" x14ac:dyDescent="0.2">
      <c r="E393" s="538"/>
      <c r="F393" s="538"/>
      <c r="G393" s="537"/>
      <c r="I393" s="537"/>
      <c r="J393" s="537"/>
      <c r="L393" s="553">
        <f>_xll.qlCalendarAdvance(Calendar,L392,"1M","f",,Trigger)</f>
        <v>54049</v>
      </c>
      <c r="M393" s="544">
        <f>_xll.qlCalendarAdvance(Calendar,L393,"3M","f",,Trigger)</f>
        <v>54140</v>
      </c>
      <c r="N393" s="546" t="str">
        <f>_xll.qlMakeDatedOIS(,L393,M393,"eonia",,,,,Trigger)</f>
        <v>obj_009ae#0000</v>
      </c>
      <c r="O393" s="545">
        <f>_xll.qlIndexFixing("euribor6m",_xll.qlInterestRateIndexFixingDate("Euribor6M",L393),TRUE)</f>
        <v>2.1466388507093894E-2</v>
      </c>
      <c r="P393" s="545">
        <f>_xll.qlOvernightIndexedSwapFairRate(N393,Trigger)</f>
        <v>2.1025359763903441E-2</v>
      </c>
      <c r="Q393" s="547">
        <f t="shared" si="10"/>
        <v>4.4102874319045318E-4</v>
      </c>
    </row>
    <row r="394" spans="5:17" x14ac:dyDescent="0.2">
      <c r="E394" s="538"/>
      <c r="F394" s="538"/>
      <c r="G394" s="537"/>
      <c r="I394" s="537"/>
      <c r="J394" s="537"/>
      <c r="L394" s="553">
        <f>_xll.qlCalendarAdvance(Calendar,L393,"1M","f",,Trigger)</f>
        <v>54080</v>
      </c>
      <c r="M394" s="544">
        <f>_xll.qlCalendarAdvance(Calendar,L394,"3M","f",,Trigger)</f>
        <v>54171</v>
      </c>
      <c r="N394" s="546" t="str">
        <f>_xll.qlMakeDatedOIS(,L394,M394,"eonia",,,,,Trigger)</f>
        <v>obj_009b0#0000</v>
      </c>
      <c r="O394" s="545">
        <f>_xll.qlIndexFixing("euribor6m",_xll.qlInterestRateIndexFixingDate("Euribor6M",L394),TRUE)</f>
        <v>2.1484371160475777E-2</v>
      </c>
      <c r="P394" s="545">
        <f>_xll.qlOvernightIndexedSwapFairRate(N394,Trigger)</f>
        <v>2.10253597639052E-2</v>
      </c>
      <c r="Q394" s="547">
        <f t="shared" si="10"/>
        <v>4.5901139657057721E-4</v>
      </c>
    </row>
    <row r="395" spans="5:17" x14ac:dyDescent="0.2">
      <c r="E395" s="538"/>
      <c r="F395" s="538"/>
      <c r="G395" s="537"/>
      <c r="I395" s="537"/>
      <c r="J395" s="537"/>
      <c r="L395" s="553">
        <f>_xll.qlCalendarAdvance(Calendar,L394,"1M","f",,Trigger)</f>
        <v>54112</v>
      </c>
      <c r="M395" s="544">
        <f>_xll.qlCalendarAdvance(Calendar,L395,"3M","f",,Trigger)</f>
        <v>54203</v>
      </c>
      <c r="N395" s="546" t="str">
        <f>_xll.qlMakeDatedOIS(,L395,M395,"eonia",,,,,Trigger)</f>
        <v>obj_009b2#0000</v>
      </c>
      <c r="O395" s="545">
        <f>_xll.qlIndexFixing("euribor6m",_xll.qlInterestRateIndexFixingDate("Euribor6M",L395),TRUE)</f>
        <v>2.1503921174402623E-2</v>
      </c>
      <c r="P395" s="545">
        <f>_xll.qlOvernightIndexedSwapFairRate(N395,Trigger)</f>
        <v>2.10253597639052E-2</v>
      </c>
      <c r="Q395" s="547">
        <f t="shared" si="10"/>
        <v>4.7856141049742312E-4</v>
      </c>
    </row>
    <row r="396" spans="5:17" x14ac:dyDescent="0.2">
      <c r="E396" s="538"/>
      <c r="F396" s="538"/>
      <c r="G396" s="537"/>
      <c r="I396" s="537"/>
      <c r="J396" s="537"/>
      <c r="L396" s="553">
        <f>_xll.qlCalendarAdvance(Calendar,L395,"1M","f",,Trigger)</f>
        <v>54141</v>
      </c>
      <c r="M396" s="544">
        <f>_xll.qlCalendarAdvance(Calendar,L396,"3M","f",,Trigger)</f>
        <v>54233</v>
      </c>
      <c r="N396" s="546" t="str">
        <f>_xll.qlMakeDatedOIS(,L396,M396,"eonia",,,,,Trigger)</f>
        <v>obj_009b4#0000</v>
      </c>
      <c r="O396" s="545">
        <f>_xll.qlIndexFixing("euribor6m",_xll.qlInterestRateIndexFixingDate("Euribor6M",L396),TRUE)</f>
        <v>2.1523544573736838E-2</v>
      </c>
      <c r="P396" s="545">
        <f>_xll.qlOvernightIndexedSwapFairRate(N396,Trigger)</f>
        <v>2.1025972671188834E-2</v>
      </c>
      <c r="Q396" s="547">
        <f t="shared" si="10"/>
        <v>4.9757190254800382E-4</v>
      </c>
    </row>
    <row r="397" spans="5:17" x14ac:dyDescent="0.2">
      <c r="E397" s="538"/>
      <c r="F397" s="538"/>
      <c r="G397" s="537"/>
      <c r="I397" s="537"/>
      <c r="J397" s="537"/>
      <c r="L397" s="553">
        <f>_xll.qlCalendarAdvance(Calendar,L396,"1M","f",,Trigger)</f>
        <v>54172</v>
      </c>
      <c r="M397" s="544">
        <f>_xll.qlCalendarAdvance(Calendar,L397,"3M","f",,Trigger)</f>
        <v>54263</v>
      </c>
      <c r="N397" s="546" t="str">
        <f>_xll.qlMakeDatedOIS(,L397,M397,"eonia",,,,,Trigger)</f>
        <v>obj_009b6#0000</v>
      </c>
      <c r="O397" s="545">
        <f>_xll.qlIndexFixing("euribor6m",_xll.qlInterestRateIndexFixingDate("Euribor6M",L397),TRUE)</f>
        <v>2.1543460522895304E-2</v>
      </c>
      <c r="P397" s="545">
        <f>_xll.qlOvernightIndexedSwapFairRate(N397,Trigger)</f>
        <v>2.1025359763903437E-2</v>
      </c>
      <c r="Q397" s="547">
        <f t="shared" si="10"/>
        <v>5.1810075899186639E-4</v>
      </c>
    </row>
    <row r="398" spans="5:17" x14ac:dyDescent="0.2">
      <c r="E398" s="538"/>
      <c r="F398" s="538"/>
      <c r="G398" s="537"/>
      <c r="I398" s="537"/>
      <c r="J398" s="537"/>
      <c r="L398" s="553">
        <f>_xll.qlCalendarAdvance(Calendar,L397,"1M","f",,Trigger)</f>
        <v>54203</v>
      </c>
      <c r="M398" s="544">
        <f>_xll.qlCalendarAdvance(Calendar,L398,"3M","f",,Trigger)</f>
        <v>54295</v>
      </c>
      <c r="N398" s="546" t="str">
        <f>_xll.qlMakeDatedOIS(,L398,M398,"eonia",,,,,Trigger)</f>
        <v>obj_009b8#0000</v>
      </c>
      <c r="O398" s="545">
        <f>_xll.qlIndexFixing("euribor6m",_xll.qlInterestRateIndexFixingDate("Euribor6M",L398),TRUE)</f>
        <v>2.1561492699429509E-2</v>
      </c>
      <c r="P398" s="545">
        <f>_xll.qlOvernightIndexedSwapFairRate(N398,Trigger)</f>
        <v>2.1025972671188838E-2</v>
      </c>
      <c r="Q398" s="547">
        <f t="shared" si="10"/>
        <v>5.3552002824067135E-4</v>
      </c>
    </row>
    <row r="399" spans="5:17" x14ac:dyDescent="0.2">
      <c r="E399" s="538"/>
      <c r="F399" s="538"/>
      <c r="G399" s="537"/>
      <c r="I399" s="537"/>
      <c r="J399" s="537"/>
      <c r="L399" s="553">
        <f>_xll.qlCalendarAdvance(Calendar,L398,"1M","f",,Trigger)</f>
        <v>54234</v>
      </c>
      <c r="M399" s="544">
        <f>_xll.qlCalendarAdvance(Calendar,L399,"3M","f",,Trigger)</f>
        <v>54326</v>
      </c>
      <c r="N399" s="546" t="str">
        <f>_xll.qlMakeDatedOIS(,L399,M399,"eonia",,,,,Trigger)</f>
        <v>obj_009ba#0000</v>
      </c>
      <c r="O399" s="545">
        <f>_xll.qlIndexFixing("euribor6m",_xll.qlInterestRateIndexFixingDate("Euribor6M",L399),TRUE)</f>
        <v>2.1582388927671059E-2</v>
      </c>
      <c r="P399" s="545">
        <f>_xll.qlOvernightIndexedSwapFairRate(N399,Trigger)</f>
        <v>2.1025972671187963E-2</v>
      </c>
      <c r="Q399" s="547">
        <f t="shared" si="10"/>
        <v>5.5641625648309573E-4</v>
      </c>
    </row>
    <row r="400" spans="5:17" x14ac:dyDescent="0.2">
      <c r="E400" s="538"/>
      <c r="F400" s="538"/>
      <c r="G400" s="537"/>
      <c r="I400" s="537"/>
      <c r="J400" s="537"/>
      <c r="L400" s="553">
        <f>_xll.qlCalendarAdvance(Calendar,L399,"1M","f",,Trigger)</f>
        <v>54266</v>
      </c>
      <c r="M400" s="544">
        <f>_xll.qlCalendarAdvance(Calendar,L400,"3M","f",,Trigger)</f>
        <v>54358</v>
      </c>
      <c r="N400" s="546" t="str">
        <f>_xll.qlMakeDatedOIS(,L400,M400,"eonia",,,,,Trigger)</f>
        <v>obj_009bc#0000</v>
      </c>
      <c r="O400" s="545">
        <f>_xll.qlIndexFixing("euribor6m",_xll.qlInterestRateIndexFixingDate("Euribor6M",L400),TRUE)</f>
        <v>2.1600106897308277E-2</v>
      </c>
      <c r="P400" s="545">
        <f>_xll.qlOvernightIndexedSwapFairRate(N400,Trigger)</f>
        <v>2.1025972671188838E-2</v>
      </c>
      <c r="Q400" s="547">
        <f t="shared" si="10"/>
        <v>5.7413422611943959E-4</v>
      </c>
    </row>
    <row r="401" spans="5:17" x14ac:dyDescent="0.2">
      <c r="E401" s="538"/>
      <c r="F401" s="538"/>
      <c r="G401" s="537"/>
      <c r="I401" s="537"/>
      <c r="J401" s="537"/>
      <c r="L401" s="553">
        <f>_xll.qlCalendarAdvance(Calendar,L400,"1M","f",,Trigger)</f>
        <v>54297</v>
      </c>
      <c r="M401" s="544">
        <f>_xll.qlCalendarAdvance(Calendar,L401,"3M","f",,Trigger)</f>
        <v>54389</v>
      </c>
      <c r="N401" s="546" t="str">
        <f>_xll.qlMakeDatedOIS(,L401,M401,"eonia",,,,,Trigger)</f>
        <v>obj_009be#0000</v>
      </c>
      <c r="O401" s="545">
        <f>_xll.qlIndexFixing("euribor6m",_xll.qlInterestRateIndexFixingDate("Euribor6M",L401),TRUE)</f>
        <v>2.1618173684390375E-2</v>
      </c>
      <c r="P401" s="545">
        <f>_xll.qlOvernightIndexedSwapFairRate(N401,Trigger)</f>
        <v>2.1025972671188838E-2</v>
      </c>
      <c r="Q401" s="547">
        <f t="shared" si="10"/>
        <v>5.9220101320153762E-4</v>
      </c>
    </row>
    <row r="402" spans="5:17" x14ac:dyDescent="0.2">
      <c r="E402" s="538"/>
      <c r="F402" s="538"/>
      <c r="G402" s="537"/>
      <c r="I402" s="537"/>
      <c r="J402" s="537"/>
      <c r="L402" s="553">
        <f>_xll.qlCalendarAdvance(Calendar,L401,"1M","f",,Trigger)</f>
        <v>54329</v>
      </c>
      <c r="M402" s="544">
        <f>_xll.qlCalendarAdvance(Calendar,L402,"3M","f",,Trigger)</f>
        <v>54420</v>
      </c>
      <c r="N402" s="546" t="str">
        <f>_xll.qlMakeDatedOIS(,L402,M402,"eonia",,,,,Trigger)</f>
        <v>obj_009c0#0000</v>
      </c>
      <c r="O402" s="545">
        <f>_xll.qlIndexFixing("euribor6m",_xll.qlInterestRateIndexFixingDate("Euribor6M",L402),TRUE)</f>
        <v>2.163686514690754E-2</v>
      </c>
      <c r="P402" s="545">
        <f>_xll.qlOvernightIndexedSwapFairRate(N402,Trigger)</f>
        <v>2.1025359763904319E-2</v>
      </c>
      <c r="Q402" s="547">
        <f t="shared" si="10"/>
        <v>6.1150538300322119E-4</v>
      </c>
    </row>
    <row r="403" spans="5:17" x14ac:dyDescent="0.2">
      <c r="E403" s="538"/>
      <c r="F403" s="538"/>
      <c r="G403" s="537"/>
      <c r="I403" s="537"/>
      <c r="J403" s="537"/>
      <c r="L403" s="553">
        <f>_xll.qlCalendarAdvance(Calendar,L402,"1M","f",,Trigger)</f>
        <v>54359</v>
      </c>
      <c r="M403" s="544">
        <f>_xll.qlCalendarAdvance(Calendar,L403,"3M","f",,Trigger)</f>
        <v>54451</v>
      </c>
      <c r="N403" s="546" t="str">
        <f>_xll.qlMakeDatedOIS(,L403,M403,"eonia",,,,,Trigger)</f>
        <v>obj_009c2#0000</v>
      </c>
      <c r="O403" s="545">
        <f>_xll.qlIndexFixing("euribor6m",_xll.qlInterestRateIndexFixingDate("Euribor6M",L403),TRUE)</f>
        <v>2.1655295303879527E-2</v>
      </c>
      <c r="P403" s="545">
        <f>_xll.qlOvernightIndexedSwapFairRate(N403,Trigger)</f>
        <v>2.1025972671187963E-2</v>
      </c>
      <c r="Q403" s="547">
        <f t="shared" si="10"/>
        <v>6.2932263269156394E-4</v>
      </c>
    </row>
    <row r="404" spans="5:17" x14ac:dyDescent="0.2">
      <c r="E404" s="538"/>
      <c r="F404" s="538"/>
      <c r="G404" s="537"/>
      <c r="I404" s="537"/>
      <c r="J404" s="537"/>
      <c r="L404" s="553">
        <f>_xll.qlCalendarAdvance(Calendar,L403,"1M","f",,Trigger)</f>
        <v>54392</v>
      </c>
      <c r="M404" s="544">
        <f>_xll.qlCalendarAdvance(Calendar,L404,"3M","f",,Trigger)</f>
        <v>54483</v>
      </c>
      <c r="N404" s="546" t="str">
        <f>_xll.qlMakeDatedOIS(,L404,M404,"eonia",,,,,Trigger)</f>
        <v>obj_009c4#0000</v>
      </c>
      <c r="O404" s="545">
        <f>_xll.qlIndexFixing("euribor6m",_xll.qlInterestRateIndexFixingDate("Euribor6M",L404),TRUE)</f>
        <v>2.1675582732221622E-2</v>
      </c>
      <c r="P404" s="545">
        <f>_xll.qlOvernightIndexedSwapFairRate(N404,Trigger)</f>
        <v>2.10253597639052E-2</v>
      </c>
      <c r="Q404" s="547">
        <f t="shared" si="10"/>
        <v>6.5022296831642248E-4</v>
      </c>
    </row>
    <row r="405" spans="5:17" x14ac:dyDescent="0.2">
      <c r="E405" s="538"/>
      <c r="F405" s="538"/>
      <c r="G405" s="537"/>
      <c r="I405" s="537"/>
      <c r="J405" s="537"/>
      <c r="L405" s="553">
        <f>_xll.qlCalendarAdvance(Calendar,L404,"1M","f",,Trigger)</f>
        <v>54422</v>
      </c>
      <c r="M405" s="544">
        <f>_xll.qlCalendarAdvance(Calendar,L405,"3M","f",,Trigger)</f>
        <v>54512</v>
      </c>
      <c r="N405" s="546" t="str">
        <f>_xll.qlMakeDatedOIS(,L405,M405,"eonia",,,,,Trigger)</f>
        <v>obj_009c6#0000</v>
      </c>
      <c r="O405" s="545">
        <f>_xll.qlIndexFixing("euribor6m",_xll.qlInterestRateIndexFixingDate("Euribor6M",L405),TRUE)</f>
        <v>2.1694038808965872E-2</v>
      </c>
      <c r="P405" s="545">
        <f>_xll.qlOvernightIndexedSwapFairRate(N405,Trigger)</f>
        <v>2.1024746880431877E-2</v>
      </c>
      <c r="Q405" s="547">
        <f t="shared" si="10"/>
        <v>6.6929192853399516E-4</v>
      </c>
    </row>
    <row r="406" spans="5:17" x14ac:dyDescent="0.2">
      <c r="E406" s="538"/>
      <c r="F406" s="538"/>
      <c r="G406" s="537"/>
      <c r="I406" s="537"/>
      <c r="J406" s="537"/>
      <c r="L406" s="553">
        <f>_xll.qlCalendarAdvance(Calendar,L405,"1M","f",,Trigger)</f>
        <v>54455</v>
      </c>
      <c r="M406" s="544">
        <f>_xll.qlCalendarAdvance(Calendar,L406,"3M","f",,Trigger)</f>
        <v>54546</v>
      </c>
      <c r="N406" s="546" t="str">
        <f>_xll.qlMakeDatedOIS(,L406,M406,"eonia",,,,,Trigger)</f>
        <v>obj_009c8#0000</v>
      </c>
      <c r="O406" s="545">
        <f>_xll.qlIndexFixing("euribor6m",_xll.qlInterestRateIndexFixingDate("Euribor6M",L406),TRUE)</f>
        <v>2.1714354749877852E-2</v>
      </c>
      <c r="P406" s="545">
        <f>_xll.qlOvernightIndexedSwapFairRate(N406,Trigger)</f>
        <v>2.1025359763904319E-2</v>
      </c>
      <c r="Q406" s="547">
        <f t="shared" si="10"/>
        <v>6.8899498597353379E-4</v>
      </c>
    </row>
    <row r="407" spans="5:17" x14ac:dyDescent="0.2">
      <c r="E407" s="538"/>
      <c r="F407" s="538"/>
      <c r="G407" s="537"/>
      <c r="I407" s="537"/>
      <c r="J407" s="537"/>
      <c r="L407" s="553">
        <f>_xll.qlCalendarAdvance(Calendar,L406,"1M","f",,Trigger)</f>
        <v>54483</v>
      </c>
      <c r="M407" s="544">
        <f>_xll.qlCalendarAdvance(Calendar,L407,"3M","f",,Trigger)</f>
        <v>54575</v>
      </c>
      <c r="N407" s="546" t="str">
        <f>_xll.qlMakeDatedOIS(,L407,M407,"eonia",,,,,Trigger)</f>
        <v>obj_009ca#0000</v>
      </c>
      <c r="O407" s="545">
        <f>_xll.qlIndexFixing("euribor6m",_xll.qlInterestRateIndexFixingDate("Euribor6M",L407),TRUE)</f>
        <v>2.1733524536355766E-2</v>
      </c>
      <c r="P407" s="545">
        <f>_xll.qlOvernightIndexedSwapFairRate(N407,Trigger)</f>
        <v>2.1025972671187967E-2</v>
      </c>
      <c r="Q407" s="547">
        <f t="shared" si="10"/>
        <v>7.0755186516779922E-4</v>
      </c>
    </row>
    <row r="408" spans="5:17" x14ac:dyDescent="0.2">
      <c r="E408" s="538"/>
      <c r="F408" s="538"/>
      <c r="G408" s="537"/>
      <c r="I408" s="537"/>
      <c r="J408" s="537"/>
      <c r="L408" s="553">
        <f>_xll.qlCalendarAdvance(Calendar,L407,"1M","f",,Trigger)</f>
        <v>54514</v>
      </c>
      <c r="M408" s="544">
        <f>_xll.qlCalendarAdvance(Calendar,L408,"3M","f",,Trigger)</f>
        <v>54605</v>
      </c>
      <c r="N408" s="546" t="str">
        <f>_xll.qlMakeDatedOIS(,L408,M408,"eonia",,,,,Trigger)</f>
        <v>obj_009cc#0000</v>
      </c>
      <c r="O408" s="545">
        <f>_xll.qlIndexFixing("euribor6m",_xll.qlInterestRateIndexFixingDate("Euribor6M",L408),TRUE)</f>
        <v>2.175159290475584E-2</v>
      </c>
      <c r="P408" s="545">
        <f>_xll.qlOvernightIndexedSwapFairRate(N408,Trigger)</f>
        <v>2.1025359763904319E-2</v>
      </c>
      <c r="Q408" s="547">
        <f t="shared" si="10"/>
        <v>7.2623314085152116E-4</v>
      </c>
    </row>
    <row r="409" spans="5:17" x14ac:dyDescent="0.2">
      <c r="E409" s="538"/>
      <c r="F409" s="538"/>
      <c r="G409" s="537"/>
      <c r="I409" s="537"/>
      <c r="J409" s="537"/>
      <c r="L409" s="553">
        <f>_xll.qlCalendarAdvance(Calendar,L408,"1M","f",,Trigger)</f>
        <v>54546</v>
      </c>
      <c r="M409" s="544">
        <f>_xll.qlCalendarAdvance(Calendar,L409,"3M","f",,Trigger)</f>
        <v>54638</v>
      </c>
      <c r="N409" s="546" t="str">
        <f>_xll.qlMakeDatedOIS(,L409,M409,"eonia",,,,,Trigger)</f>
        <v>obj_009ce#0000</v>
      </c>
      <c r="O409" s="545">
        <f>_xll.qlIndexFixing("euribor6m",_xll.qlInterestRateIndexFixingDate("Euribor6M",L409),TRUE)</f>
        <v>2.17719572241315E-2</v>
      </c>
      <c r="P409" s="545">
        <f>_xll.qlOvernightIndexedSwapFairRate(N409,Trigger)</f>
        <v>2.1025972671188838E-2</v>
      </c>
      <c r="Q409" s="547">
        <f t="shared" si="10"/>
        <v>7.4598455294266203E-4</v>
      </c>
    </row>
    <row r="410" spans="5:17" x14ac:dyDescent="0.2">
      <c r="E410" s="538"/>
      <c r="F410" s="538"/>
      <c r="G410" s="537"/>
      <c r="I410" s="537"/>
      <c r="J410" s="537"/>
      <c r="L410" s="553">
        <f>_xll.qlCalendarAdvance(Calendar,L409,"1M","f",,Trigger)</f>
        <v>54577</v>
      </c>
      <c r="M410" s="544">
        <f>_xll.qlCalendarAdvance(Calendar,L410,"3M","f",,Trigger)</f>
        <v>54669</v>
      </c>
      <c r="N410" s="546" t="str">
        <f>_xll.qlMakeDatedOIS(,L410,M410,"eonia",,,,,Trigger)</f>
        <v>obj_009d0#0000</v>
      </c>
      <c r="O410" s="545">
        <f>_xll.qlIndexFixing("euribor6m",_xll.qlInterestRateIndexFixingDate("Euribor6M",L410),TRUE)</f>
        <v>2.178943012221253E-2</v>
      </c>
      <c r="P410" s="545">
        <f>_xll.qlOvernightIndexedSwapFairRate(N410,Trigger)</f>
        <v>2.1025972671187963E-2</v>
      </c>
      <c r="Q410" s="547">
        <f t="shared" si="10"/>
        <v>7.6345745102456702E-4</v>
      </c>
    </row>
    <row r="411" spans="5:17" x14ac:dyDescent="0.2">
      <c r="E411" s="538"/>
      <c r="F411" s="538"/>
      <c r="G411" s="537"/>
      <c r="I411" s="537"/>
      <c r="J411" s="537"/>
      <c r="L411" s="553">
        <f>_xll.qlCalendarAdvance(Calendar,L410,"1M","f",,Trigger)</f>
        <v>54609</v>
      </c>
      <c r="M411" s="544">
        <f>_xll.qlCalendarAdvance(Calendar,L411,"3M","f",,Trigger)</f>
        <v>54701</v>
      </c>
      <c r="N411" s="546" t="str">
        <f>_xll.qlMakeDatedOIS(,L411,M411,"eonia",,,,,Trigger)</f>
        <v>obj_009d2#0000</v>
      </c>
      <c r="O411" s="545">
        <f>_xll.qlIndexFixing("euribor6m",_xll.qlInterestRateIndexFixingDate("Euribor6M",L411),TRUE)</f>
        <v>2.1808814843372073E-2</v>
      </c>
      <c r="P411" s="545">
        <f>_xll.qlOvernightIndexedSwapFairRate(N411,Trigger)</f>
        <v>2.1025972671187963E-2</v>
      </c>
      <c r="Q411" s="547">
        <f t="shared" si="10"/>
        <v>7.8284217218410959E-4</v>
      </c>
    </row>
    <row r="412" spans="5:17" x14ac:dyDescent="0.2">
      <c r="E412" s="538"/>
      <c r="F412" s="538"/>
      <c r="G412" s="537"/>
      <c r="I412" s="537"/>
      <c r="J412" s="537"/>
      <c r="L412" s="553">
        <f>_xll.qlCalendarAdvance(Calendar,L411,"1M","f",,Trigger)</f>
        <v>54640</v>
      </c>
      <c r="M412" s="544">
        <f>_xll.qlCalendarAdvance(Calendar,L412,"3M","f",,Trigger)</f>
        <v>54732</v>
      </c>
      <c r="N412" s="546" t="str">
        <f>_xll.qlMakeDatedOIS(,L412,M412,"eonia",,,,,Trigger)</f>
        <v>obj_009d4#0000</v>
      </c>
      <c r="O412" s="545">
        <f>_xll.qlIndexFixing("euribor6m",_xll.qlInterestRateIndexFixingDate("Euribor6M",L412),TRUE)</f>
        <v>2.1827806595987202E-2</v>
      </c>
      <c r="P412" s="545">
        <f>_xll.qlOvernightIndexedSwapFairRate(N412,Trigger)</f>
        <v>2.1025972671188834E-2</v>
      </c>
      <c r="Q412" s="547">
        <f t="shared" si="10"/>
        <v>8.0183392479836815E-4</v>
      </c>
    </row>
    <row r="413" spans="5:17" x14ac:dyDescent="0.2">
      <c r="E413" s="538"/>
      <c r="F413" s="538"/>
      <c r="G413" s="537"/>
      <c r="I413" s="537"/>
      <c r="J413" s="537"/>
      <c r="L413" s="553">
        <f>_xll.qlCalendarAdvance(Calendar,L412,"1M","f",,Trigger)</f>
        <v>54672</v>
      </c>
      <c r="M413" s="544">
        <f>_xll.qlCalendarAdvance(Calendar,L413,"3M","f",,Trigger)</f>
        <v>54763</v>
      </c>
      <c r="N413" s="546" t="str">
        <f>_xll.qlMakeDatedOIS(,L413,M413,"eonia",,,,,Trigger)</f>
        <v>obj_009d6#0000</v>
      </c>
      <c r="O413" s="545">
        <f>_xll.qlIndexFixing("euribor6m",_xll.qlInterestRateIndexFixingDate("Euribor6M",L413),TRUE)</f>
        <v>2.1841002955792513E-2</v>
      </c>
      <c r="P413" s="545">
        <f>_xll.qlOvernightIndexedSwapFairRate(N413,Trigger)</f>
        <v>2.1025359763904319E-2</v>
      </c>
      <c r="Q413" s="547">
        <f t="shared" si="10"/>
        <v>8.1564319188819415E-4</v>
      </c>
    </row>
    <row r="414" spans="5:17" x14ac:dyDescent="0.2">
      <c r="E414" s="538"/>
      <c r="F414" s="538"/>
      <c r="G414" s="537"/>
      <c r="I414" s="537"/>
      <c r="J414" s="537"/>
      <c r="L414" s="553">
        <f>_xll.qlCalendarAdvance(Calendar,L413,"1M","f",,Trigger)</f>
        <v>54702</v>
      </c>
      <c r="M414" s="544">
        <f>_xll.qlCalendarAdvance(Calendar,L414,"3M","f",,Trigger)</f>
        <v>54794</v>
      </c>
      <c r="N414" s="546" t="str">
        <f>_xll.qlMakeDatedOIS(,L414,M414,"eonia",,,,,Trigger)</f>
        <v>obj_009d8#0000</v>
      </c>
      <c r="O414" s="545">
        <f>_xll.qlIndexFixing("euribor6m",_xll.qlInterestRateIndexFixingDate("Euribor6M",L414),TRUE)</f>
        <v>2.1855931265179405E-2</v>
      </c>
      <c r="P414" s="545">
        <f>_xll.qlOvernightIndexedSwapFairRate(N414,Trigger)</f>
        <v>2.1025972671188834E-2</v>
      </c>
      <c r="Q414" s="547">
        <f t="shared" si="10"/>
        <v>8.299585939905707E-4</v>
      </c>
    </row>
    <row r="415" spans="5:17" x14ac:dyDescent="0.2">
      <c r="E415" s="538"/>
      <c r="F415" s="538"/>
      <c r="G415" s="537"/>
      <c r="I415" s="537"/>
      <c r="J415" s="537"/>
      <c r="L415" s="553">
        <f>_xll.qlCalendarAdvance(Calendar,L414,"1M","f",,Trigger)</f>
        <v>54735</v>
      </c>
      <c r="M415" s="544">
        <f>_xll.qlCalendarAdvance(Calendar,L415,"3M","f",,Trigger)</f>
        <v>54827</v>
      </c>
      <c r="N415" s="546" t="str">
        <f>_xll.qlMakeDatedOIS(,L415,M415,"eonia",,,,,Trigger)</f>
        <v>obj_009da#0000</v>
      </c>
      <c r="O415" s="545">
        <f>_xll.qlIndexFixing("euribor6m",_xll.qlInterestRateIndexFixingDate("Euribor6M",L415),TRUE)</f>
        <v>2.1871372674227962E-2</v>
      </c>
      <c r="P415" s="545">
        <f>_xll.qlOvernightIndexedSwapFairRate(N415,Trigger)</f>
        <v>2.1025972671187963E-2</v>
      </c>
      <c r="Q415" s="547">
        <f t="shared" si="10"/>
        <v>8.4540000303999843E-4</v>
      </c>
    </row>
    <row r="416" spans="5:17" x14ac:dyDescent="0.2">
      <c r="E416" s="538"/>
      <c r="F416" s="538"/>
      <c r="G416" s="537"/>
      <c r="I416" s="537"/>
      <c r="J416" s="537"/>
      <c r="L416" s="553">
        <f>_xll.qlCalendarAdvance(Calendar,L415,"1M","f",,Trigger)</f>
        <v>54765</v>
      </c>
      <c r="M416" s="544">
        <f>_xll.qlCalendarAdvance(Calendar,L416,"3M","f",,Trigger)</f>
        <v>54855</v>
      </c>
      <c r="N416" s="546" t="str">
        <f>_xll.qlMakeDatedOIS(,L416,M416,"eonia",,,,,Trigger)</f>
        <v>obj_009dc#0000</v>
      </c>
      <c r="O416" s="545">
        <f>_xll.qlIndexFixing("euribor6m",_xll.qlInterestRateIndexFixingDate("Euribor6M",L416),TRUE)</f>
        <v>2.1884519634637518E-2</v>
      </c>
      <c r="P416" s="545">
        <f>_xll.qlOvernightIndexedSwapFairRate(N416,Trigger)</f>
        <v>2.1024746880430989E-2</v>
      </c>
      <c r="Q416" s="547">
        <f t="shared" si="10"/>
        <v>8.5977275420652879E-4</v>
      </c>
    </row>
    <row r="417" spans="5:17" x14ac:dyDescent="0.2">
      <c r="E417" s="538"/>
      <c r="F417" s="538"/>
      <c r="G417" s="537"/>
      <c r="I417" s="537"/>
      <c r="J417" s="537"/>
      <c r="L417" s="553">
        <f>_xll.qlCalendarAdvance(Calendar,L416,"1M","f",,Trigger)</f>
        <v>54798</v>
      </c>
      <c r="M417" s="544">
        <f>_xll.qlCalendarAdvance(Calendar,L417,"3M","f",,Trigger)</f>
        <v>54890</v>
      </c>
      <c r="N417" s="546" t="str">
        <f>_xll.qlMakeDatedOIS(,L417,M417,"eonia",,,,,Trigger)</f>
        <v>obj_009de#0000</v>
      </c>
      <c r="O417" s="545">
        <f>_xll.qlIndexFixing("euribor6m",_xll.qlInterestRateIndexFixingDate("Euribor6M",L417),TRUE)</f>
        <v>2.1898001517878962E-2</v>
      </c>
      <c r="P417" s="545">
        <f>_xll.qlOvernightIndexedSwapFairRate(N417,Trigger)</f>
        <v>2.1025972671187963E-2</v>
      </c>
      <c r="Q417" s="547">
        <f t="shared" si="10"/>
        <v>8.7202884669099895E-4</v>
      </c>
    </row>
    <row r="418" spans="5:17" x14ac:dyDescent="0.2">
      <c r="E418" s="538"/>
      <c r="F418" s="538"/>
      <c r="G418" s="537"/>
      <c r="I418" s="537"/>
      <c r="J418" s="537"/>
      <c r="L418" s="553">
        <f>_xll.qlCalendarAdvance(Calendar,L417,"1M","f",,Trigger)</f>
        <v>54829</v>
      </c>
      <c r="M418" s="544">
        <f>_xll.qlCalendarAdvance(Calendar,L418,"3M","f",,Trigger)</f>
        <v>54918</v>
      </c>
      <c r="N418" s="546" t="str">
        <f>_xll.qlMakeDatedOIS(,L418,M418,"eonia",,,,,Trigger)</f>
        <v>obj_009e0#0000</v>
      </c>
      <c r="O418" s="545">
        <f>_xll.qlIndexFixing("euribor6m",_xll.qlInterestRateIndexFixingDate("Euribor6M",L418),TRUE)</f>
        <v>2.190889930609E-2</v>
      </c>
      <c r="P418" s="545">
        <f>_xll.qlOvernightIndexedSwapFairRate(N418,Trigger)</f>
        <v>2.1024134020768515E-2</v>
      </c>
      <c r="Q418" s="547">
        <f t="shared" si="10"/>
        <v>8.8476528532148435E-4</v>
      </c>
    </row>
    <row r="419" spans="5:17" x14ac:dyDescent="0.2">
      <c r="E419" s="538"/>
      <c r="F419" s="538"/>
      <c r="G419" s="537"/>
      <c r="I419" s="537"/>
      <c r="J419" s="537"/>
      <c r="L419" s="553">
        <f>_xll.qlCalendarAdvance(Calendar,L418,"1M","f",,Trigger)</f>
        <v>54857</v>
      </c>
      <c r="M419" s="544">
        <f>_xll.qlCalendarAdvance(Calendar,L419,"3M","f",,Trigger)</f>
        <v>54949</v>
      </c>
      <c r="N419" s="546" t="str">
        <f>_xll.qlMakeDatedOIS(,L419,M419,"eonia",,,,,Trigger)</f>
        <v>obj_009e2#0000</v>
      </c>
      <c r="O419" s="545">
        <f>_xll.qlIndexFixing("euribor6m",_xll.qlInterestRateIndexFixingDate("Euribor6M",L419),TRUE)</f>
        <v>2.1922822238618862E-2</v>
      </c>
      <c r="P419" s="545">
        <f>_xll.qlOvernightIndexedSwapFairRate(N419,Trigger)</f>
        <v>2.1025972671187963E-2</v>
      </c>
      <c r="Q419" s="547">
        <f t="shared" si="10"/>
        <v>8.9684956743089905E-4</v>
      </c>
    </row>
    <row r="420" spans="5:17" x14ac:dyDescent="0.2">
      <c r="E420" s="538"/>
      <c r="F420" s="538"/>
      <c r="G420" s="537"/>
      <c r="I420" s="537"/>
      <c r="J420" s="537"/>
      <c r="L420" s="553">
        <f>_xll.qlCalendarAdvance(Calendar,L419,"1M","f",,Trigger)</f>
        <v>54890</v>
      </c>
      <c r="M420" s="544">
        <f>_xll.qlCalendarAdvance(Calendar,L420,"3M","f",,Trigger)</f>
        <v>54981</v>
      </c>
      <c r="N420" s="546" t="str">
        <f>_xll.qlMakeDatedOIS(,L420,M420,"eonia",,,,,Trigger)</f>
        <v>obj_009e4#0000</v>
      </c>
      <c r="O420" s="545">
        <f>_xll.qlIndexFixing("euribor6m",_xll.qlInterestRateIndexFixingDate("Euribor6M",L420),TRUE)</f>
        <v>2.1930971798092731E-2</v>
      </c>
      <c r="P420" s="545">
        <f>_xll.qlOvernightIndexedSwapFairRate(N420,Trigger)</f>
        <v>2.1025359763904319E-2</v>
      </c>
      <c r="Q420" s="547">
        <f t="shared" si="10"/>
        <v>9.056120341884126E-4</v>
      </c>
    </row>
    <row r="421" spans="5:17" x14ac:dyDescent="0.2">
      <c r="E421" s="538"/>
      <c r="F421" s="538"/>
      <c r="G421" s="537"/>
      <c r="I421" s="537"/>
      <c r="J421" s="537"/>
      <c r="L421" s="553">
        <f>_xll.qlCalendarAdvance(Calendar,L420,"1M","f",,Trigger)</f>
        <v>54920</v>
      </c>
      <c r="M421" s="544">
        <f>_xll.qlCalendarAdvance(Calendar,L421,"3M","f",,Trigger)</f>
        <v>55012</v>
      </c>
      <c r="N421" s="546" t="str">
        <f>_xll.qlMakeDatedOIS(,L421,M421,"eonia",,,,,Trigger)</f>
        <v>obj_009e6#0000</v>
      </c>
      <c r="O421" s="545">
        <f>_xll.qlIndexFixing("euribor6m",_xll.qlInterestRateIndexFixingDate("Euribor6M",L421),TRUE)</f>
        <v>2.194209234236124E-2</v>
      </c>
      <c r="P421" s="545">
        <f>_xll.qlOvernightIndexedSwapFairRate(N421,Trigger)</f>
        <v>2.1025972671188834E-2</v>
      </c>
      <c r="Q421" s="547">
        <f t="shared" si="10"/>
        <v>9.1611967117240581E-4</v>
      </c>
    </row>
    <row r="422" spans="5:17" x14ac:dyDescent="0.2">
      <c r="E422" s="538"/>
      <c r="F422" s="538"/>
      <c r="G422" s="537"/>
      <c r="I422" s="537"/>
      <c r="J422" s="537"/>
      <c r="L422" s="553">
        <f>_xll.qlCalendarAdvance(Calendar,L421,"1M","f",,Trigger)</f>
        <v>54952</v>
      </c>
      <c r="M422" s="544">
        <f>_xll.qlCalendarAdvance(Calendar,L422,"3M","f",,Trigger)</f>
        <v>55044</v>
      </c>
      <c r="N422" s="546" t="str">
        <f>_xll.qlMakeDatedOIS(,L422,M422,"eonia",,,,,Trigger)</f>
        <v>obj_009e8#0000</v>
      </c>
      <c r="O422" s="545">
        <f>_xll.qlIndexFixing("euribor6m",_xll.qlInterestRateIndexFixingDate("Euribor6M",L422),TRUE)</f>
        <v>2.1948120769313288E-2</v>
      </c>
      <c r="P422" s="545">
        <f>_xll.qlOvernightIndexedSwapFairRate(N422,Trigger)</f>
        <v>2.1025972671187963E-2</v>
      </c>
      <c r="Q422" s="547">
        <f t="shared" si="10"/>
        <v>9.2214809812532494E-4</v>
      </c>
    </row>
    <row r="423" spans="5:17" x14ac:dyDescent="0.2">
      <c r="E423" s="538"/>
      <c r="F423" s="538"/>
      <c r="G423" s="537"/>
      <c r="I423" s="537"/>
      <c r="J423" s="537"/>
      <c r="L423" s="553">
        <f>_xll.qlCalendarAdvance(Calendar,L422,"1M","f",,Trigger)</f>
        <v>54982</v>
      </c>
      <c r="M423" s="544">
        <f>_xll.qlCalendarAdvance(Calendar,L423,"3M","f",,Trigger)</f>
        <v>55074</v>
      </c>
      <c r="N423" s="546" t="str">
        <f>_xll.qlMakeDatedOIS(,L423,M423,"eonia",,,,,Trigger)</f>
        <v>obj_009ea#0000</v>
      </c>
      <c r="O423" s="545">
        <f>_xll.qlIndexFixing("euribor6m",_xll.qlInterestRateIndexFixingDate("Euribor6M",L423),TRUE)</f>
        <v>2.1955879791689625E-2</v>
      </c>
      <c r="P423" s="545">
        <f>_xll.qlOvernightIndexedSwapFairRate(N423,Trigger)</f>
        <v>2.1025972671188834E-2</v>
      </c>
      <c r="Q423" s="547">
        <f t="shared" si="10"/>
        <v>9.2990712050079055E-4</v>
      </c>
    </row>
    <row r="424" spans="5:17" x14ac:dyDescent="0.2">
      <c r="E424" s="538"/>
      <c r="F424" s="538"/>
      <c r="G424" s="537"/>
      <c r="I424" s="537"/>
      <c r="J424" s="537"/>
      <c r="L424" s="553">
        <f>_xll.qlCalendarAdvance(Calendar,L423,"1M","f",,Trigger)</f>
        <v>55015</v>
      </c>
      <c r="M424" s="544">
        <f>_xll.qlCalendarAdvance(Calendar,L424,"3M","f",,Trigger)</f>
        <v>55107</v>
      </c>
      <c r="N424" s="546" t="str">
        <f>_xll.qlMakeDatedOIS(,L424,M424,"eonia",,,,,Trigger)</f>
        <v>obj_009ec#0000</v>
      </c>
      <c r="O424" s="545">
        <f>_xll.qlIndexFixing("euribor6m",_xll.qlInterestRateIndexFixingDate("Euribor6M",L424),TRUE)</f>
        <v>2.1962581392152014E-2</v>
      </c>
      <c r="P424" s="545">
        <f>_xll.qlOvernightIndexedSwapFairRate(N424,Trigger)</f>
        <v>2.1025972671188834E-2</v>
      </c>
      <c r="Q424" s="547">
        <f t="shared" si="10"/>
        <v>9.3660872096318001E-4</v>
      </c>
    </row>
    <row r="425" spans="5:17" x14ac:dyDescent="0.2">
      <c r="E425" s="538"/>
      <c r="F425" s="538"/>
      <c r="G425" s="537"/>
      <c r="I425" s="537"/>
      <c r="J425" s="537"/>
      <c r="L425" s="553">
        <f>_xll.qlCalendarAdvance(Calendar,L424,"1M","f",,Trigger)</f>
        <v>55046</v>
      </c>
      <c r="M425" s="544">
        <f>_xll.qlCalendarAdvance(Calendar,L425,"3M","f",,Trigger)</f>
        <v>55137</v>
      </c>
      <c r="N425" s="546" t="str">
        <f>_xll.qlMakeDatedOIS(,L425,M425,"eonia",,,,,Trigger)</f>
        <v>obj_009ee#0000</v>
      </c>
      <c r="O425" s="545">
        <f>_xll.qlIndexFixing("euribor6m",_xll.qlInterestRateIndexFixingDate("Euribor6M",L425),TRUE)</f>
        <v>2.1965742967781487E-2</v>
      </c>
      <c r="P425" s="545">
        <f>_xll.qlOvernightIndexedSwapFairRate(N425,Trigger)</f>
        <v>2.1025359763903437E-2</v>
      </c>
      <c r="Q425" s="547">
        <f t="shared" si="10"/>
        <v>9.4038320387804936E-4</v>
      </c>
    </row>
    <row r="426" spans="5:17" x14ac:dyDescent="0.2">
      <c r="E426" s="538"/>
      <c r="F426" s="538"/>
      <c r="G426" s="537"/>
      <c r="I426" s="537"/>
      <c r="J426" s="537"/>
      <c r="L426" s="553">
        <f>_xll.qlCalendarAdvance(Calendar,L425,"1M","f",,Trigger)</f>
        <v>55078</v>
      </c>
      <c r="M426" s="544">
        <f>_xll.qlCalendarAdvance(Calendar,L426,"3M","f",,Trigger)</f>
        <v>55170</v>
      </c>
      <c r="N426" s="546" t="str">
        <f>_xll.qlMakeDatedOIS(,L426,M426,"eonia",,,,,Trigger)</f>
        <v>obj_009f0#0000</v>
      </c>
      <c r="O426" s="545">
        <f>_xll.qlIndexFixing("euribor6m",_xll.qlInterestRateIndexFixingDate("Euribor6M",L426),TRUE)</f>
        <v>2.1971088553449845E-2</v>
      </c>
      <c r="P426" s="545">
        <f>_xll.qlOvernightIndexedSwapFairRate(N426,Trigger)</f>
        <v>2.1025972671187967E-2</v>
      </c>
      <c r="Q426" s="547">
        <f t="shared" si="10"/>
        <v>9.4511588226187798E-4</v>
      </c>
    </row>
    <row r="427" spans="5:17" x14ac:dyDescent="0.2">
      <c r="E427" s="538"/>
      <c r="F427" s="538"/>
      <c r="G427" s="537"/>
      <c r="I427" s="537"/>
      <c r="J427" s="537"/>
      <c r="L427" s="553">
        <f>_xll.qlCalendarAdvance(Calendar,L426,"1M","f",,Trigger)</f>
        <v>55109</v>
      </c>
      <c r="M427" s="544">
        <f>_xll.qlCalendarAdvance(Calendar,L427,"3M","f",,Trigger)</f>
        <v>55201</v>
      </c>
      <c r="N427" s="546" t="str">
        <f>_xll.qlMakeDatedOIS(,L427,M427,"eonia",,,,,Trigger)</f>
        <v>obj_009f2#0000</v>
      </c>
      <c r="O427" s="545">
        <f>_xll.qlIndexFixing("euribor6m",_xll.qlInterestRateIndexFixingDate("Euribor6M",L427),TRUE)</f>
        <v>2.1973932364219378E-2</v>
      </c>
      <c r="P427" s="545">
        <f>_xll.qlOvernightIndexedSwapFairRate(N427,Trigger)</f>
        <v>2.1025972671188838E-2</v>
      </c>
      <c r="Q427" s="547">
        <f t="shared" si="10"/>
        <v>9.479596930305409E-4</v>
      </c>
    </row>
    <row r="428" spans="5:17" x14ac:dyDescent="0.2">
      <c r="E428" s="538"/>
      <c r="F428" s="538"/>
      <c r="G428" s="537"/>
      <c r="I428" s="537"/>
      <c r="J428" s="537"/>
      <c r="L428" s="553">
        <f>_xll.qlCalendarAdvance(Calendar,L427,"1M","f",,Trigger)</f>
        <v>55141</v>
      </c>
      <c r="M428" s="544">
        <f>_xll.qlCalendarAdvance(Calendar,L428,"3M","f",,Trigger)</f>
        <v>55232</v>
      </c>
      <c r="N428" s="546" t="str">
        <f>_xll.qlMakeDatedOIS(,L428,M428,"eonia",,,,,Trigger)</f>
        <v>obj_009f4#0000</v>
      </c>
      <c r="O428" s="545">
        <f>_xll.qlIndexFixing("euribor6m",_xll.qlInterestRateIndexFixingDate("Euribor6M",L428),TRUE)</f>
        <v>2.1977348336122277E-2</v>
      </c>
      <c r="P428" s="545">
        <f>_xll.qlOvernightIndexedSwapFairRate(N428,Trigger)</f>
        <v>2.10253597639052E-2</v>
      </c>
      <c r="Q428" s="547">
        <f t="shared" si="10"/>
        <v>9.5198857221707664E-4</v>
      </c>
    </row>
    <row r="429" spans="5:17" x14ac:dyDescent="0.2">
      <c r="E429" s="538"/>
      <c r="F429" s="538"/>
      <c r="G429" s="537"/>
      <c r="I429" s="537"/>
      <c r="J429" s="537"/>
      <c r="L429" s="553">
        <f>_xll.qlCalendarAdvance(Calendar,L428,"1M","f",,Trigger)</f>
        <v>55172</v>
      </c>
      <c r="M429" s="544">
        <f>_xll.qlCalendarAdvance(Calendar,L429,"3M","f",,Trigger)</f>
        <v>55262</v>
      </c>
      <c r="N429" s="546" t="str">
        <f>_xll.qlMakeDatedOIS(,L429,M429,"eonia",,,,,Trigger)</f>
        <v>obj_009f6#0000</v>
      </c>
      <c r="O429" s="545">
        <f>_xll.qlIndexFixing("euribor6m",_xll.qlInterestRateIndexFixingDate("Euribor6M",L429),TRUE)</f>
        <v>2.1978380533595642E-2</v>
      </c>
      <c r="P429" s="545">
        <f>_xll.qlOvernightIndexedSwapFairRate(N429,Trigger)</f>
        <v>2.1024746880430989E-2</v>
      </c>
      <c r="Q429" s="547">
        <f t="shared" si="10"/>
        <v>9.5363365316465318E-4</v>
      </c>
    </row>
    <row r="430" spans="5:17" x14ac:dyDescent="0.2">
      <c r="E430" s="538"/>
      <c r="F430" s="538"/>
      <c r="G430" s="537"/>
      <c r="I430" s="537"/>
      <c r="J430" s="537"/>
      <c r="L430" s="553">
        <f>_xll.qlCalendarAdvance(Calendar,L429,"1M","f",,Trigger)</f>
        <v>55204</v>
      </c>
      <c r="M430" s="544">
        <f>_xll.qlCalendarAdvance(Calendar,L430,"3M","f",,Trigger)</f>
        <v>55295</v>
      </c>
      <c r="N430" s="546" t="str">
        <f>_xll.qlMakeDatedOIS(,L430,M430,"eonia",,,,,Trigger)</f>
        <v>obj_009f8#0000</v>
      </c>
      <c r="O430" s="545">
        <f>_xll.qlIndexFixing("euribor6m",_xll.qlInterestRateIndexFixingDate("Euribor6M",L430),TRUE)</f>
        <v>2.1979866649262714E-2</v>
      </c>
      <c r="P430" s="545">
        <f>_xll.qlOvernightIndexedSwapFairRate(N430,Trigger)</f>
        <v>2.1025359763904315E-2</v>
      </c>
      <c r="Q430" s="547">
        <f t="shared" si="10"/>
        <v>9.545068853583985E-4</v>
      </c>
    </row>
    <row r="431" spans="5:17" x14ac:dyDescent="0.2">
      <c r="E431" s="538"/>
      <c r="F431" s="538"/>
      <c r="G431" s="537"/>
      <c r="I431" s="537"/>
      <c r="J431" s="537"/>
      <c r="L431" s="553">
        <f>_xll.qlCalendarAdvance(Calendar,L430,"1M","f",,Trigger)</f>
        <v>55232</v>
      </c>
      <c r="M431" s="544">
        <f>_xll.qlCalendarAdvance(Calendar,L431,"3M","f",,Trigger)</f>
        <v>55324</v>
      </c>
      <c r="N431" s="546" t="str">
        <f>_xll.qlMakeDatedOIS(,L431,M431,"eonia",,,,,Trigger)</f>
        <v>obj_009fa#0000</v>
      </c>
      <c r="O431" s="545">
        <f>_xll.qlIndexFixing("euribor6m",_xll.qlInterestRateIndexFixingDate("Euribor6M",L431),TRUE)</f>
        <v>2.1981076670802801E-2</v>
      </c>
      <c r="P431" s="545">
        <f>_xll.qlOvernightIndexedSwapFairRate(N431,Trigger)</f>
        <v>2.1025972671188834E-2</v>
      </c>
      <c r="Q431" s="547">
        <f t="shared" si="10"/>
        <v>9.551039996139668E-4</v>
      </c>
    </row>
    <row r="432" spans="5:17" x14ac:dyDescent="0.2">
      <c r="E432" s="538"/>
      <c r="F432" s="538"/>
      <c r="G432" s="537"/>
      <c r="I432" s="537"/>
      <c r="J432" s="537"/>
      <c r="L432" s="553">
        <f>_xll.qlCalendarAdvance(Calendar,L431,"1M","f",,Trigger)</f>
        <v>55263</v>
      </c>
      <c r="M432" s="544">
        <f>_xll.qlCalendarAdvance(Calendar,L432,"3M","f",,Trigger)</f>
        <v>55354</v>
      </c>
      <c r="N432" s="546" t="str">
        <f>_xll.qlMakeDatedOIS(,L432,M432,"eonia",,,,,Trigger)</f>
        <v>obj_009fc#0000</v>
      </c>
      <c r="O432" s="545">
        <f>_xll.qlIndexFixing("euribor6m",_xll.qlInterestRateIndexFixingDate("Euribor6M",L432),TRUE)</f>
        <v>2.1979463721555202E-2</v>
      </c>
      <c r="P432" s="545">
        <f>_xll.qlOvernightIndexedSwapFairRate(N432,Trigger)</f>
        <v>2.1025359763905196E-2</v>
      </c>
      <c r="Q432" s="547">
        <f t="shared" si="10"/>
        <v>9.5410395765000572E-4</v>
      </c>
    </row>
    <row r="433" spans="5:17" x14ac:dyDescent="0.2">
      <c r="E433" s="538"/>
      <c r="F433" s="538"/>
      <c r="G433" s="537"/>
      <c r="I433" s="537"/>
      <c r="J433" s="537"/>
      <c r="L433" s="553">
        <f>_xll.qlCalendarAdvance(Calendar,L432,"1M","f",,Trigger)</f>
        <v>55295</v>
      </c>
      <c r="M433" s="544">
        <f>_xll.qlCalendarAdvance(Calendar,L433,"3M","f",,Trigger)</f>
        <v>55387</v>
      </c>
      <c r="N433" s="546" t="str">
        <f>_xll.qlMakeDatedOIS(,L433,M433,"eonia",,,,,Trigger)</f>
        <v>obj_009fe#0000</v>
      </c>
      <c r="O433" s="545">
        <f>_xll.qlIndexFixing("euribor6m",_xll.qlInterestRateIndexFixingDate("Euribor6M",L433),TRUE)</f>
        <v>2.197813087341895E-2</v>
      </c>
      <c r="P433" s="545">
        <f>_xll.qlOvernightIndexedSwapFairRate(N433,Trigger)</f>
        <v>2.1025972671188834E-2</v>
      </c>
      <c r="Q433" s="547">
        <f t="shared" si="10"/>
        <v>9.5215820223011616E-4</v>
      </c>
    </row>
    <row r="434" spans="5:17" x14ac:dyDescent="0.2">
      <c r="E434" s="538"/>
      <c r="F434" s="538"/>
      <c r="G434" s="537"/>
      <c r="I434" s="537"/>
      <c r="J434" s="537"/>
      <c r="L434" s="553">
        <f>_xll.qlCalendarAdvance(Calendar,L433,"1M","f",,Trigger)</f>
        <v>55326</v>
      </c>
      <c r="M434" s="544">
        <f>_xll.qlCalendarAdvance(Calendar,L434,"3M","f",,Trigger)</f>
        <v>55418</v>
      </c>
      <c r="N434" s="546" t="str">
        <f>_xll.qlMakeDatedOIS(,L434,M434,"eonia",,,,,Trigger)</f>
        <v>obj_00a00#0000</v>
      </c>
      <c r="O434" s="545">
        <f>_xll.qlIndexFixing("euribor6m",_xll.qlInterestRateIndexFixingDate("Euribor6M",L434),TRUE)</f>
        <v>2.1974706644761081E-2</v>
      </c>
      <c r="P434" s="545">
        <f>_xll.qlOvernightIndexedSwapFairRate(N434,Trigger)</f>
        <v>2.102597267118797E-2</v>
      </c>
      <c r="Q434" s="547">
        <f t="shared" si="10"/>
        <v>9.4873397357311123E-4</v>
      </c>
    </row>
    <row r="435" spans="5:17" x14ac:dyDescent="0.2">
      <c r="E435" s="538"/>
      <c r="F435" s="538"/>
      <c r="G435" s="537"/>
      <c r="I435" s="537"/>
      <c r="J435" s="537"/>
      <c r="L435" s="553">
        <f>_xll.qlCalendarAdvance(Calendar,L434,"1M","f",,Trigger)</f>
        <v>55358</v>
      </c>
      <c r="M435" s="544">
        <f>_xll.qlCalendarAdvance(Calendar,L435,"3M","f",,Trigger)</f>
        <v>55450</v>
      </c>
      <c r="N435" s="546" t="str">
        <f>_xll.qlMakeDatedOIS(,L435,M435,"eonia",,,,,Trigger)</f>
        <v>obj_00a02#0000</v>
      </c>
      <c r="O435" s="545">
        <f>_xll.qlIndexFixing("euribor6m",_xll.qlInterestRateIndexFixingDate("Euribor6M",L435),TRUE)</f>
        <v>2.1971443155337018E-2</v>
      </c>
      <c r="P435" s="545">
        <f>_xll.qlOvernightIndexedSwapFairRate(N435,Trigger)</f>
        <v>2.1025972671187967E-2</v>
      </c>
      <c r="Q435" s="547">
        <f t="shared" si="10"/>
        <v>9.4547048414905105E-4</v>
      </c>
    </row>
    <row r="436" spans="5:17" x14ac:dyDescent="0.2">
      <c r="E436" s="538"/>
      <c r="F436" s="538"/>
      <c r="G436" s="537"/>
      <c r="I436" s="537"/>
      <c r="J436" s="537"/>
      <c r="L436" s="553">
        <f>_xll.qlCalendarAdvance(Calendar,L435,"1M","f",,Trigger)</f>
        <v>55389</v>
      </c>
      <c r="M436" s="544">
        <f>_xll.qlCalendarAdvance(Calendar,L436,"3M","f",,Trigger)</f>
        <v>55481</v>
      </c>
      <c r="N436" s="546" t="str">
        <f>_xll.qlMakeDatedOIS(,L436,M436,"eonia",,,,,Trigger)</f>
        <v>obj_00a04#0000</v>
      </c>
      <c r="O436" s="545">
        <f>_xll.qlIndexFixing("euribor6m",_xll.qlInterestRateIndexFixingDate("Euribor6M",L436),TRUE)</f>
        <v>2.1967919554568414E-2</v>
      </c>
      <c r="P436" s="545">
        <f>_xll.qlOvernightIndexedSwapFairRate(N436,Trigger)</f>
        <v>2.1025972671188838E-2</v>
      </c>
      <c r="Q436" s="547">
        <f t="shared" si="10"/>
        <v>9.4194688337957688E-4</v>
      </c>
    </row>
    <row r="437" spans="5:17" x14ac:dyDescent="0.2">
      <c r="E437" s="538"/>
      <c r="F437" s="538"/>
      <c r="G437" s="537"/>
      <c r="I437" s="537"/>
      <c r="J437" s="537"/>
      <c r="L437" s="553">
        <f>_xll.qlCalendarAdvance(Calendar,L436,"1M","f",,Trigger)</f>
        <v>55421</v>
      </c>
      <c r="M437" s="544">
        <f>_xll.qlCalendarAdvance(Calendar,L437,"3M","f",,Trigger)</f>
        <v>55514</v>
      </c>
      <c r="N437" s="546" t="str">
        <f>_xll.qlMakeDatedOIS(,L437,M437,"eonia",,,,,Trigger)</f>
        <v>obj_00a06#0000</v>
      </c>
      <c r="O437" s="545">
        <f>_xll.qlIndexFixing("euribor6m",_xll.qlInterestRateIndexFixingDate("Euribor6M",L437),TRUE)</f>
        <v>2.1959902412134191E-2</v>
      </c>
      <c r="P437" s="545">
        <f>_xll.qlOvernightIndexedSwapFairRate(N437,Trigger)</f>
        <v>2.1026585602284844E-2</v>
      </c>
      <c r="Q437" s="547">
        <f t="shared" si="10"/>
        <v>9.3331680984934731E-4</v>
      </c>
    </row>
    <row r="438" spans="5:17" x14ac:dyDescent="0.2">
      <c r="E438" s="538"/>
      <c r="F438" s="538"/>
      <c r="G438" s="537"/>
      <c r="I438" s="537"/>
      <c r="J438" s="537"/>
      <c r="L438" s="553">
        <f>_xll.qlCalendarAdvance(Calendar,L437,"1M","f",,Trigger)</f>
        <v>55451</v>
      </c>
      <c r="M438" s="544">
        <f>_xll.qlCalendarAdvance(Calendar,L438,"3M","f",,Trigger)</f>
        <v>55543</v>
      </c>
      <c r="N438" s="546" t="str">
        <f>_xll.qlMakeDatedOIS(,L438,M438,"eonia",,,,,Trigger)</f>
        <v>obj_00a08#0000</v>
      </c>
      <c r="O438" s="545">
        <f>_xll.qlIndexFixing("euribor6m",_xll.qlInterestRateIndexFixingDate("Euribor6M",L438),TRUE)</f>
        <v>2.1954191020742669E-2</v>
      </c>
      <c r="P438" s="545">
        <f>_xll.qlOvernightIndexedSwapFairRate(N438,Trigger)</f>
        <v>2.1025972671188838E-2</v>
      </c>
      <c r="Q438" s="547">
        <f t="shared" si="10"/>
        <v>9.2821834955383181E-4</v>
      </c>
    </row>
    <row r="439" spans="5:17" x14ac:dyDescent="0.2">
      <c r="E439" s="538"/>
      <c r="F439" s="538"/>
      <c r="G439" s="537"/>
      <c r="I439" s="537"/>
      <c r="J439" s="537"/>
      <c r="L439" s="553">
        <f>_xll.qlCalendarAdvance(Calendar,L438,"1M","f",,Trigger)</f>
        <v>55484</v>
      </c>
      <c r="M439" s="544">
        <f>_xll.qlCalendarAdvance(Calendar,L439,"3M","f",,Trigger)</f>
        <v>55576</v>
      </c>
      <c r="N439" s="546" t="str">
        <f>_xll.qlMakeDatedOIS(,L439,M439,"eonia",,,,,Trigger)</f>
        <v>obj_00a0a#0000</v>
      </c>
      <c r="O439" s="545">
        <f>_xll.qlIndexFixing("euribor6m",_xll.qlInterestRateIndexFixingDate("Euribor6M",L439),TRUE)</f>
        <v>2.1945792092491808E-2</v>
      </c>
      <c r="P439" s="545">
        <f>_xll.qlOvernightIndexedSwapFairRate(N439,Trigger)</f>
        <v>2.1025972671187967E-2</v>
      </c>
      <c r="Q439" s="547">
        <f t="shared" si="10"/>
        <v>9.1981942130384131E-4</v>
      </c>
    </row>
    <row r="440" spans="5:17" x14ac:dyDescent="0.2">
      <c r="E440" s="538"/>
      <c r="F440" s="538"/>
      <c r="G440" s="537"/>
      <c r="I440" s="537"/>
      <c r="J440" s="537"/>
      <c r="L440" s="553">
        <f>_xll.qlCalendarAdvance(Calendar,L439,"1M","f",,Trigger)</f>
        <v>55514</v>
      </c>
      <c r="M440" s="544">
        <f>_xll.qlCalendarAdvance(Calendar,L440,"3M","f",,Trigger)</f>
        <v>55605</v>
      </c>
      <c r="N440" s="546" t="str">
        <f>_xll.qlMakeDatedOIS(,L440,M440,"eonia",,,,,Trigger)</f>
        <v>obj_00a0c#0000</v>
      </c>
      <c r="O440" s="545">
        <f>_xll.qlIndexFixing("euribor6m",_xll.qlInterestRateIndexFixingDate("Euribor6M",L440),TRUE)</f>
        <v>2.1938268464143557E-2</v>
      </c>
      <c r="P440" s="545">
        <f>_xll.qlOvernightIndexedSwapFairRate(N440,Trigger)</f>
        <v>2.1025359763904322E-2</v>
      </c>
      <c r="Q440" s="547">
        <f t="shared" si="10"/>
        <v>9.1290870023923512E-4</v>
      </c>
    </row>
    <row r="441" spans="5:17" x14ac:dyDescent="0.2">
      <c r="E441" s="538"/>
      <c r="F441" s="538"/>
      <c r="G441" s="537"/>
      <c r="I441" s="537"/>
      <c r="J441" s="537"/>
      <c r="L441" s="553">
        <f>_xll.qlCalendarAdvance(Calendar,L440,"1M","f",,Trigger)</f>
        <v>55547</v>
      </c>
      <c r="M441" s="544">
        <f>_xll.qlCalendarAdvance(Calendar,L441,"3M","f",,Trigger)</f>
        <v>55638</v>
      </c>
      <c r="N441" s="546" t="str">
        <f>_xll.qlMakeDatedOIS(,L441,M441,"eonia",,,,,Trigger)</f>
        <v>obj_00a0e#0000</v>
      </c>
      <c r="O441" s="545">
        <f>_xll.qlIndexFixing("euribor6m",_xll.qlInterestRateIndexFixingDate("Euribor6M",L441),TRUE)</f>
        <v>2.1927940480417522E-2</v>
      </c>
      <c r="P441" s="545">
        <f>_xll.qlOvernightIndexedSwapFairRate(N441,Trigger)</f>
        <v>2.1025359763903437E-2</v>
      </c>
      <c r="Q441" s="547">
        <f t="shared" si="10"/>
        <v>9.0258071651408422E-4</v>
      </c>
    </row>
    <row r="442" spans="5:17" x14ac:dyDescent="0.2">
      <c r="E442" s="538"/>
      <c r="F442" s="538"/>
      <c r="G442" s="537"/>
      <c r="I442" s="537"/>
      <c r="J442" s="537"/>
      <c r="L442" s="553">
        <f>_xll.qlCalendarAdvance(Calendar,L441,"1M","f",,Trigger)</f>
        <v>55578</v>
      </c>
      <c r="M442" s="544">
        <f>_xll.qlCalendarAdvance(Calendar,L442,"3M","f",,Trigger)</f>
        <v>55668</v>
      </c>
      <c r="N442" s="546" t="str">
        <f>_xll.qlMakeDatedOIS(,L442,M442,"eonia",,,,,Trigger)</f>
        <v>obj_00a10#0000</v>
      </c>
      <c r="O442" s="545">
        <f>_xll.qlIndexFixing("euribor6m",_xll.qlInterestRateIndexFixingDate("Euribor6M",L442),TRUE)</f>
        <v>2.1918262142731355E-2</v>
      </c>
      <c r="P442" s="545">
        <f>_xll.qlOvernightIndexedSwapFairRate(N442,Trigger)</f>
        <v>2.1024746880431877E-2</v>
      </c>
      <c r="Q442" s="547">
        <f t="shared" si="10"/>
        <v>8.9351526229947825E-4</v>
      </c>
    </row>
    <row r="443" spans="5:17" x14ac:dyDescent="0.2">
      <c r="E443" s="538"/>
      <c r="F443" s="538"/>
      <c r="G443" s="537"/>
      <c r="I443" s="537"/>
      <c r="J443" s="537"/>
      <c r="L443" s="553">
        <f>_xll.qlCalendarAdvance(Calendar,L442,"1M","f",,Trigger)</f>
        <v>55607</v>
      </c>
      <c r="M443" s="544">
        <f>_xll.qlCalendarAdvance(Calendar,L443,"3M","f",,Trigger)</f>
        <v>55701</v>
      </c>
      <c r="N443" s="546" t="str">
        <f>_xll.qlMakeDatedOIS(,L443,M443,"eonia",,,,,Trigger)</f>
        <v>obj_00a12#0000</v>
      </c>
      <c r="O443" s="545">
        <f>_xll.qlIndexFixing("euribor6m",_xll.qlInterestRateIndexFixingDate("Euribor6M",L443),TRUE)</f>
        <v>2.1908854430197716E-2</v>
      </c>
      <c r="P443" s="545">
        <f>_xll.qlOvernightIndexedSwapFairRate(N443,Trigger)</f>
        <v>2.1027198557193507E-2</v>
      </c>
      <c r="Q443" s="547">
        <f t="shared" si="10"/>
        <v>8.8165587300420914E-4</v>
      </c>
    </row>
    <row r="444" spans="5:17" x14ac:dyDescent="0.2">
      <c r="E444" s="538"/>
      <c r="F444" s="538"/>
      <c r="G444" s="537"/>
      <c r="I444" s="537"/>
      <c r="J444" s="537"/>
      <c r="L444" s="553">
        <f>_xll.qlCalendarAdvance(Calendar,L443,"1M","f",,Trigger)</f>
        <v>55638</v>
      </c>
      <c r="M444" s="544">
        <f>_xll.qlCalendarAdvance(Calendar,L444,"3M","f",,Trigger)</f>
        <v>55729</v>
      </c>
      <c r="N444" s="546" t="str">
        <f>_xll.qlMakeDatedOIS(,L444,M444,"eonia",,,,,Trigger)</f>
        <v>obj_00a14#0000</v>
      </c>
      <c r="O444" s="545">
        <f>_xll.qlIndexFixing("euribor6m",_xll.qlInterestRateIndexFixingDate("Euribor6M",L444),TRUE)</f>
        <v>2.189599957315555E-2</v>
      </c>
      <c r="P444" s="545">
        <f>_xll.qlOvernightIndexedSwapFairRate(N444,Trigger)</f>
        <v>2.10253597639052E-2</v>
      </c>
      <c r="Q444" s="547">
        <f t="shared" si="10"/>
        <v>8.706398092503502E-4</v>
      </c>
    </row>
    <row r="445" spans="5:17" x14ac:dyDescent="0.2">
      <c r="E445" s="538"/>
      <c r="F445" s="538"/>
      <c r="G445" s="537"/>
      <c r="I445" s="537"/>
      <c r="J445" s="537"/>
      <c r="L445" s="553">
        <f>_xll.qlCalendarAdvance(Calendar,L444,"1M","f",,Trigger)</f>
        <v>55668</v>
      </c>
      <c r="M445" s="544">
        <f>_xll.qlCalendarAdvance(Calendar,L445,"3M","f",,Trigger)</f>
        <v>55760</v>
      </c>
      <c r="N445" s="546" t="str">
        <f>_xll.qlMakeDatedOIS(,L445,M445,"eonia",,,,,Trigger)</f>
        <v>obj_00a16#0000</v>
      </c>
      <c r="O445" s="545">
        <f>_xll.qlIndexFixing("euribor6m",_xll.qlInterestRateIndexFixingDate("Euribor6M",L445),TRUE)</f>
        <v>2.1884030093326078E-2</v>
      </c>
      <c r="P445" s="545">
        <f>_xll.qlOvernightIndexedSwapFairRate(N445,Trigger)</f>
        <v>2.1025972671188834E-2</v>
      </c>
      <c r="Q445" s="547">
        <f t="shared" si="10"/>
        <v>8.5805742213724417E-4</v>
      </c>
    </row>
    <row r="446" spans="5:17" x14ac:dyDescent="0.2">
      <c r="E446" s="538"/>
      <c r="F446" s="538"/>
      <c r="G446" s="537"/>
      <c r="I446" s="537"/>
      <c r="J446" s="537"/>
      <c r="L446" s="553">
        <f>_xll.qlCalendarAdvance(Calendar,L445,"1M","f",,Trigger)</f>
        <v>55701</v>
      </c>
      <c r="M446" s="544">
        <f>_xll.qlCalendarAdvance(Calendar,L446,"3M","f",,Trigger)</f>
        <v>55793</v>
      </c>
      <c r="N446" s="546" t="str">
        <f>_xll.qlMakeDatedOIS(,L446,M446,"eonia",,,,,Trigger)</f>
        <v>obj_00a18#0000</v>
      </c>
      <c r="O446" s="545">
        <f>_xll.qlIndexFixing("euribor6m",_xll.qlInterestRateIndexFixingDate("Euribor6M",L446),TRUE)</f>
        <v>2.1869807211445515E-2</v>
      </c>
      <c r="P446" s="545">
        <f>_xll.qlOvernightIndexedSwapFairRate(N446,Trigger)</f>
        <v>2.1025972671187967E-2</v>
      </c>
      <c r="Q446" s="547">
        <f t="shared" si="10"/>
        <v>8.4383454025754867E-4</v>
      </c>
    </row>
    <row r="447" spans="5:17" x14ac:dyDescent="0.2">
      <c r="E447" s="538"/>
      <c r="F447" s="538"/>
      <c r="G447" s="537"/>
      <c r="I447" s="537"/>
      <c r="J447" s="537"/>
      <c r="L447" s="553">
        <f>_xll.qlCalendarAdvance(Calendar,L446,"1M","f",,Trigger)</f>
        <v>55732</v>
      </c>
      <c r="M447" s="544">
        <f>_xll.qlCalendarAdvance(Calendar,L447,"3M","f",,Trigger)</f>
        <v>55824</v>
      </c>
      <c r="N447" s="546" t="str">
        <f>_xll.qlMakeDatedOIS(,L447,M447,"eonia",,,,,Trigger)</f>
        <v>obj_00a1a#0000</v>
      </c>
      <c r="O447" s="545">
        <f>_xll.qlIndexFixing("euribor6m",_xll.qlInterestRateIndexFixingDate("Euribor6M",L447),TRUE)</f>
        <v>2.1855505223880019E-2</v>
      </c>
      <c r="P447" s="545">
        <f>_xll.qlOvernightIndexedSwapFairRate(N447,Trigger)</f>
        <v>2.1025972671188838E-2</v>
      </c>
      <c r="Q447" s="547">
        <f t="shared" si="10"/>
        <v>8.295325526911819E-4</v>
      </c>
    </row>
    <row r="448" spans="5:17" x14ac:dyDescent="0.2">
      <c r="E448" s="538"/>
      <c r="F448" s="538"/>
      <c r="G448" s="537"/>
      <c r="I448" s="537"/>
      <c r="J448" s="537"/>
      <c r="L448" s="553">
        <f>_xll.qlCalendarAdvance(Calendar,L447,"1M","f",,Trigger)</f>
        <v>55764</v>
      </c>
      <c r="M448" s="544">
        <f>_xll.qlCalendarAdvance(Calendar,L448,"3M","f",,Trigger)</f>
        <v>55855</v>
      </c>
      <c r="N448" s="546" t="str">
        <f>_xll.qlMakeDatedOIS(,L448,M448,"eonia",,,,,Trigger)</f>
        <v>obj_00a1c#0000</v>
      </c>
      <c r="O448" s="545">
        <f>_xll.qlIndexFixing("euribor6m",_xll.qlInterestRateIndexFixingDate("Euribor6M",L448),TRUE)</f>
        <v>2.1837816111125233E-2</v>
      </c>
      <c r="P448" s="545">
        <f>_xll.qlOvernightIndexedSwapFairRate(N448,Trigger)</f>
        <v>2.10253597639052E-2</v>
      </c>
      <c r="Q448" s="547">
        <f t="shared" si="10"/>
        <v>8.1245634722003357E-4</v>
      </c>
    </row>
    <row r="449" spans="5:17" x14ac:dyDescent="0.2">
      <c r="E449" s="538"/>
      <c r="F449" s="538"/>
      <c r="G449" s="537"/>
      <c r="I449" s="537"/>
      <c r="J449" s="537"/>
      <c r="L449" s="553">
        <f>_xll.qlCalendarAdvance(Calendar,L448,"1M","f",,Trigger)</f>
        <v>55794</v>
      </c>
      <c r="M449" s="544">
        <f>_xll.qlCalendarAdvance(Calendar,L449,"3M","f",,Trigger)</f>
        <v>55886</v>
      </c>
      <c r="N449" s="546" t="str">
        <f>_xll.qlMakeDatedOIS(,L449,M449,"eonia",,,,,Trigger)</f>
        <v>obj_00a1e#0000</v>
      </c>
      <c r="O449" s="545">
        <f>_xll.qlIndexFixing("euribor6m",_xll.qlInterestRateIndexFixingDate("Euribor6M",L449),TRUE)</f>
        <v>2.1821864494467332E-2</v>
      </c>
      <c r="P449" s="545">
        <f>_xll.qlOvernightIndexedSwapFairRate(N449,Trigger)</f>
        <v>2.1025972671188838E-2</v>
      </c>
      <c r="Q449" s="547">
        <f t="shared" si="10"/>
        <v>7.9589182327849395E-4</v>
      </c>
    </row>
    <row r="450" spans="5:17" x14ac:dyDescent="0.2">
      <c r="E450" s="538"/>
      <c r="F450" s="538"/>
      <c r="G450" s="537"/>
      <c r="I450" s="537"/>
      <c r="J450" s="537"/>
      <c r="L450" s="553">
        <f>_xll.qlCalendarAdvance(Calendar,L449,"1M","f",,Trigger)</f>
        <v>55827</v>
      </c>
      <c r="M450" s="544">
        <f>_xll.qlCalendarAdvance(Calendar,L450,"3M","f",,Trigger)</f>
        <v>55919</v>
      </c>
      <c r="N450" s="546" t="str">
        <f>_xll.qlMakeDatedOIS(,L450,M450,"eonia",,,,,Trigger)</f>
        <v>obj_00a20#0000</v>
      </c>
      <c r="O450" s="545">
        <f>_xll.qlIndexFixing("euribor6m",_xll.qlInterestRateIndexFixingDate("Euribor6M",L450),TRUE)</f>
        <v>2.1803338036449522E-2</v>
      </c>
      <c r="P450" s="545">
        <f>_xll.qlOvernightIndexedSwapFairRate(N450,Trigger)</f>
        <v>2.1025972671187967E-2</v>
      </c>
      <c r="Q450" s="547">
        <f t="shared" si="10"/>
        <v>7.7736536526155572E-4</v>
      </c>
    </row>
    <row r="451" spans="5:17" x14ac:dyDescent="0.2">
      <c r="E451" s="538"/>
      <c r="F451" s="538"/>
      <c r="G451" s="537"/>
      <c r="I451" s="537"/>
      <c r="J451" s="537"/>
      <c r="L451" s="553">
        <f>_xll.qlCalendarAdvance(Calendar,L450,"1M","f",,Trigger)</f>
        <v>55857</v>
      </c>
      <c r="M451" s="544">
        <f>_xll.qlCalendarAdvance(Calendar,L451,"3M","f",,Trigger)</f>
        <v>55947</v>
      </c>
      <c r="N451" s="546" t="str">
        <f>_xll.qlMakeDatedOIS(,L451,M451,"eonia",,,,,Trigger)</f>
        <v>obj_00a22#0000</v>
      </c>
      <c r="O451" s="545">
        <f>_xll.qlIndexFixing("euribor6m",_xll.qlInterestRateIndexFixingDate("Euribor6M",L451),TRUE)</f>
        <v>2.1785605207239662E-2</v>
      </c>
      <c r="P451" s="545">
        <f>_xll.qlOvernightIndexedSwapFairRate(N451,Trigger)</f>
        <v>2.1024746880431877E-2</v>
      </c>
      <c r="Q451" s="547">
        <f t="shared" ref="Q451:Q514" si="11">O451-P451</f>
        <v>7.6085832680778537E-4</v>
      </c>
    </row>
    <row r="452" spans="5:17" x14ac:dyDescent="0.2">
      <c r="E452" s="538"/>
      <c r="F452" s="538"/>
      <c r="G452" s="537"/>
      <c r="I452" s="537"/>
      <c r="J452" s="537"/>
      <c r="L452" s="553">
        <f>_xll.qlCalendarAdvance(Calendar,L451,"1M","f",,Trigger)</f>
        <v>55890</v>
      </c>
      <c r="M452" s="544">
        <f>_xll.qlCalendarAdvance(Calendar,L452,"3M","f",,Trigger)</f>
        <v>55982</v>
      </c>
      <c r="N452" s="546" t="str">
        <f>_xll.qlMakeDatedOIS(,L452,M452,"eonia",,,,,Trigger)</f>
        <v>obj_00a24#0000</v>
      </c>
      <c r="O452" s="545">
        <f>_xll.qlIndexFixing("euribor6m",_xll.qlInterestRateIndexFixingDate("Euribor6M",L452),TRUE)</f>
        <v>2.176511946879648E-2</v>
      </c>
      <c r="P452" s="545">
        <f>_xll.qlOvernightIndexedSwapFairRate(N452,Trigger)</f>
        <v>2.1025972671188834E-2</v>
      </c>
      <c r="Q452" s="547">
        <f t="shared" si="11"/>
        <v>7.3914679760764615E-4</v>
      </c>
    </row>
    <row r="453" spans="5:17" x14ac:dyDescent="0.2">
      <c r="E453" s="538"/>
      <c r="F453" s="538"/>
      <c r="G453" s="537"/>
      <c r="I453" s="537"/>
      <c r="J453" s="537"/>
      <c r="L453" s="553">
        <f>_xll.qlCalendarAdvance(Calendar,L452,"1M","f",,Trigger)</f>
        <v>55921</v>
      </c>
      <c r="M453" s="544">
        <f>_xll.qlCalendarAdvance(Calendar,L453,"3M","f",,Trigger)</f>
        <v>56010</v>
      </c>
      <c r="N453" s="546" t="str">
        <f>_xll.qlMakeDatedOIS(,L453,M453,"eonia",,,,,Trigger)</f>
        <v>obj_00a26#0000</v>
      </c>
      <c r="O453" s="545">
        <f>_xll.qlIndexFixing("euribor6m",_xll.qlInterestRateIndexFixingDate("Euribor6M",L453),TRUE)</f>
        <v>2.1744633025092584E-2</v>
      </c>
      <c r="P453" s="545">
        <f>_xll.qlOvernightIndexedSwapFairRate(N453,Trigger)</f>
        <v>2.1024134020769414E-2</v>
      </c>
      <c r="Q453" s="547">
        <f t="shared" si="11"/>
        <v>7.2049900432316974E-4</v>
      </c>
    </row>
    <row r="454" spans="5:17" x14ac:dyDescent="0.2">
      <c r="E454" s="538"/>
      <c r="F454" s="538"/>
      <c r="G454" s="537"/>
      <c r="I454" s="537"/>
      <c r="J454" s="537"/>
      <c r="L454" s="553">
        <f>_xll.qlCalendarAdvance(Calendar,L453,"1M","f",,Trigger)</f>
        <v>55949</v>
      </c>
      <c r="M454" s="544">
        <f>_xll.qlCalendarAdvance(Calendar,L454,"3M","f",,Trigger)</f>
        <v>56041</v>
      </c>
      <c r="N454" s="546" t="str">
        <f>_xll.qlMakeDatedOIS(,L454,M454,"eonia",,,,,Trigger)</f>
        <v>obj_00a28#0000</v>
      </c>
      <c r="O454" s="545">
        <f>_xll.qlIndexFixing("euribor6m",_xll.qlInterestRateIndexFixingDate("Euribor6M",L454),TRUE)</f>
        <v>2.1727104948714649E-2</v>
      </c>
      <c r="P454" s="545">
        <f>_xll.qlOvernightIndexedSwapFairRate(N454,Trigger)</f>
        <v>2.1025972671188834E-2</v>
      </c>
      <c r="Q454" s="547">
        <f t="shared" si="11"/>
        <v>7.0113227752581497E-4</v>
      </c>
    </row>
    <row r="455" spans="5:17" x14ac:dyDescent="0.2">
      <c r="E455" s="538"/>
      <c r="F455" s="538"/>
      <c r="G455" s="537"/>
      <c r="I455" s="537"/>
      <c r="J455" s="537"/>
      <c r="L455" s="553">
        <f>_xll.qlCalendarAdvance(Calendar,L454,"1M","f",,Trigger)</f>
        <v>55982</v>
      </c>
      <c r="M455" s="544">
        <f>_xll.qlCalendarAdvance(Calendar,L455,"3M","f",,Trigger)</f>
        <v>56073</v>
      </c>
      <c r="N455" s="546" t="str">
        <f>_xll.qlMakeDatedOIS(,L455,M455,"eonia",,,,,Trigger)</f>
        <v>obj_00a2a#0000</v>
      </c>
      <c r="O455" s="545">
        <f>_xll.qlIndexFixing("euribor6m",_xll.qlInterestRateIndexFixingDate("Euribor6M",L455),TRUE)</f>
        <v>2.1702864988510019E-2</v>
      </c>
      <c r="P455" s="545">
        <f>_xll.qlOvernightIndexedSwapFairRate(N455,Trigger)</f>
        <v>2.1025359763904319E-2</v>
      </c>
      <c r="Q455" s="547">
        <f t="shared" si="11"/>
        <v>6.7750522460570048E-4</v>
      </c>
    </row>
    <row r="456" spans="5:17" x14ac:dyDescent="0.2">
      <c r="E456" s="538"/>
      <c r="F456" s="538"/>
      <c r="G456" s="537"/>
      <c r="I456" s="537"/>
      <c r="J456" s="537"/>
      <c r="L456" s="553">
        <f>_xll.qlCalendarAdvance(Calendar,L455,"1M","f",,Trigger)</f>
        <v>56012</v>
      </c>
      <c r="M456" s="544">
        <f>_xll.qlCalendarAdvance(Calendar,L456,"3M","f",,Trigger)</f>
        <v>56104</v>
      </c>
      <c r="N456" s="546" t="str">
        <f>_xll.qlMakeDatedOIS(,L456,M456,"eonia",,,,,Trigger)</f>
        <v>obj_00a2c#0000</v>
      </c>
      <c r="O456" s="545">
        <f>_xll.qlIndexFixing("euribor6m",_xll.qlInterestRateIndexFixingDate("Euribor6M",L456),TRUE)</f>
        <v>2.1681513856336751E-2</v>
      </c>
      <c r="P456" s="545">
        <f>_xll.qlOvernightIndexedSwapFairRate(N456,Trigger)</f>
        <v>2.1025972671188838E-2</v>
      </c>
      <c r="Q456" s="547">
        <f t="shared" si="11"/>
        <v>6.5554118514791343E-4</v>
      </c>
    </row>
    <row r="457" spans="5:17" x14ac:dyDescent="0.2">
      <c r="E457" s="538"/>
      <c r="F457" s="538"/>
      <c r="G457" s="537"/>
      <c r="I457" s="537"/>
      <c r="J457" s="537"/>
      <c r="L457" s="553">
        <f>_xll.qlCalendarAdvance(Calendar,L456,"1M","f",,Trigger)</f>
        <v>56044</v>
      </c>
      <c r="M457" s="544">
        <f>_xll.qlCalendarAdvance(Calendar,L457,"3M","f",,Trigger)</f>
        <v>56136</v>
      </c>
      <c r="N457" s="546" t="str">
        <f>_xll.qlMakeDatedOIS(,L457,M457,"eonia",,,,,Trigger)</f>
        <v>obj_00a2e#0000</v>
      </c>
      <c r="O457" s="545">
        <f>_xll.qlIndexFixing("euribor6m",_xll.qlInterestRateIndexFixingDate("Euribor6M",L457),TRUE)</f>
        <v>2.1656194486984977E-2</v>
      </c>
      <c r="P457" s="545">
        <f>_xll.qlOvernightIndexedSwapFairRate(N457,Trigger)</f>
        <v>2.1025972671188834E-2</v>
      </c>
      <c r="Q457" s="547">
        <f t="shared" si="11"/>
        <v>6.302218157961427E-4</v>
      </c>
    </row>
    <row r="458" spans="5:17" x14ac:dyDescent="0.2">
      <c r="E458" s="538"/>
      <c r="F458" s="538"/>
      <c r="G458" s="537"/>
      <c r="I458" s="537"/>
      <c r="J458" s="537"/>
      <c r="L458" s="553">
        <f>_xll.qlCalendarAdvance(Calendar,L457,"1M","f",,Trigger)</f>
        <v>56074</v>
      </c>
      <c r="M458" s="544">
        <f>_xll.qlCalendarAdvance(Calendar,L458,"3M","f",,Trigger)</f>
        <v>56166</v>
      </c>
      <c r="N458" s="546" t="str">
        <f>_xll.qlMakeDatedOIS(,L458,M458,"eonia",,,,,Trigger)</f>
        <v>obj_00a30#0000</v>
      </c>
      <c r="O458" s="545">
        <f>_xll.qlIndexFixing("euribor6m",_xll.qlInterestRateIndexFixingDate("Euribor6M",L458),TRUE)</f>
        <v>2.1632539546238682E-2</v>
      </c>
      <c r="P458" s="545">
        <f>_xll.qlOvernightIndexedSwapFairRate(N458,Trigger)</f>
        <v>2.1025972671187967E-2</v>
      </c>
      <c r="Q458" s="547">
        <f t="shared" si="11"/>
        <v>6.0656687505071527E-4</v>
      </c>
    </row>
    <row r="459" spans="5:17" x14ac:dyDescent="0.2">
      <c r="E459" s="538"/>
      <c r="F459" s="538"/>
      <c r="G459" s="537"/>
      <c r="I459" s="537"/>
      <c r="J459" s="537"/>
      <c r="L459" s="553">
        <f>_xll.qlCalendarAdvance(Calendar,L458,"1M","f",,Trigger)</f>
        <v>56107</v>
      </c>
      <c r="M459" s="544">
        <f>_xll.qlCalendarAdvance(Calendar,L459,"3M","f",,Trigger)</f>
        <v>56199</v>
      </c>
      <c r="N459" s="546" t="str">
        <f>_xll.qlMakeDatedOIS(,L459,M459,"eonia",,,,,Trigger)</f>
        <v>obj_00a32#0000</v>
      </c>
      <c r="O459" s="545">
        <f>_xll.qlIndexFixing("euribor6m",_xll.qlInterestRateIndexFixingDate("Euribor6M",L459),TRUE)</f>
        <v>2.1605271775822284E-2</v>
      </c>
      <c r="P459" s="545">
        <f>_xll.qlOvernightIndexedSwapFairRate(N459,Trigger)</f>
        <v>2.1025972671187963E-2</v>
      </c>
      <c r="Q459" s="547">
        <f t="shared" si="11"/>
        <v>5.7929910463432044E-4</v>
      </c>
    </row>
    <row r="460" spans="5:17" x14ac:dyDescent="0.2">
      <c r="E460" s="538"/>
      <c r="F460" s="538"/>
      <c r="G460" s="537"/>
      <c r="I460" s="537"/>
      <c r="J460" s="537"/>
      <c r="L460" s="553">
        <f>_xll.qlCalendarAdvance(Calendar,L459,"1M","f",,Trigger)</f>
        <v>56138</v>
      </c>
      <c r="M460" s="544">
        <f>_xll.qlCalendarAdvance(Calendar,L460,"3M","f",,Trigger)</f>
        <v>56229</v>
      </c>
      <c r="N460" s="546" t="str">
        <f>_xll.qlMakeDatedOIS(,L460,M460,"eonia",,,,,Trigger)</f>
        <v>obj_00a34#0000</v>
      </c>
      <c r="O460" s="545">
        <f>_xll.qlIndexFixing("euribor6m",_xll.qlInterestRateIndexFixingDate("Euribor6M",L460),TRUE)</f>
        <v>2.1578137202078525E-2</v>
      </c>
      <c r="P460" s="545">
        <f>_xll.qlOvernightIndexedSwapFairRate(N460,Trigger)</f>
        <v>2.1025359763904319E-2</v>
      </c>
      <c r="Q460" s="547">
        <f t="shared" si="11"/>
        <v>5.5277743817420608E-4</v>
      </c>
    </row>
    <row r="461" spans="5:17" x14ac:dyDescent="0.2">
      <c r="E461" s="538"/>
      <c r="F461" s="538"/>
      <c r="G461" s="537"/>
      <c r="I461" s="537"/>
      <c r="J461" s="537"/>
      <c r="L461" s="553">
        <f>_xll.qlCalendarAdvance(Calendar,L460,"1M","f",,Trigger)</f>
        <v>56170</v>
      </c>
      <c r="M461" s="544">
        <f>_xll.qlCalendarAdvance(Calendar,L461,"3M","f",,Trigger)</f>
        <v>56262</v>
      </c>
      <c r="N461" s="546" t="str">
        <f>_xll.qlMakeDatedOIS(,L461,M461,"eonia",,,,,Trigger)</f>
        <v>obj_00a36#0000</v>
      </c>
      <c r="O461" s="545">
        <f>_xll.qlIndexFixing("euribor6m",_xll.qlInterestRateIndexFixingDate("Euribor6M",L461),TRUE)</f>
        <v>2.1550009864898762E-2</v>
      </c>
      <c r="P461" s="545">
        <f>_xll.qlOvernightIndexedSwapFairRate(N461,Trigger)</f>
        <v>2.1025972671188834E-2</v>
      </c>
      <c r="Q461" s="547">
        <f t="shared" si="11"/>
        <v>5.2403719370992807E-4</v>
      </c>
    </row>
    <row r="462" spans="5:17" x14ac:dyDescent="0.2">
      <c r="E462" s="538"/>
      <c r="F462" s="538"/>
      <c r="G462" s="537"/>
      <c r="I462" s="537"/>
      <c r="J462" s="537"/>
      <c r="L462" s="553">
        <f>_xll.qlCalendarAdvance(Calendar,L461,"1M","f",,Trigger)</f>
        <v>56201</v>
      </c>
      <c r="M462" s="544">
        <f>_xll.qlCalendarAdvance(Calendar,L462,"3M","f",,Trigger)</f>
        <v>56293</v>
      </c>
      <c r="N462" s="546" t="str">
        <f>_xll.qlMakeDatedOIS(,L462,M462,"eonia",,,,,Trigger)</f>
        <v>obj_00a38#0000</v>
      </c>
      <c r="O462" s="545">
        <f>_xll.qlIndexFixing("euribor6m",_xll.qlInterestRateIndexFixingDate("Euribor6M",L462),TRUE)</f>
        <v>2.1521490254914136E-2</v>
      </c>
      <c r="P462" s="545">
        <f>_xll.qlOvernightIndexedSwapFairRate(N462,Trigger)</f>
        <v>2.1025972671188834E-2</v>
      </c>
      <c r="Q462" s="547">
        <f t="shared" si="11"/>
        <v>4.9551758372530161E-4</v>
      </c>
    </row>
    <row r="463" spans="5:17" x14ac:dyDescent="0.2">
      <c r="E463" s="538"/>
      <c r="F463" s="538"/>
      <c r="G463" s="537"/>
      <c r="I463" s="537"/>
      <c r="J463" s="537"/>
      <c r="L463" s="553">
        <f>_xll.qlCalendarAdvance(Calendar,L462,"1M","f",,Trigger)</f>
        <v>56233</v>
      </c>
      <c r="M463" s="544">
        <f>_xll.qlCalendarAdvance(Calendar,L463,"3M","f",,Trigger)</f>
        <v>56324</v>
      </c>
      <c r="N463" s="546" t="str">
        <f>_xll.qlMakeDatedOIS(,L463,M463,"eonia",,,,,Trigger)</f>
        <v>obj_00a3a#0000</v>
      </c>
      <c r="O463" s="545">
        <f>_xll.qlIndexFixing("euribor6m",_xll.qlInterestRateIndexFixingDate("Euribor6M",L463),TRUE)</f>
        <v>2.1491430699046639E-2</v>
      </c>
      <c r="P463" s="545">
        <f>_xll.qlOvernightIndexedSwapFairRate(N463,Trigger)</f>
        <v>2.1025359763904319E-2</v>
      </c>
      <c r="Q463" s="547">
        <f t="shared" si="11"/>
        <v>4.660709351423202E-4</v>
      </c>
    </row>
    <row r="464" spans="5:17" x14ac:dyDescent="0.2">
      <c r="E464" s="538"/>
      <c r="F464" s="538"/>
      <c r="G464" s="537"/>
      <c r="I464" s="537"/>
      <c r="J464" s="537"/>
      <c r="L464" s="553">
        <f>_xll.qlCalendarAdvance(Calendar,L463,"1M","f",,Trigger)</f>
        <v>56264</v>
      </c>
      <c r="M464" s="544">
        <f>_xll.qlCalendarAdvance(Calendar,L464,"3M","f",,Trigger)</f>
        <v>56354</v>
      </c>
      <c r="N464" s="546" t="str">
        <f>_xll.qlMakeDatedOIS(,L464,M464,"eonia",,,,,Trigger)</f>
        <v>obj_00a3c#0000</v>
      </c>
      <c r="O464" s="545">
        <f>_xll.qlIndexFixing("euribor6m",_xll.qlInterestRateIndexFixingDate("Euribor6M",L464),TRUE)</f>
        <v>2.1461104605745851E-2</v>
      </c>
      <c r="P464" s="545">
        <f>_xll.qlOvernightIndexedSwapFairRate(N464,Trigger)</f>
        <v>2.1024746880431877E-2</v>
      </c>
      <c r="Q464" s="547">
        <f t="shared" si="11"/>
        <v>4.3635772531397388E-4</v>
      </c>
    </row>
    <row r="465" spans="5:17" x14ac:dyDescent="0.2">
      <c r="E465" s="538"/>
      <c r="F465" s="538"/>
      <c r="G465" s="537"/>
      <c r="I465" s="537"/>
      <c r="J465" s="537"/>
      <c r="L465" s="553">
        <f>_xll.qlCalendarAdvance(Calendar,L464,"1M","f",,Trigger)</f>
        <v>56296</v>
      </c>
      <c r="M465" s="544">
        <f>_xll.qlCalendarAdvance(Calendar,L465,"3M","f",,Trigger)</f>
        <v>56387</v>
      </c>
      <c r="N465" s="546" t="str">
        <f>_xll.qlMakeDatedOIS(,L465,M465,"eonia",,,,,Trigger)</f>
        <v>obj_00a3e#0000</v>
      </c>
      <c r="O465" s="545">
        <f>_xll.qlIndexFixing("euribor6m",_xll.qlInterestRateIndexFixingDate("Euribor6M",L465),TRUE)</f>
        <v>2.142911279051599E-2</v>
      </c>
      <c r="P465" s="545">
        <f>_xll.qlOvernightIndexedSwapFairRate(N465,Trigger)</f>
        <v>2.1025359763905196E-2</v>
      </c>
      <c r="Q465" s="547">
        <f t="shared" si="11"/>
        <v>4.0375302661079318E-4</v>
      </c>
    </row>
    <row r="466" spans="5:17" x14ac:dyDescent="0.2">
      <c r="E466" s="538"/>
      <c r="F466" s="538"/>
      <c r="G466" s="537"/>
      <c r="I466" s="537"/>
      <c r="J466" s="537"/>
      <c r="L466" s="553">
        <f>_xll.qlCalendarAdvance(Calendar,L465,"1M","f",,Trigger)</f>
        <v>56324</v>
      </c>
      <c r="M466" s="544">
        <f>_xll.qlCalendarAdvance(Calendar,L466,"3M","f",,Trigger)</f>
        <v>56416</v>
      </c>
      <c r="N466" s="546" t="str">
        <f>_xll.qlMakeDatedOIS(,L466,M466,"eonia",,,,,Trigger)</f>
        <v>obj_00a40#0000</v>
      </c>
      <c r="O466" s="545">
        <f>_xll.qlIndexFixing("euribor6m",_xll.qlInterestRateIndexFixingDate("Euribor6M",L466),TRUE)</f>
        <v>2.1400443508951178E-2</v>
      </c>
      <c r="P466" s="545">
        <f>_xll.qlOvernightIndexedSwapFairRate(N466,Trigger)</f>
        <v>2.1025972671188834E-2</v>
      </c>
      <c r="Q466" s="547">
        <f t="shared" si="11"/>
        <v>3.7447083776234388E-4</v>
      </c>
    </row>
    <row r="467" spans="5:17" x14ac:dyDescent="0.2">
      <c r="E467" s="538"/>
      <c r="F467" s="538"/>
      <c r="G467" s="537"/>
      <c r="I467" s="537"/>
      <c r="J467" s="537"/>
      <c r="L467" s="553">
        <f>_xll.qlCalendarAdvance(Calendar,L466,"1M","f",,Trigger)</f>
        <v>56355</v>
      </c>
      <c r="M467" s="544">
        <f>_xll.qlCalendarAdvance(Calendar,L467,"3M","f",,Trigger)</f>
        <v>56446</v>
      </c>
      <c r="N467" s="546" t="str">
        <f>_xll.qlMakeDatedOIS(,L467,M467,"eonia",,,,,Trigger)</f>
        <v>obj_00a42#0000</v>
      </c>
      <c r="O467" s="545">
        <f>_xll.qlIndexFixing("euribor6m",_xll.qlInterestRateIndexFixingDate("Euribor6M",L467),TRUE)</f>
        <v>2.136771933550137E-2</v>
      </c>
      <c r="P467" s="545">
        <f>_xll.qlOvernightIndexedSwapFairRate(N467,Trigger)</f>
        <v>2.1025359763904319E-2</v>
      </c>
      <c r="Q467" s="547">
        <f t="shared" si="11"/>
        <v>3.4235957159705135E-4</v>
      </c>
    </row>
    <row r="468" spans="5:17" x14ac:dyDescent="0.2">
      <c r="E468" s="538"/>
      <c r="F468" s="538"/>
      <c r="G468" s="537"/>
      <c r="I468" s="537"/>
      <c r="J468" s="537"/>
      <c r="L468" s="553">
        <f>_xll.qlCalendarAdvance(Calendar,L467,"1M","f",,Trigger)</f>
        <v>56387</v>
      </c>
      <c r="M468" s="544">
        <f>_xll.qlCalendarAdvance(Calendar,L468,"3M","f",,Trigger)</f>
        <v>56479</v>
      </c>
      <c r="N468" s="546" t="str">
        <f>_xll.qlMakeDatedOIS(,L468,M468,"eonia",,,,,Trigger)</f>
        <v>obj_00a44#0000</v>
      </c>
      <c r="O468" s="545">
        <f>_xll.qlIndexFixing("euribor6m",_xll.qlInterestRateIndexFixingDate("Euribor6M",L468),TRUE)</f>
        <v>2.1333651744550163E-2</v>
      </c>
      <c r="P468" s="545">
        <f>_xll.qlOvernightIndexedSwapFairRate(N468,Trigger)</f>
        <v>2.1015187139212608E-2</v>
      </c>
      <c r="Q468" s="547">
        <f t="shared" si="11"/>
        <v>3.1846460533755533E-4</v>
      </c>
    </row>
    <row r="469" spans="5:17" x14ac:dyDescent="0.2">
      <c r="E469" s="538"/>
      <c r="F469" s="538"/>
      <c r="G469" s="537"/>
      <c r="I469" s="537"/>
      <c r="J469" s="537"/>
      <c r="L469" s="553">
        <f>_xll.qlCalendarAdvance(Calendar,L468,"1M","f",,Trigger)</f>
        <v>56418</v>
      </c>
      <c r="M469" s="544">
        <f>_xll.qlCalendarAdvance(Calendar,L469,"3M","f",,Trigger)</f>
        <v>56510</v>
      </c>
      <c r="N469" s="546" t="str">
        <f>_xll.qlMakeDatedOIS(,L469,M469,"eonia",,,,,Trigger)</f>
        <v>obj_00a46#0000</v>
      </c>
      <c r="O469" s="545">
        <f>_xll.qlIndexFixing("euribor6m",_xll.qlInterestRateIndexFixingDate("Euribor6M",L469),TRUE)</f>
        <v>2.1300241603716685E-2</v>
      </c>
      <c r="P469" s="545">
        <f>_xll.qlOvernightIndexedSwapFairRate(N469,Trigger)</f>
        <v>2.0680850313924078E-2</v>
      </c>
      <c r="Q469" s="547">
        <f t="shared" si="11"/>
        <v>6.1939128979260696E-4</v>
      </c>
    </row>
    <row r="470" spans="5:17" x14ac:dyDescent="0.2">
      <c r="E470" s="538"/>
      <c r="F470" s="538"/>
      <c r="G470" s="537"/>
      <c r="I470" s="537"/>
      <c r="J470" s="537"/>
      <c r="L470" s="553">
        <f>_xll.qlCalendarAdvance(Calendar,L469,"1M","f",,Trigger)</f>
        <v>56450</v>
      </c>
      <c r="M470" s="544">
        <f>_xll.qlCalendarAdvance(Calendar,L470,"3M","f",,Trigger)</f>
        <v>56542</v>
      </c>
      <c r="N470" s="546" t="str">
        <f>_xll.qlMakeDatedOIS(,L470,M470,"eonia",,,,,Trigger)</f>
        <v>obj_00a48#0000</v>
      </c>
      <c r="O470" s="545">
        <f>_xll.qlIndexFixing("euribor6m",_xll.qlInterestRateIndexFixingDate("Euribor6M",L470),TRUE)</f>
        <v>2.1265951375736572E-2</v>
      </c>
      <c r="P470" s="545">
        <f>_xll.qlOvernightIndexedSwapFairRate(N470,Trigger)</f>
        <v>2.0335758233056365E-2</v>
      </c>
      <c r="Q470" s="547">
        <f t="shared" si="11"/>
        <v>9.3019314268020722E-4</v>
      </c>
    </row>
    <row r="471" spans="5:17" x14ac:dyDescent="0.2">
      <c r="E471" s="538"/>
      <c r="F471" s="538"/>
      <c r="G471" s="537"/>
      <c r="I471" s="537"/>
      <c r="J471" s="537"/>
      <c r="L471" s="553">
        <f>_xll.qlCalendarAdvance(Calendar,L470,"1M","f",,Trigger)</f>
        <v>56481</v>
      </c>
      <c r="M471" s="544">
        <f>_xll.qlCalendarAdvance(Calendar,L471,"3M","f",,Trigger)</f>
        <v>56573</v>
      </c>
      <c r="N471" s="546" t="str">
        <f>_xll.qlMakeDatedOIS(,L471,M471,"eonia",,,,,Trigger)</f>
        <v>obj_00a4a#0000</v>
      </c>
      <c r="O471" s="545">
        <f>_xll.qlIndexFixing("euribor6m",_xll.qlInterestRateIndexFixingDate("Euribor6M",L471),TRUE)</f>
        <v>2.1233091738582534E-2</v>
      </c>
      <c r="P471" s="545">
        <f>_xll.qlOvernightIndexedSwapFairRate(N471,Trigger)</f>
        <v>2.003382749631348E-2</v>
      </c>
      <c r="Q471" s="547">
        <f t="shared" si="11"/>
        <v>1.199264242269054E-3</v>
      </c>
    </row>
    <row r="472" spans="5:17" x14ac:dyDescent="0.2">
      <c r="E472" s="538"/>
      <c r="F472" s="538"/>
      <c r="G472" s="537"/>
      <c r="I472" s="537"/>
      <c r="J472" s="537"/>
      <c r="L472" s="553">
        <f>_xll.qlCalendarAdvance(Calendar,L471,"1M","f",,Trigger)</f>
        <v>56513</v>
      </c>
      <c r="M472" s="544">
        <f>_xll.qlCalendarAdvance(Calendar,L472,"3M","f",,Trigger)</f>
        <v>56604</v>
      </c>
      <c r="N472" s="546" t="str">
        <f>_xll.qlMakeDatedOIS(,L472,M472,"eonia",,,,,Trigger)</f>
        <v>obj_00a4c#0000</v>
      </c>
      <c r="O472" s="545">
        <f>_xll.qlIndexFixing("euribor6m",_xll.qlInterestRateIndexFixingDate("Euribor6M",L472),TRUE)</f>
        <v>2.1198991736215984E-2</v>
      </c>
      <c r="P472" s="545">
        <f>_xll.qlOvernightIndexedSwapFairRate(N472,Trigger)</f>
        <v>2.0033271019048528E-2</v>
      </c>
      <c r="Q472" s="547">
        <f t="shared" si="11"/>
        <v>1.1657207171674559E-3</v>
      </c>
    </row>
    <row r="473" spans="5:17" x14ac:dyDescent="0.2">
      <c r="E473" s="538"/>
      <c r="F473" s="538"/>
      <c r="G473" s="537"/>
      <c r="I473" s="537"/>
      <c r="J473" s="537"/>
      <c r="L473" s="553">
        <f>_xll.qlCalendarAdvance(Calendar,L472,"1M","f",,Trigger)</f>
        <v>56543</v>
      </c>
      <c r="M473" s="544">
        <f>_xll.qlCalendarAdvance(Calendar,L473,"3M","f",,Trigger)</f>
        <v>56635</v>
      </c>
      <c r="N473" s="546" t="str">
        <f>_xll.qlMakeDatedOIS(,L473,M473,"eonia",,,,,Trigger)</f>
        <v>obj_00a4e#0000</v>
      </c>
      <c r="O473" s="545">
        <f>_xll.qlIndexFixing("euribor6m",_xll.qlInterestRateIndexFixingDate("Euribor6M",L473),TRUE)</f>
        <v>2.1167837574357352E-2</v>
      </c>
      <c r="P473" s="545">
        <f>_xll.qlOvernightIndexedSwapFairRate(N473,Trigger)</f>
        <v>2.0033827496312606E-2</v>
      </c>
      <c r="Q473" s="547">
        <f t="shared" si="11"/>
        <v>1.1340100780447455E-3</v>
      </c>
    </row>
    <row r="474" spans="5:17" x14ac:dyDescent="0.2">
      <c r="E474" s="538"/>
      <c r="F474" s="538"/>
      <c r="G474" s="537"/>
      <c r="I474" s="537"/>
      <c r="J474" s="537"/>
      <c r="L474" s="553">
        <f>_xll.qlCalendarAdvance(Calendar,L473,"1M","f",,Trigger)</f>
        <v>56576</v>
      </c>
      <c r="M474" s="544">
        <f>_xll.qlCalendarAdvance(Calendar,L474,"3M","f",,Trigger)</f>
        <v>56668</v>
      </c>
      <c r="N474" s="546" t="str">
        <f>_xll.qlMakeDatedOIS(,L474,M474,"eonia",,,,,Trigger)</f>
        <v>obj_00a50#0000</v>
      </c>
      <c r="O474" s="545">
        <f>_xll.qlIndexFixing("euribor6m",_xll.qlInterestRateIndexFixingDate("Euribor6M",L474),TRUE)</f>
        <v>2.1134055090605841E-2</v>
      </c>
      <c r="P474" s="545">
        <f>_xll.qlOvernightIndexedSwapFairRate(N474,Trigger)</f>
        <v>2.0033827496313484E-2</v>
      </c>
      <c r="Q474" s="547">
        <f t="shared" si="11"/>
        <v>1.1002275942923571E-3</v>
      </c>
    </row>
    <row r="475" spans="5:17" x14ac:dyDescent="0.2">
      <c r="E475" s="538"/>
      <c r="F475" s="538"/>
      <c r="G475" s="537"/>
      <c r="I475" s="537"/>
      <c r="J475" s="537"/>
      <c r="L475" s="553">
        <f>_xll.qlCalendarAdvance(Calendar,L474,"1M","f",,Trigger)</f>
        <v>56606</v>
      </c>
      <c r="M475" s="544">
        <f>_xll.qlCalendarAdvance(Calendar,L475,"3M","f",,Trigger)</f>
        <v>56696</v>
      </c>
      <c r="N475" s="546" t="str">
        <f>_xll.qlMakeDatedOIS(,L475,M475,"eonia",,,,,Trigger)</f>
        <v>obj_00a52#0000</v>
      </c>
      <c r="O475" s="545">
        <f>_xll.qlIndexFixing("euribor6m",_xll.qlInterestRateIndexFixingDate("Euribor6M",L475),TRUE)</f>
        <v>2.110378653366364E-2</v>
      </c>
      <c r="P475" s="545">
        <f>_xll.qlOvernightIndexedSwapFairRate(N475,Trigger)</f>
        <v>2.0032714562384868E-2</v>
      </c>
      <c r="Q475" s="547">
        <f t="shared" si="11"/>
        <v>1.0710719712787725E-3</v>
      </c>
    </row>
    <row r="476" spans="5:17" x14ac:dyDescent="0.2">
      <c r="E476" s="538"/>
      <c r="F476" s="538"/>
      <c r="G476" s="537"/>
      <c r="I476" s="537"/>
      <c r="J476" s="537"/>
      <c r="L476" s="553">
        <f>_xll.qlCalendarAdvance(Calendar,L475,"1M","f",,Trigger)</f>
        <v>56639</v>
      </c>
      <c r="M476" s="544">
        <f>_xll.qlCalendarAdvance(Calendar,L476,"3M","f",,Trigger)</f>
        <v>56730</v>
      </c>
      <c r="N476" s="546" t="str">
        <f>_xll.qlMakeDatedOIS(,L476,M476,"eonia",,,,,Trigger)</f>
        <v>obj_00a54#0000</v>
      </c>
      <c r="O476" s="545">
        <f>_xll.qlIndexFixing("euribor6m",_xll.qlInterestRateIndexFixingDate("Euribor6M",L476),TRUE)</f>
        <v>2.1070978168560735E-2</v>
      </c>
      <c r="P476" s="545">
        <f>_xll.qlOvernightIndexedSwapFairRate(N476,Trigger)</f>
        <v>2.0033271019048532E-2</v>
      </c>
      <c r="Q476" s="547">
        <f t="shared" si="11"/>
        <v>1.0377071495122035E-3</v>
      </c>
    </row>
    <row r="477" spans="5:17" x14ac:dyDescent="0.2">
      <c r="E477" s="538"/>
      <c r="F477" s="538"/>
      <c r="G477" s="537"/>
      <c r="I477" s="537"/>
      <c r="J477" s="537"/>
      <c r="L477" s="553">
        <f>_xll.qlCalendarAdvance(Calendar,L476,"1M","f",,Trigger)</f>
        <v>56670</v>
      </c>
      <c r="M477" s="544">
        <f>_xll.qlCalendarAdvance(Calendar,L477,"3M","f",,Trigger)</f>
        <v>56759</v>
      </c>
      <c r="N477" s="546" t="str">
        <f>_xll.qlMakeDatedOIS(,L477,M477,"eonia",,,,,Trigger)</f>
        <v>obj_00a56#0000</v>
      </c>
      <c r="O477" s="545">
        <f>_xll.qlIndexFixing("euribor6m",_xll.qlInterestRateIndexFixingDate("Euribor6M",L477),TRUE)</f>
        <v>2.1040489189055895E-2</v>
      </c>
      <c r="P477" s="545">
        <f>_xll.qlOvernightIndexedSwapFairRate(N477,Trigger)</f>
        <v>2.0032158126319938E-2</v>
      </c>
      <c r="Q477" s="547">
        <f t="shared" si="11"/>
        <v>1.0083310627359565E-3</v>
      </c>
    </row>
    <row r="478" spans="5:17" x14ac:dyDescent="0.2">
      <c r="E478" s="538"/>
      <c r="F478" s="538"/>
      <c r="G478" s="537"/>
      <c r="I478" s="537"/>
      <c r="J478" s="537"/>
      <c r="L478" s="553">
        <f>_xll.qlCalendarAdvance(Calendar,L477,"1M","f",,Trigger)</f>
        <v>56698</v>
      </c>
      <c r="M478" s="544">
        <f>_xll.qlCalendarAdvance(Calendar,L478,"3M","f",,Trigger)</f>
        <v>56790</v>
      </c>
      <c r="N478" s="546" t="str">
        <f>_xll.qlMakeDatedOIS(,L478,M478,"eonia",,,,,Trigger)</f>
        <v>obj_00a58#0000</v>
      </c>
      <c r="O478" s="545">
        <f>_xll.qlIndexFixing("euribor6m",_xll.qlInterestRateIndexFixingDate("Euribor6M",L478),TRUE)</f>
        <v>2.101414861228483E-2</v>
      </c>
      <c r="P478" s="545">
        <f>_xll.qlOvernightIndexedSwapFairRate(N478,Trigger)</f>
        <v>2.003382749631261E-2</v>
      </c>
      <c r="Q478" s="547">
        <f t="shared" si="11"/>
        <v>9.8032111597222069E-4</v>
      </c>
    </row>
    <row r="479" spans="5:17" x14ac:dyDescent="0.2">
      <c r="E479" s="538"/>
      <c r="F479" s="538"/>
      <c r="G479" s="537"/>
      <c r="I479" s="537"/>
      <c r="J479" s="537"/>
      <c r="L479" s="553">
        <f>_xll.qlCalendarAdvance(Calendar,L478,"1M","f",,Trigger)</f>
        <v>56730</v>
      </c>
      <c r="M479" s="544">
        <f>_xll.qlCalendarAdvance(Calendar,L479,"3M","f",,Trigger)</f>
        <v>56821</v>
      </c>
      <c r="N479" s="546" t="str">
        <f>_xll.qlMakeDatedOIS(,L479,M479,"eonia",,,,,Trigger)</f>
        <v>obj_00a5a#0000</v>
      </c>
      <c r="O479" s="545">
        <f>_xll.qlIndexFixing("euribor6m",_xll.qlInterestRateIndexFixingDate("Euribor6M",L479),TRUE)</f>
        <v>2.0983294531849321E-2</v>
      </c>
      <c r="P479" s="545">
        <f>_xll.qlOvernightIndexedSwapFairRate(N479,Trigger)</f>
        <v>2.0033271019048532E-2</v>
      </c>
      <c r="Q479" s="547">
        <f t="shared" si="11"/>
        <v>9.5002351280078917E-4</v>
      </c>
    </row>
    <row r="480" spans="5:17" x14ac:dyDescent="0.2">
      <c r="E480" s="538"/>
      <c r="F480" s="538"/>
      <c r="G480" s="537"/>
      <c r="I480" s="537"/>
      <c r="J480" s="537"/>
      <c r="L480" s="553">
        <f>_xll.qlCalendarAdvance(Calendar,L479,"1M","f",,Trigger)</f>
        <v>56760</v>
      </c>
      <c r="M480" s="544">
        <f>_xll.qlCalendarAdvance(Calendar,L480,"3M","f",,Trigger)</f>
        <v>56852</v>
      </c>
      <c r="N480" s="546" t="str">
        <f>_xll.qlMakeDatedOIS(,L480,M480,"eonia",,,,,Trigger)</f>
        <v>obj_00a5c#0000</v>
      </c>
      <c r="O480" s="545">
        <f>_xll.qlIndexFixing("euribor6m",_xll.qlInterestRateIndexFixingDate("Euribor6M",L480),TRUE)</f>
        <v>2.0955345973006419E-2</v>
      </c>
      <c r="P480" s="545">
        <f>_xll.qlOvernightIndexedSwapFairRate(N480,Trigger)</f>
        <v>2.003382749631261E-2</v>
      </c>
      <c r="Q480" s="547">
        <f t="shared" si="11"/>
        <v>9.2151847669380907E-4</v>
      </c>
    </row>
    <row r="481" spans="5:17" x14ac:dyDescent="0.2">
      <c r="E481" s="538"/>
      <c r="F481" s="538"/>
      <c r="G481" s="537"/>
      <c r="I481" s="537"/>
      <c r="J481" s="537"/>
      <c r="L481" s="553">
        <f>_xll.qlCalendarAdvance(Calendar,L480,"1M","f",,Trigger)</f>
        <v>56793</v>
      </c>
      <c r="M481" s="544">
        <f>_xll.qlCalendarAdvance(Calendar,L481,"3M","f",,Trigger)</f>
        <v>56885</v>
      </c>
      <c r="N481" s="546" t="str">
        <f>_xll.qlMakeDatedOIS(,L481,M481,"eonia",,,,,Trigger)</f>
        <v>obj_00a5e#0000</v>
      </c>
      <c r="O481" s="545">
        <f>_xll.qlIndexFixing("euribor6m",_xll.qlInterestRateIndexFixingDate("Euribor6M",L481),TRUE)</f>
        <v>2.0924774238138974E-2</v>
      </c>
      <c r="P481" s="545">
        <f>_xll.qlOvernightIndexedSwapFairRate(N481,Trigger)</f>
        <v>2.003382749631261E-2</v>
      </c>
      <c r="Q481" s="547">
        <f t="shared" si="11"/>
        <v>8.9094674182636432E-4</v>
      </c>
    </row>
    <row r="482" spans="5:17" x14ac:dyDescent="0.2">
      <c r="E482" s="538"/>
      <c r="F482" s="538"/>
      <c r="G482" s="537"/>
      <c r="I482" s="537"/>
      <c r="J482" s="537"/>
      <c r="L482" s="553">
        <f>_xll.qlCalendarAdvance(Calendar,L481,"1M","f",,Trigger)</f>
        <v>56823</v>
      </c>
      <c r="M482" s="544">
        <f>_xll.qlCalendarAdvance(Calendar,L482,"3M","f",,Trigger)</f>
        <v>56915</v>
      </c>
      <c r="N482" s="546" t="str">
        <f>_xll.qlMakeDatedOIS(,L482,M482,"eonia",,,,,Trigger)</f>
        <v>obj_00a60#0000</v>
      </c>
      <c r="O482" s="545">
        <f>_xll.qlIndexFixing("euribor6m",_xll.qlInterestRateIndexFixingDate("Euribor6M",L482),TRUE)</f>
        <v>2.0897722482982051E-2</v>
      </c>
      <c r="P482" s="545">
        <f>_xll.qlOvernightIndexedSwapFairRate(N482,Trigger)</f>
        <v>2.003382749631348E-2</v>
      </c>
      <c r="Q482" s="547">
        <f t="shared" si="11"/>
        <v>8.6389498666857023E-4</v>
      </c>
    </row>
    <row r="483" spans="5:17" x14ac:dyDescent="0.2">
      <c r="E483" s="538"/>
      <c r="F483" s="538"/>
      <c r="G483" s="537"/>
      <c r="I483" s="537"/>
      <c r="J483" s="537"/>
      <c r="L483" s="553">
        <f>_xll.qlCalendarAdvance(Calendar,L482,"1M","f",,Trigger)</f>
        <v>56856</v>
      </c>
      <c r="M483" s="544">
        <f>_xll.qlCalendarAdvance(Calendar,L483,"3M","f",,Trigger)</f>
        <v>56948</v>
      </c>
      <c r="N483" s="546" t="str">
        <f>_xll.qlMakeDatedOIS(,L483,M483,"eonia",,,,,Trigger)</f>
        <v>obj_00a62#0000</v>
      </c>
      <c r="O483" s="545">
        <f>_xll.qlIndexFixing("euribor6m",_xll.qlInterestRateIndexFixingDate("Euribor6M",L483),TRUE)</f>
        <v>2.0868113199299779E-2</v>
      </c>
      <c r="P483" s="545">
        <f>_xll.qlOvernightIndexedSwapFairRate(N483,Trigger)</f>
        <v>2.003382749631348E-2</v>
      </c>
      <c r="Q483" s="547">
        <f t="shared" si="11"/>
        <v>8.3428570298629823E-4</v>
      </c>
    </row>
    <row r="484" spans="5:17" x14ac:dyDescent="0.2">
      <c r="E484" s="538"/>
      <c r="F484" s="538"/>
      <c r="G484" s="537"/>
      <c r="I484" s="537"/>
      <c r="J484" s="537"/>
      <c r="L484" s="553">
        <f>_xll.qlCalendarAdvance(Calendar,L483,"1M","f",,Trigger)</f>
        <v>56887</v>
      </c>
      <c r="M484" s="544">
        <f>_xll.qlCalendarAdvance(Calendar,L484,"3M","f",,Trigger)</f>
        <v>56978</v>
      </c>
      <c r="N484" s="546" t="str">
        <f>_xll.qlMakeDatedOIS(,L484,M484,"eonia",,,,,Trigger)</f>
        <v>obj_00a64#0000</v>
      </c>
      <c r="O484" s="545">
        <f>_xll.qlIndexFixing("euribor6m",_xll.qlInterestRateIndexFixingDate("Euribor6M",L484),TRUE)</f>
        <v>2.0840741690072283E-2</v>
      </c>
      <c r="P484" s="545">
        <f>_xll.qlOvernightIndexedSwapFairRate(N484,Trigger)</f>
        <v>2.0033271019048532E-2</v>
      </c>
      <c r="Q484" s="547">
        <f t="shared" si="11"/>
        <v>8.0747067102375156E-4</v>
      </c>
    </row>
    <row r="485" spans="5:17" x14ac:dyDescent="0.2">
      <c r="E485" s="538"/>
      <c r="F485" s="538"/>
      <c r="G485" s="537"/>
      <c r="I485" s="537"/>
      <c r="J485" s="537"/>
      <c r="L485" s="553">
        <f>_xll.qlCalendarAdvance(Calendar,L484,"1M","f",,Trigger)</f>
        <v>56919</v>
      </c>
      <c r="M485" s="544">
        <f>_xll.qlCalendarAdvance(Calendar,L485,"3M","f",,Trigger)</f>
        <v>57011</v>
      </c>
      <c r="N485" s="546" t="str">
        <f>_xll.qlMakeDatedOIS(,L485,M485,"eonia",,,,,Trigger)</f>
        <v>obj_00a66#0000</v>
      </c>
      <c r="O485" s="545">
        <f>_xll.qlIndexFixing("euribor6m",_xll.qlInterestRateIndexFixingDate("Euribor6M",L485),TRUE)</f>
        <v>2.0813311256463848E-2</v>
      </c>
      <c r="P485" s="545">
        <f>_xll.qlOvernightIndexedSwapFairRate(N485,Trigger)</f>
        <v>2.003382749631348E-2</v>
      </c>
      <c r="Q485" s="547">
        <f t="shared" si="11"/>
        <v>7.7948376015036722E-4</v>
      </c>
    </row>
    <row r="486" spans="5:17" x14ac:dyDescent="0.2">
      <c r="E486" s="538"/>
      <c r="F486" s="538"/>
      <c r="G486" s="537"/>
      <c r="I486" s="537"/>
      <c r="J486" s="537"/>
      <c r="L486" s="553">
        <f>_xll.qlCalendarAdvance(Calendar,L485,"1M","f",,Trigger)</f>
        <v>56949</v>
      </c>
      <c r="M486" s="544">
        <f>_xll.qlCalendarAdvance(Calendar,L486,"3M","f",,Trigger)</f>
        <v>57040</v>
      </c>
      <c r="N486" s="546" t="str">
        <f>_xll.qlMakeDatedOIS(,L486,M486,"eonia",,,,,Trigger)</f>
        <v>obj_00a68#0000</v>
      </c>
      <c r="O486" s="545">
        <f>_xll.qlIndexFixing("euribor6m",_xll.qlInterestRateIndexFixingDate("Euribor6M",L486),TRUE)</f>
        <v>2.078786847220104E-2</v>
      </c>
      <c r="P486" s="545">
        <f>_xll.qlOvernightIndexedSwapFairRate(N486,Trigger)</f>
        <v>2.0033271019048532E-2</v>
      </c>
      <c r="Q486" s="547">
        <f t="shared" si="11"/>
        <v>7.5459745315250779E-4</v>
      </c>
    </row>
    <row r="487" spans="5:17" x14ac:dyDescent="0.2">
      <c r="E487" s="538"/>
      <c r="F487" s="538"/>
      <c r="G487" s="537"/>
      <c r="I487" s="537"/>
      <c r="J487" s="537"/>
      <c r="L487" s="553">
        <f>_xll.qlCalendarAdvance(Calendar,L486,"1M","f",,Trigger)</f>
        <v>56982</v>
      </c>
      <c r="M487" s="544">
        <f>_xll.qlCalendarAdvance(Calendar,L487,"3M","f",,Trigger)</f>
        <v>57074</v>
      </c>
      <c r="N487" s="546" t="str">
        <f>_xll.qlMakeDatedOIS(,L487,M487,"eonia",,,,,Trigger)</f>
        <v>obj_00a6a#0000</v>
      </c>
      <c r="O487" s="545">
        <f>_xll.qlIndexFixing("euribor6m",_xll.qlInterestRateIndexFixingDate("Euribor6M",L487),TRUE)</f>
        <v>2.0760177485011241E-2</v>
      </c>
      <c r="P487" s="545">
        <f>_xll.qlOvernightIndexedSwapFairRate(N487,Trigger)</f>
        <v>2.003382749631261E-2</v>
      </c>
      <c r="Q487" s="547">
        <f t="shared" si="11"/>
        <v>7.2634998869863104E-4</v>
      </c>
    </row>
    <row r="488" spans="5:17" x14ac:dyDescent="0.2">
      <c r="E488" s="538"/>
      <c r="F488" s="538"/>
      <c r="G488" s="537"/>
      <c r="I488" s="537"/>
      <c r="J488" s="537"/>
      <c r="L488" s="553">
        <f>_xll.qlCalendarAdvance(Calendar,L487,"1M","f",,Trigger)</f>
        <v>57013</v>
      </c>
      <c r="M488" s="544">
        <f>_xll.qlCalendarAdvance(Calendar,L488,"3M","f",,Trigger)</f>
        <v>57103</v>
      </c>
      <c r="N488" s="546" t="str">
        <f>_xll.qlMakeDatedOIS(,L488,M488,"eonia",,,,,Trigger)</f>
        <v>obj_00a6c#0000</v>
      </c>
      <c r="O488" s="545">
        <f>_xll.qlIndexFixing("euribor6m",_xll.qlInterestRateIndexFixingDate("Euribor6M",L488),TRUE)</f>
        <v>2.0734802726230035E-2</v>
      </c>
      <c r="P488" s="545">
        <f>_xll.qlOvernightIndexedSwapFairRate(N488,Trigger)</f>
        <v>2.003271456238398E-2</v>
      </c>
      <c r="Q488" s="547">
        <f t="shared" si="11"/>
        <v>7.020881638460548E-4</v>
      </c>
    </row>
    <row r="489" spans="5:17" x14ac:dyDescent="0.2">
      <c r="E489" s="538"/>
      <c r="F489" s="538"/>
      <c r="G489" s="537"/>
      <c r="I489" s="537"/>
      <c r="J489" s="537"/>
      <c r="L489" s="553">
        <f>_xll.qlCalendarAdvance(Calendar,L488,"1M","f",,Trigger)</f>
        <v>57042</v>
      </c>
      <c r="M489" s="544">
        <f>_xll.qlCalendarAdvance(Calendar,L489,"3M","f",,Trigger)</f>
        <v>57136</v>
      </c>
      <c r="N489" s="546" t="str">
        <f>_xll.qlMakeDatedOIS(,L489,M489,"eonia",,,,,Trigger)</f>
        <v>obj_00a6e#0000</v>
      </c>
      <c r="O489" s="545">
        <f>_xll.qlIndexFixing("euribor6m",_xll.qlInterestRateIndexFixingDate("Euribor6M",L489),TRUE)</f>
        <v>2.0712078943564003E-2</v>
      </c>
      <c r="P489" s="545">
        <f>_xll.qlOvernightIndexedSwapFairRate(N489,Trigger)</f>
        <v>2.0034940512647505E-2</v>
      </c>
      <c r="Q489" s="547">
        <f t="shared" si="11"/>
        <v>6.7713843091649767E-4</v>
      </c>
    </row>
    <row r="490" spans="5:17" x14ac:dyDescent="0.2">
      <c r="E490" s="538"/>
      <c r="F490" s="538"/>
      <c r="G490" s="537"/>
      <c r="I490" s="537"/>
      <c r="J490" s="537"/>
      <c r="L490" s="553">
        <f>_xll.qlCalendarAdvance(Calendar,L489,"1M","f",,Trigger)</f>
        <v>57074</v>
      </c>
      <c r="M490" s="544">
        <f>_xll.qlCalendarAdvance(Calendar,L490,"3M","f",,Trigger)</f>
        <v>57165</v>
      </c>
      <c r="N490" s="546" t="str">
        <f>_xll.qlMakeDatedOIS(,L490,M490,"eonia",,,,,Trigger)</f>
        <v>obj_00a70#0000</v>
      </c>
      <c r="O490" s="545">
        <f>_xll.qlIndexFixing("euribor6m",_xll.qlInterestRateIndexFixingDate("Euribor6M",L490),TRUE)</f>
        <v>2.0686393807087956E-2</v>
      </c>
      <c r="P490" s="545">
        <f>_xll.qlOvernightIndexedSwapFairRate(N490,Trigger)</f>
        <v>2.0033271019047654E-2</v>
      </c>
      <c r="Q490" s="547">
        <f t="shared" si="11"/>
        <v>6.5312278804030219E-4</v>
      </c>
    </row>
    <row r="491" spans="5:17" x14ac:dyDescent="0.2">
      <c r="E491" s="538"/>
      <c r="F491" s="538"/>
      <c r="G491" s="537"/>
      <c r="I491" s="537"/>
      <c r="J491" s="537"/>
      <c r="L491" s="553">
        <f>_xll.qlCalendarAdvance(Calendar,L490,"1M","f",,Trigger)</f>
        <v>57104</v>
      </c>
      <c r="M491" s="544">
        <f>_xll.qlCalendarAdvance(Calendar,L491,"3M","f",,Trigger)</f>
        <v>57196</v>
      </c>
      <c r="N491" s="546" t="str">
        <f>_xll.qlMakeDatedOIS(,L491,M491,"eonia",,,,,Trigger)</f>
        <v>obj_00a72#0000</v>
      </c>
      <c r="O491" s="545">
        <f>_xll.qlIndexFixing("euribor6m",_xll.qlInterestRateIndexFixingDate("Euribor6M",L491),TRUE)</f>
        <v>2.0663770792214188E-2</v>
      </c>
      <c r="P491" s="545">
        <f>_xll.qlOvernightIndexedSwapFairRate(N491,Trigger)</f>
        <v>2.003382749631261E-2</v>
      </c>
      <c r="Q491" s="547">
        <f t="shared" si="11"/>
        <v>6.2994329590157841E-4</v>
      </c>
    </row>
    <row r="492" spans="5:17" x14ac:dyDescent="0.2">
      <c r="E492" s="538"/>
      <c r="F492" s="538"/>
      <c r="G492" s="537"/>
      <c r="I492" s="537"/>
      <c r="J492" s="537"/>
      <c r="L492" s="553">
        <f>_xll.qlCalendarAdvance(Calendar,L491,"1M","f",,Trigger)</f>
        <v>57136</v>
      </c>
      <c r="M492" s="544">
        <f>_xll.qlCalendarAdvance(Calendar,L492,"3M","f",,Trigger)</f>
        <v>57228</v>
      </c>
      <c r="N492" s="546" t="str">
        <f>_xll.qlMakeDatedOIS(,L492,M492,"eonia",,,,,Trigger)</f>
        <v>obj_00a74#0000</v>
      </c>
      <c r="O492" s="545">
        <f>_xll.qlIndexFixing("euribor6m",_xll.qlInterestRateIndexFixingDate("Euribor6M",L492),TRUE)</f>
        <v>2.0638777036339061E-2</v>
      </c>
      <c r="P492" s="545">
        <f>_xll.qlOvernightIndexedSwapFairRate(N492,Trigger)</f>
        <v>2.003382749631261E-2</v>
      </c>
      <c r="Q492" s="547">
        <f t="shared" si="11"/>
        <v>6.049495400264511E-4</v>
      </c>
    </row>
    <row r="493" spans="5:17" x14ac:dyDescent="0.2">
      <c r="E493" s="538"/>
      <c r="F493" s="538"/>
      <c r="G493" s="537"/>
      <c r="I493" s="537"/>
      <c r="J493" s="537"/>
      <c r="L493" s="553">
        <f>_xll.qlCalendarAdvance(Calendar,L492,"1M","f",,Trigger)</f>
        <v>57166</v>
      </c>
      <c r="M493" s="544">
        <f>_xll.qlCalendarAdvance(Calendar,L493,"3M","f",,Trigger)</f>
        <v>57258</v>
      </c>
      <c r="N493" s="546" t="str">
        <f>_xll.qlMakeDatedOIS(,L493,M493,"eonia",,,,,Trigger)</f>
        <v>obj_00a76#0000</v>
      </c>
      <c r="O493" s="545">
        <f>_xll.qlIndexFixing("euribor6m",_xll.qlInterestRateIndexFixingDate("Euribor6M",L493),TRUE)</f>
        <v>2.0616608600613352E-2</v>
      </c>
      <c r="P493" s="545">
        <f>_xll.qlOvernightIndexedSwapFairRate(N493,Trigger)</f>
        <v>2.003382749631261E-2</v>
      </c>
      <c r="Q493" s="547">
        <f t="shared" si="11"/>
        <v>5.8278110430074262E-4</v>
      </c>
    </row>
    <row r="494" spans="5:17" x14ac:dyDescent="0.2">
      <c r="E494" s="538"/>
      <c r="F494" s="538"/>
      <c r="G494" s="537"/>
      <c r="I494" s="537"/>
      <c r="J494" s="537"/>
      <c r="L494" s="553">
        <f>_xll.qlCalendarAdvance(Calendar,L493,"1M","f",,Trigger)</f>
        <v>57199</v>
      </c>
      <c r="M494" s="544">
        <f>_xll.qlCalendarAdvance(Calendar,L494,"3M","f",,Trigger)</f>
        <v>57291</v>
      </c>
      <c r="N494" s="546" t="str">
        <f>_xll.qlMakeDatedOIS(,L494,M494,"eonia",,,,,Trigger)</f>
        <v>obj_00a78#0000</v>
      </c>
      <c r="O494" s="545">
        <f>_xll.qlIndexFixing("euribor6m",_xll.qlInterestRateIndexFixingDate("Euribor6M",L494),TRUE)</f>
        <v>2.0592468062213775E-2</v>
      </c>
      <c r="P494" s="545">
        <f>_xll.qlOvernightIndexedSwapFairRate(N494,Trigger)</f>
        <v>2.003382749631261E-2</v>
      </c>
      <c r="Q494" s="547">
        <f t="shared" si="11"/>
        <v>5.5864056590116534E-4</v>
      </c>
    </row>
    <row r="495" spans="5:17" x14ac:dyDescent="0.2">
      <c r="E495" s="538"/>
      <c r="F495" s="538"/>
      <c r="G495" s="537"/>
      <c r="I495" s="537"/>
      <c r="J495" s="537"/>
      <c r="L495" s="553">
        <f>_xll.qlCalendarAdvance(Calendar,L494,"1M","f",,Trigger)</f>
        <v>57230</v>
      </c>
      <c r="M495" s="544">
        <f>_xll.qlCalendarAdvance(Calendar,L495,"3M","f",,Trigger)</f>
        <v>57321</v>
      </c>
      <c r="N495" s="546" t="str">
        <f>_xll.qlMakeDatedOIS(,L495,M495,"eonia",,,,,Trigger)</f>
        <v>obj_00a7a#0000</v>
      </c>
      <c r="O495" s="545">
        <f>_xll.qlIndexFixing("euribor6m",_xll.qlInterestRateIndexFixingDate("Euribor6M",L495),TRUE)</f>
        <v>2.0569541193925359E-2</v>
      </c>
      <c r="P495" s="545">
        <f>_xll.qlOvernightIndexedSwapFairRate(N495,Trigger)</f>
        <v>2.0033271019048532E-2</v>
      </c>
      <c r="Q495" s="547">
        <f t="shared" si="11"/>
        <v>5.3627017487682671E-4</v>
      </c>
    </row>
    <row r="496" spans="5:17" x14ac:dyDescent="0.2">
      <c r="E496" s="538"/>
      <c r="F496" s="538"/>
      <c r="G496" s="537"/>
      <c r="I496" s="537"/>
      <c r="J496" s="537"/>
      <c r="L496" s="553">
        <f>_xll.qlCalendarAdvance(Calendar,L495,"1M","f",,Trigger)</f>
        <v>57262</v>
      </c>
      <c r="M496" s="544">
        <f>_xll.qlCalendarAdvance(Calendar,L496,"3M","f",,Trigger)</f>
        <v>57354</v>
      </c>
      <c r="N496" s="546" t="str">
        <f>_xll.qlMakeDatedOIS(,L496,M496,"eonia",,,,,Trigger)</f>
        <v>obj_00a7c#0000</v>
      </c>
      <c r="O496" s="545">
        <f>_xll.qlIndexFixing("euribor6m",_xll.qlInterestRateIndexFixingDate("Euribor6M",L496),TRUE)</f>
        <v>2.0547309022191075E-2</v>
      </c>
      <c r="P496" s="545">
        <f>_xll.qlOvernightIndexedSwapFairRate(N496,Trigger)</f>
        <v>2.0033827496313477E-2</v>
      </c>
      <c r="Q496" s="547">
        <f t="shared" si="11"/>
        <v>5.1348152587759807E-4</v>
      </c>
    </row>
    <row r="497" spans="5:17" x14ac:dyDescent="0.2">
      <c r="E497" s="538"/>
      <c r="F497" s="538"/>
      <c r="G497" s="537"/>
      <c r="I497" s="537"/>
      <c r="J497" s="537"/>
      <c r="L497" s="553">
        <f>_xll.qlCalendarAdvance(Calendar,L496,"1M","f",,Trigger)</f>
        <v>57293</v>
      </c>
      <c r="M497" s="544">
        <f>_xll.qlCalendarAdvance(Calendar,L497,"3M","f",,Trigger)</f>
        <v>57385</v>
      </c>
      <c r="N497" s="546" t="str">
        <f>_xll.qlMakeDatedOIS(,L497,M497,"eonia",,,,,Trigger)</f>
        <v>obj_00a7e#0000</v>
      </c>
      <c r="O497" s="545">
        <f>_xll.qlIndexFixing("euribor6m",_xll.qlInterestRateIndexFixingDate("Euribor6M",L497),TRUE)</f>
        <v>2.0525748281179933E-2</v>
      </c>
      <c r="P497" s="545">
        <f>_xll.qlOvernightIndexedSwapFairRate(N497,Trigger)</f>
        <v>2.0033827496313477E-2</v>
      </c>
      <c r="Q497" s="547">
        <f t="shared" si="11"/>
        <v>4.9192078486645641E-4</v>
      </c>
    </row>
    <row r="498" spans="5:17" x14ac:dyDescent="0.2">
      <c r="E498" s="538"/>
      <c r="F498" s="538"/>
      <c r="G498" s="537"/>
      <c r="I498" s="537"/>
      <c r="J498" s="537"/>
      <c r="L498" s="553">
        <f>_xll.qlCalendarAdvance(Calendar,L497,"1M","f",,Trigger)</f>
        <v>57325</v>
      </c>
      <c r="M498" s="544">
        <f>_xll.qlCalendarAdvance(Calendar,L498,"3M","f",,Trigger)</f>
        <v>57416</v>
      </c>
      <c r="N498" s="546" t="str">
        <f>_xll.qlMakeDatedOIS(,L498,M498,"eonia",,,,,Trigger)</f>
        <v>obj_00a80#0000</v>
      </c>
      <c r="O498" s="545">
        <f>_xll.qlIndexFixing("euribor6m",_xll.qlInterestRateIndexFixingDate("Euribor6M",L498),TRUE)</f>
        <v>2.0504472144423479E-2</v>
      </c>
      <c r="P498" s="545">
        <f>_xll.qlOvernightIndexedSwapFairRate(N498,Trigger)</f>
        <v>2.0033271019048525E-2</v>
      </c>
      <c r="Q498" s="547">
        <f t="shared" si="11"/>
        <v>4.7120112537495443E-4</v>
      </c>
    </row>
    <row r="499" spans="5:17" x14ac:dyDescent="0.2">
      <c r="E499" s="538"/>
      <c r="F499" s="538"/>
      <c r="G499" s="537"/>
      <c r="I499" s="537"/>
      <c r="J499" s="537"/>
      <c r="L499" s="553">
        <f>_xll.qlCalendarAdvance(Calendar,L498,"1M","f",,Trigger)</f>
        <v>57356</v>
      </c>
      <c r="M499" s="544">
        <f>_xll.qlCalendarAdvance(Calendar,L499,"3M","f",,Trigger)</f>
        <v>57446</v>
      </c>
      <c r="N499" s="546" t="str">
        <f>_xll.qlMakeDatedOIS(,L499,M499,"eonia",,,,,Trigger)</f>
        <v>obj_00a82#0000</v>
      </c>
      <c r="O499" s="545">
        <f>_xll.qlIndexFixing("euribor6m",_xll.qlInterestRateIndexFixingDate("Euribor6M",L499),TRUE)</f>
        <v>2.0483813286972199E-2</v>
      </c>
      <c r="P499" s="545">
        <f>_xll.qlOvernightIndexedSwapFairRate(N499,Trigger)</f>
        <v>2.003271456238398E-2</v>
      </c>
      <c r="Q499" s="547">
        <f t="shared" si="11"/>
        <v>4.5109872458821976E-4</v>
      </c>
    </row>
    <row r="500" spans="5:17" x14ac:dyDescent="0.2">
      <c r="E500" s="538"/>
      <c r="F500" s="538"/>
      <c r="G500" s="537"/>
      <c r="I500" s="537"/>
      <c r="J500" s="537"/>
      <c r="L500" s="553">
        <f>_xll.qlCalendarAdvance(Calendar,L499,"1M","f",,Trigger)</f>
        <v>57388</v>
      </c>
      <c r="M500" s="544">
        <f>_xll.qlCalendarAdvance(Calendar,L500,"3M","f",,Trigger)</f>
        <v>57479</v>
      </c>
      <c r="N500" s="546" t="str">
        <f>_xll.qlMakeDatedOIS(,L500,M500,"eonia",,,,,Trigger)</f>
        <v>obj_00a84#0000</v>
      </c>
      <c r="O500" s="545">
        <f>_xll.qlIndexFixing("euribor6m",_xll.qlInterestRateIndexFixingDate("Euribor6M",L500),TRUE)</f>
        <v>2.0463493234680146E-2</v>
      </c>
      <c r="P500" s="545">
        <f>_xll.qlOvernightIndexedSwapFairRate(N500,Trigger)</f>
        <v>2.0033271019047654E-2</v>
      </c>
      <c r="Q500" s="547">
        <f t="shared" si="11"/>
        <v>4.3022221563249197E-4</v>
      </c>
    </row>
    <row r="501" spans="5:17" x14ac:dyDescent="0.2">
      <c r="E501" s="538"/>
      <c r="F501" s="538"/>
      <c r="G501" s="537"/>
      <c r="I501" s="537"/>
      <c r="J501" s="537"/>
      <c r="L501" s="553">
        <f>_xll.qlCalendarAdvance(Calendar,L500,"1M","f",,Trigger)</f>
        <v>57416</v>
      </c>
      <c r="M501" s="544">
        <f>_xll.qlCalendarAdvance(Calendar,L501,"3M","f",,Trigger)</f>
        <v>57508</v>
      </c>
      <c r="N501" s="546" t="str">
        <f>_xll.qlMakeDatedOIS(,L501,M501,"eonia",,,,,Trigger)</f>
        <v>obj_00a86#0000</v>
      </c>
      <c r="O501" s="545">
        <f>_xll.qlIndexFixing("euribor6m",_xll.qlInterestRateIndexFixingDate("Euribor6M",L501),TRUE)</f>
        <v>2.0446425837532874E-2</v>
      </c>
      <c r="P501" s="545">
        <f>_xll.qlOvernightIndexedSwapFairRate(N501,Trigger)</f>
        <v>2.003382749631261E-2</v>
      </c>
      <c r="Q501" s="547">
        <f t="shared" si="11"/>
        <v>4.1259834122026398E-4</v>
      </c>
    </row>
    <row r="502" spans="5:17" x14ac:dyDescent="0.2">
      <c r="E502" s="538"/>
      <c r="F502" s="538"/>
      <c r="G502" s="537"/>
      <c r="I502" s="537"/>
      <c r="J502" s="537"/>
      <c r="L502" s="553">
        <f>_xll.qlCalendarAdvance(Calendar,L501,"1M","f",,Trigger)</f>
        <v>57447</v>
      </c>
      <c r="M502" s="544">
        <f>_xll.qlCalendarAdvance(Calendar,L502,"3M","f",,Trigger)</f>
        <v>57538</v>
      </c>
      <c r="N502" s="546" t="str">
        <f>_xll.qlMakeDatedOIS(,L502,M502,"eonia",,,,,Trigger)</f>
        <v>obj_00a88#0000</v>
      </c>
      <c r="O502" s="545">
        <f>_xll.qlIndexFixing("euribor6m",_xll.qlInterestRateIndexFixingDate("Euribor6M",L502),TRUE)</f>
        <v>2.042708147745748E-2</v>
      </c>
      <c r="P502" s="545">
        <f>_xll.qlOvernightIndexedSwapFairRate(N502,Trigger)</f>
        <v>2.0033271019047654E-2</v>
      </c>
      <c r="Q502" s="547">
        <f t="shared" si="11"/>
        <v>3.9381045840982537E-4</v>
      </c>
    </row>
    <row r="503" spans="5:17" x14ac:dyDescent="0.2">
      <c r="E503" s="538"/>
      <c r="F503" s="538"/>
      <c r="G503" s="537"/>
      <c r="I503" s="537"/>
      <c r="J503" s="537"/>
      <c r="L503" s="553">
        <f>_xll.qlCalendarAdvance(Calendar,L502,"1M","f",,Trigger)</f>
        <v>57479</v>
      </c>
      <c r="M503" s="544">
        <f>_xll.qlCalendarAdvance(Calendar,L503,"3M","f",,Trigger)</f>
        <v>57571</v>
      </c>
      <c r="N503" s="546" t="str">
        <f>_xll.qlMakeDatedOIS(,L503,M503,"eonia",,,,,Trigger)</f>
        <v>obj_00a8a#0000</v>
      </c>
      <c r="O503" s="545">
        <f>_xll.qlIndexFixing("euribor6m",_xll.qlInterestRateIndexFixingDate("Euribor6M",L503),TRUE)</f>
        <v>2.0408155626507885E-2</v>
      </c>
      <c r="P503" s="545">
        <f>_xll.qlOvernightIndexedSwapFairRate(N503,Trigger)</f>
        <v>2.0033827496312613E-2</v>
      </c>
      <c r="Q503" s="547">
        <f t="shared" si="11"/>
        <v>3.7432813019527139E-4</v>
      </c>
    </row>
    <row r="504" spans="5:17" x14ac:dyDescent="0.2">
      <c r="E504" s="538"/>
      <c r="F504" s="538"/>
      <c r="G504" s="537"/>
      <c r="I504" s="537"/>
      <c r="J504" s="537"/>
      <c r="L504" s="553">
        <f>_xll.qlCalendarAdvance(Calendar,L503,"1M","f",,Trigger)</f>
        <v>57510</v>
      </c>
      <c r="M504" s="544">
        <f>_xll.qlCalendarAdvance(Calendar,L504,"3M","f",,Trigger)</f>
        <v>57602</v>
      </c>
      <c r="N504" s="546" t="str">
        <f>_xll.qlMakeDatedOIS(,L504,M504,"eonia",,,,,Trigger)</f>
        <v>obj_00a8c#0000</v>
      </c>
      <c r="O504" s="545">
        <f>_xll.qlIndexFixing("euribor6m",_xll.qlInterestRateIndexFixingDate("Euribor6M",L504),TRUE)</f>
        <v>2.0389712853328426E-2</v>
      </c>
      <c r="P504" s="545">
        <f>_xll.qlOvernightIndexedSwapFairRate(N504,Trigger)</f>
        <v>2.003382749631261E-2</v>
      </c>
      <c r="Q504" s="547">
        <f t="shared" si="11"/>
        <v>3.5588535701581644E-4</v>
      </c>
    </row>
    <row r="505" spans="5:17" x14ac:dyDescent="0.2">
      <c r="E505" s="538"/>
      <c r="F505" s="538"/>
      <c r="G505" s="537"/>
      <c r="I505" s="537"/>
      <c r="J505" s="537"/>
      <c r="L505" s="553">
        <f>_xll.qlCalendarAdvance(Calendar,L504,"1M","f",,Trigger)</f>
        <v>57542</v>
      </c>
      <c r="M505" s="544">
        <f>_xll.qlCalendarAdvance(Calendar,L505,"3M","f",,Trigger)</f>
        <v>57634</v>
      </c>
      <c r="N505" s="546" t="str">
        <f>_xll.qlMakeDatedOIS(,L505,M505,"eonia",,,,,Trigger)</f>
        <v>obj_00a8e#0000</v>
      </c>
      <c r="O505" s="545">
        <f>_xll.qlIndexFixing("euribor6m",_xll.qlInterestRateIndexFixingDate("Euribor6M",L505),TRUE)</f>
        <v>2.037174332894337E-2</v>
      </c>
      <c r="P505" s="545">
        <f>_xll.qlOvernightIndexedSwapFairRate(N505,Trigger)</f>
        <v>2.003382749631348E-2</v>
      </c>
      <c r="Q505" s="547">
        <f t="shared" si="11"/>
        <v>3.3791583262988978E-4</v>
      </c>
    </row>
    <row r="506" spans="5:17" x14ac:dyDescent="0.2">
      <c r="E506" s="538"/>
      <c r="F506" s="538"/>
      <c r="G506" s="537"/>
      <c r="I506" s="537"/>
      <c r="J506" s="537"/>
      <c r="L506" s="553">
        <f>_xll.qlCalendarAdvance(Calendar,L505,"1M","f",,Trigger)</f>
        <v>57573</v>
      </c>
      <c r="M506" s="544">
        <f>_xll.qlCalendarAdvance(Calendar,L506,"3M","f",,Trigger)</f>
        <v>57665</v>
      </c>
      <c r="N506" s="546" t="str">
        <f>_xll.qlMakeDatedOIS(,L506,M506,"eonia",,,,,Trigger)</f>
        <v>obj_00a90#0000</v>
      </c>
      <c r="O506" s="545">
        <f>_xll.qlIndexFixing("euribor6m",_xll.qlInterestRateIndexFixingDate("Euribor6M",L506),TRUE)</f>
        <v>2.0355120972086683E-2</v>
      </c>
      <c r="P506" s="545">
        <f>_xll.qlOvernightIndexedSwapFairRate(N506,Trigger)</f>
        <v>2.003382749631261E-2</v>
      </c>
      <c r="Q506" s="547">
        <f t="shared" si="11"/>
        <v>3.2129347577407319E-4</v>
      </c>
    </row>
    <row r="507" spans="5:17" x14ac:dyDescent="0.2">
      <c r="E507" s="538"/>
      <c r="F507" s="538"/>
      <c r="G507" s="537"/>
      <c r="I507" s="537"/>
      <c r="J507" s="537"/>
      <c r="L507" s="553">
        <f>_xll.qlCalendarAdvance(Calendar,L506,"1M","f",,Trigger)</f>
        <v>57605</v>
      </c>
      <c r="M507" s="544">
        <f>_xll.qlCalendarAdvance(Calendar,L507,"3M","f",,Trigger)</f>
        <v>57696</v>
      </c>
      <c r="N507" s="546" t="str">
        <f>_xll.qlMakeDatedOIS(,L507,M507,"eonia",,,,,Trigger)</f>
        <v>obj_00a92#0000</v>
      </c>
      <c r="O507" s="545">
        <f>_xll.qlIndexFixing("euribor6m",_xll.qlInterestRateIndexFixingDate("Euribor6M",L507),TRUE)</f>
        <v>2.0336563597176248E-2</v>
      </c>
      <c r="P507" s="545">
        <f>_xll.qlOvernightIndexedSwapFairRate(N507,Trigger)</f>
        <v>2.0033271019048528E-2</v>
      </c>
      <c r="Q507" s="547">
        <f t="shared" si="11"/>
        <v>3.0329257812771945E-4</v>
      </c>
    </row>
    <row r="508" spans="5:17" x14ac:dyDescent="0.2">
      <c r="E508" s="538"/>
      <c r="F508" s="538"/>
      <c r="G508" s="537"/>
      <c r="I508" s="537"/>
      <c r="J508" s="537"/>
      <c r="L508" s="553">
        <f>_xll.qlCalendarAdvance(Calendar,L507,"1M","f",,Trigger)</f>
        <v>57635</v>
      </c>
      <c r="M508" s="544">
        <f>_xll.qlCalendarAdvance(Calendar,L508,"3M","f",,Trigger)</f>
        <v>57727</v>
      </c>
      <c r="N508" s="546" t="str">
        <f>_xll.qlMakeDatedOIS(,L508,M508,"eonia",,,,,Trigger)</f>
        <v>obj_00a94#0000</v>
      </c>
      <c r="O508" s="545">
        <f>_xll.qlIndexFixing("euribor6m",_xll.qlInterestRateIndexFixingDate("Euribor6M",L508),TRUE)</f>
        <v>2.0320749758845114E-2</v>
      </c>
      <c r="P508" s="545">
        <f>_xll.qlOvernightIndexedSwapFairRate(N508,Trigger)</f>
        <v>2.003382749631348E-2</v>
      </c>
      <c r="Q508" s="547">
        <f t="shared" si="11"/>
        <v>2.869222625316338E-4</v>
      </c>
    </row>
    <row r="509" spans="5:17" x14ac:dyDescent="0.2">
      <c r="E509" s="538"/>
      <c r="F509" s="538"/>
      <c r="G509" s="537"/>
      <c r="I509" s="537"/>
      <c r="J509" s="537"/>
      <c r="L509" s="553">
        <f>_xll.qlCalendarAdvance(Calendar,L508,"1M","f",,Trigger)</f>
        <v>57668</v>
      </c>
      <c r="M509" s="544">
        <f>_xll.qlCalendarAdvance(Calendar,L509,"3M","f",,Trigger)</f>
        <v>57760</v>
      </c>
      <c r="N509" s="546" t="str">
        <f>_xll.qlMakeDatedOIS(,L509,M509,"eonia",,,,,Trigger)</f>
        <v>obj_00a96#0000</v>
      </c>
      <c r="O509" s="545">
        <f>_xll.qlIndexFixing("euribor6m",_xll.qlInterestRateIndexFixingDate("Euribor6M",L509),TRUE)</f>
        <v>2.0303841012735913E-2</v>
      </c>
      <c r="P509" s="545">
        <f>_xll.qlOvernightIndexedSwapFairRate(N509,Trigger)</f>
        <v>2.0033827496312613E-2</v>
      </c>
      <c r="Q509" s="547">
        <f t="shared" si="11"/>
        <v>2.7001351642329946E-4</v>
      </c>
    </row>
    <row r="510" spans="5:17" x14ac:dyDescent="0.2">
      <c r="E510" s="538"/>
      <c r="F510" s="538"/>
      <c r="G510" s="537"/>
      <c r="I510" s="537"/>
      <c r="J510" s="537"/>
      <c r="L510" s="553">
        <f>_xll.qlCalendarAdvance(Calendar,L509,"1M","f",,Trigger)</f>
        <v>57698</v>
      </c>
      <c r="M510" s="544">
        <f>_xll.qlCalendarAdvance(Calendar,L510,"3M","f",,Trigger)</f>
        <v>57788</v>
      </c>
      <c r="N510" s="546" t="str">
        <f>_xll.qlMakeDatedOIS(,L510,M510,"eonia",,,,,Trigger)</f>
        <v>obj_00a98#0000</v>
      </c>
      <c r="O510" s="545">
        <f>_xll.qlIndexFixing("euribor6m",_xll.qlInterestRateIndexFixingDate("Euribor6M",L510),TRUE)</f>
        <v>2.0288911665777232E-2</v>
      </c>
      <c r="P510" s="545">
        <f>_xll.qlOvernightIndexedSwapFairRate(N510,Trigger)</f>
        <v>2.0032714562384868E-2</v>
      </c>
      <c r="Q510" s="547">
        <f t="shared" si="11"/>
        <v>2.5619710339236379E-4</v>
      </c>
    </row>
    <row r="511" spans="5:17" x14ac:dyDescent="0.2">
      <c r="E511" s="538"/>
      <c r="F511" s="538"/>
      <c r="G511" s="537"/>
      <c r="I511" s="537"/>
      <c r="J511" s="537"/>
      <c r="L511" s="553">
        <f>_xll.qlCalendarAdvance(Calendar,L510,"1M","f",,Trigger)</f>
        <v>57731</v>
      </c>
      <c r="M511" s="544">
        <f>_xll.qlCalendarAdvance(Calendar,L511,"3M","f",,Trigger)</f>
        <v>57822</v>
      </c>
      <c r="N511" s="546" t="str">
        <f>_xll.qlMakeDatedOIS(,L511,M511,"eonia",,,,,Trigger)</f>
        <v>obj_00a9a#0000</v>
      </c>
      <c r="O511" s="545">
        <f>_xll.qlIndexFixing("euribor6m",_xll.qlInterestRateIndexFixingDate("Euribor6M",L511),TRUE)</f>
        <v>2.0272975836951472E-2</v>
      </c>
      <c r="P511" s="545">
        <f>_xll.qlOvernightIndexedSwapFairRate(N511,Trigger)</f>
        <v>2.0033271019048532E-2</v>
      </c>
      <c r="Q511" s="547">
        <f t="shared" si="11"/>
        <v>2.3970481790294013E-4</v>
      </c>
    </row>
    <row r="512" spans="5:17" x14ac:dyDescent="0.2">
      <c r="E512" s="538"/>
      <c r="F512" s="538"/>
      <c r="G512" s="537"/>
      <c r="I512" s="537"/>
      <c r="J512" s="537"/>
      <c r="L512" s="553">
        <f>_xll.qlCalendarAdvance(Calendar,L511,"1M","f",,Trigger)</f>
        <v>57762</v>
      </c>
      <c r="M512" s="544">
        <f>_xll.qlCalendarAdvance(Calendar,L512,"3M","f",,Trigger)</f>
        <v>57851</v>
      </c>
      <c r="N512" s="546" t="str">
        <f>_xll.qlMakeDatedOIS(,L512,M512,"eonia",,,,,Trigger)</f>
        <v>obj_00a9c#0000</v>
      </c>
      <c r="O512" s="545">
        <f>_xll.qlIndexFixing("euribor6m",_xll.qlInterestRateIndexFixingDate("Euribor6M",L512),TRUE)</f>
        <v>2.025812527653343E-2</v>
      </c>
      <c r="P512" s="545">
        <f>_xll.qlOvernightIndexedSwapFairRate(N512,Trigger)</f>
        <v>2.0032158126320841E-2</v>
      </c>
      <c r="Q512" s="547">
        <f t="shared" si="11"/>
        <v>2.2596715021258942E-4</v>
      </c>
    </row>
    <row r="513" spans="5:17" x14ac:dyDescent="0.2">
      <c r="E513" s="538"/>
      <c r="F513" s="538"/>
      <c r="G513" s="537"/>
      <c r="I513" s="537"/>
      <c r="J513" s="537"/>
      <c r="L513" s="553">
        <f>_xll.qlCalendarAdvance(Calendar,L512,"1M","f",,Trigger)</f>
        <v>57790</v>
      </c>
      <c r="M513" s="544">
        <f>_xll.qlCalendarAdvance(Calendar,L513,"3M","f",,Trigger)</f>
        <v>57882</v>
      </c>
      <c r="N513" s="546" t="str">
        <f>_xll.qlMakeDatedOIS(,L513,M513,"eonia",,,,,Trigger)</f>
        <v>obj_00a9e#0000</v>
      </c>
      <c r="O513" s="545">
        <f>_xll.qlIndexFixing("euribor6m",_xll.qlInterestRateIndexFixingDate("Euribor6M",L513),TRUE)</f>
        <v>2.024715843338409E-2</v>
      </c>
      <c r="P513" s="545">
        <f>_xll.qlOvernightIndexedSwapFairRate(N513,Trigger)</f>
        <v>2.0033827496311742E-2</v>
      </c>
      <c r="Q513" s="547">
        <f t="shared" si="11"/>
        <v>2.1333093707234796E-4</v>
      </c>
    </row>
    <row r="514" spans="5:17" x14ac:dyDescent="0.2">
      <c r="E514" s="538"/>
      <c r="F514" s="538"/>
      <c r="G514" s="537"/>
      <c r="I514" s="537"/>
      <c r="J514" s="537"/>
      <c r="L514" s="553">
        <f>_xll.qlCalendarAdvance(Calendar,L513,"1M","f",,Trigger)</f>
        <v>57822</v>
      </c>
      <c r="M514" s="544">
        <f>_xll.qlCalendarAdvance(Calendar,L514,"3M","f",,Trigger)</f>
        <v>57913</v>
      </c>
      <c r="N514" s="546" t="str">
        <f>_xll.qlMakeDatedOIS(,L514,M514,"eonia",,,,,Trigger)</f>
        <v>obj_00aa0#0000</v>
      </c>
      <c r="O514" s="545">
        <f>_xll.qlIndexFixing("euribor6m",_xll.qlInterestRateIndexFixingDate("Euribor6M",L514),TRUE)</f>
        <v>2.0232029205682855E-2</v>
      </c>
      <c r="P514" s="545">
        <f>_xll.qlOvernightIndexedSwapFairRate(N514,Trigger)</f>
        <v>2.0033271019047654E-2</v>
      </c>
      <c r="Q514" s="547">
        <f t="shared" si="11"/>
        <v>1.9875818663520062E-4</v>
      </c>
    </row>
    <row r="515" spans="5:17" x14ac:dyDescent="0.2">
      <c r="E515" s="538"/>
      <c r="F515" s="538"/>
      <c r="G515" s="537"/>
      <c r="I515" s="537"/>
      <c r="J515" s="537"/>
      <c r="L515" s="553">
        <f>_xll.qlCalendarAdvance(Calendar,L514,"1M","f",,Trigger)</f>
        <v>57852</v>
      </c>
      <c r="M515" s="544">
        <f>_xll.qlCalendarAdvance(Calendar,L515,"3M","f",,Trigger)</f>
        <v>57944</v>
      </c>
      <c r="N515" s="546" t="str">
        <f>_xll.qlMakeDatedOIS(,L515,M515,"eonia",,,,,Trigger)</f>
        <v>obj_00aa2#0000</v>
      </c>
      <c r="O515" s="545">
        <f>_xll.qlIndexFixing("euribor6m",_xll.qlInterestRateIndexFixingDate("Euribor6M",L515),TRUE)</f>
        <v>2.0219631988902628E-2</v>
      </c>
      <c r="P515" s="545">
        <f>_xll.qlOvernightIndexedSwapFairRate(N515,Trigger)</f>
        <v>2.003382749631261E-2</v>
      </c>
      <c r="Q515" s="547">
        <f t="shared" ref="Q515:Q578" si="12">O515-P515</f>
        <v>1.8580449259001861E-4</v>
      </c>
    </row>
    <row r="516" spans="5:17" x14ac:dyDescent="0.2">
      <c r="E516" s="538"/>
      <c r="F516" s="538"/>
      <c r="G516" s="537"/>
      <c r="I516" s="537"/>
      <c r="J516" s="537"/>
      <c r="L516" s="553">
        <f>_xll.qlCalendarAdvance(Calendar,L515,"1M","f",,Trigger)</f>
        <v>57885</v>
      </c>
      <c r="M516" s="544">
        <f>_xll.qlCalendarAdvance(Calendar,L516,"3M","f",,Trigger)</f>
        <v>57977</v>
      </c>
      <c r="N516" s="546" t="str">
        <f>_xll.qlMakeDatedOIS(,L516,M516,"eonia",,,,,Trigger)</f>
        <v>obj_00aa4#0000</v>
      </c>
      <c r="O516" s="545">
        <f>_xll.qlIndexFixing("euribor6m",_xll.qlInterestRateIndexFixingDate("Euribor6M",L516),TRUE)</f>
        <v>2.0205717279569973E-2</v>
      </c>
      <c r="P516" s="545">
        <f>_xll.qlOvernightIndexedSwapFairRate(N516,Trigger)</f>
        <v>2.0033827496312613E-2</v>
      </c>
      <c r="Q516" s="547">
        <f t="shared" si="12"/>
        <v>1.7188978325735974E-4</v>
      </c>
    </row>
    <row r="517" spans="5:17" x14ac:dyDescent="0.2">
      <c r="E517" s="538"/>
      <c r="F517" s="538"/>
      <c r="G517" s="537"/>
      <c r="I517" s="537"/>
      <c r="J517" s="537"/>
      <c r="L517" s="553">
        <f>_xll.qlCalendarAdvance(Calendar,L516,"1M","f",,Trigger)</f>
        <v>57915</v>
      </c>
      <c r="M517" s="544">
        <f>_xll.qlCalendarAdvance(Calendar,L517,"3M","f",,Trigger)</f>
        <v>58007</v>
      </c>
      <c r="N517" s="546" t="str">
        <f>_xll.qlMakeDatedOIS(,L517,M517,"eonia",,,,,Trigger)</f>
        <v>obj_00aa6#0000</v>
      </c>
      <c r="O517" s="545">
        <f>_xll.qlIndexFixing("euribor6m",_xll.qlInterestRateIndexFixingDate("Euribor6M",L517),TRUE)</f>
        <v>2.0194217791946165E-2</v>
      </c>
      <c r="P517" s="545">
        <f>_xll.qlOvernightIndexedSwapFairRate(N517,Trigger)</f>
        <v>2.003382749631261E-2</v>
      </c>
      <c r="Q517" s="547">
        <f t="shared" si="12"/>
        <v>1.6039029563355567E-4</v>
      </c>
    </row>
    <row r="518" spans="5:17" x14ac:dyDescent="0.2">
      <c r="E518" s="538"/>
      <c r="F518" s="538"/>
      <c r="G518" s="537"/>
      <c r="I518" s="537"/>
      <c r="J518" s="537"/>
      <c r="L518" s="553">
        <f>_xll.qlCalendarAdvance(Calendar,L517,"1M","f",,Trigger)</f>
        <v>57948</v>
      </c>
      <c r="M518" s="544">
        <f>_xll.qlCalendarAdvance(Calendar,L518,"3M","f",,Trigger)</f>
        <v>58040</v>
      </c>
      <c r="N518" s="546" t="str">
        <f>_xll.qlMakeDatedOIS(,L518,M518,"eonia",,,,,Trigger)</f>
        <v>obj_00aa8#0000</v>
      </c>
      <c r="O518" s="545">
        <f>_xll.qlIndexFixing("euribor6m",_xll.qlInterestRateIndexFixingDate("Euribor6M",L518),TRUE)</f>
        <v>2.0181646837417095E-2</v>
      </c>
      <c r="P518" s="545">
        <f>_xll.qlOvernightIndexedSwapFairRate(N518,Trigger)</f>
        <v>2.003382749631261E-2</v>
      </c>
      <c r="Q518" s="547">
        <f t="shared" si="12"/>
        <v>1.4781934110448536E-4</v>
      </c>
    </row>
    <row r="519" spans="5:17" x14ac:dyDescent="0.2">
      <c r="E519" s="538"/>
      <c r="F519" s="538"/>
      <c r="G519" s="537"/>
      <c r="I519" s="537"/>
      <c r="J519" s="537"/>
      <c r="L519" s="553">
        <f>_xll.qlCalendarAdvance(Calendar,L518,"1M","f",,Trigger)</f>
        <v>57979</v>
      </c>
      <c r="M519" s="544">
        <f>_xll.qlCalendarAdvance(Calendar,L519,"3M","f",,Trigger)</f>
        <v>58071</v>
      </c>
      <c r="N519" s="546" t="str">
        <f>_xll.qlMakeDatedOIS(,L519,M519,"eonia",,,,,Trigger)</f>
        <v>obj_00aaa#0000</v>
      </c>
      <c r="O519" s="545">
        <f>_xll.qlIndexFixing("euribor6m",_xll.qlInterestRateIndexFixingDate("Euribor6M",L519),TRUE)</f>
        <v>2.0169129838651566E-2</v>
      </c>
      <c r="P519" s="545">
        <f>_xll.qlOvernightIndexedSwapFairRate(N519,Trigger)</f>
        <v>2.0033827496312613E-2</v>
      </c>
      <c r="Q519" s="547">
        <f t="shared" si="12"/>
        <v>1.3530234233895266E-4</v>
      </c>
    </row>
    <row r="520" spans="5:17" x14ac:dyDescent="0.2">
      <c r="E520" s="538"/>
      <c r="F520" s="538"/>
      <c r="G520" s="537"/>
      <c r="I520" s="537"/>
      <c r="J520" s="537"/>
      <c r="L520" s="553">
        <f>_xll.qlCalendarAdvance(Calendar,L519,"1M","f",,Trigger)</f>
        <v>58011</v>
      </c>
      <c r="M520" s="544">
        <f>_xll.qlCalendarAdvance(Calendar,L520,"3M","f",,Trigger)</f>
        <v>58103</v>
      </c>
      <c r="N520" s="546" t="str">
        <f>_xll.qlMakeDatedOIS(,L520,M520,"eonia",,,,,Trigger)</f>
        <v>obj_00aac#0000</v>
      </c>
      <c r="O520" s="545">
        <f>_xll.qlIndexFixing("euribor6m",_xll.qlInterestRateIndexFixingDate("Euribor6M",L520),TRUE)</f>
        <v>2.0158267509033885E-2</v>
      </c>
      <c r="P520" s="545">
        <f>_xll.qlOvernightIndexedSwapFairRate(N520,Trigger)</f>
        <v>2.003382749631261E-2</v>
      </c>
      <c r="Q520" s="547">
        <f t="shared" si="12"/>
        <v>1.2444001272127539E-4</v>
      </c>
    </row>
    <row r="521" spans="5:17" x14ac:dyDescent="0.2">
      <c r="E521" s="538"/>
      <c r="F521" s="538"/>
      <c r="G521" s="537"/>
      <c r="I521" s="537"/>
      <c r="J521" s="537"/>
      <c r="L521" s="553">
        <f>_xll.qlCalendarAdvance(Calendar,L520,"1M","f",,Trigger)</f>
        <v>58042</v>
      </c>
      <c r="M521" s="544">
        <f>_xll.qlCalendarAdvance(Calendar,L521,"3M","f",,Trigger)</f>
        <v>58134</v>
      </c>
      <c r="N521" s="546" t="str">
        <f>_xll.qlMakeDatedOIS(,L521,M521,"eonia",,,,,Trigger)</f>
        <v>obj_00aae#0000</v>
      </c>
      <c r="O521" s="545">
        <f>_xll.qlIndexFixing("euribor6m",_xll.qlInterestRateIndexFixingDate("Euribor6M",L521),TRUE)</f>
        <v>2.0147419085709387E-2</v>
      </c>
      <c r="P521" s="545">
        <f>_xll.qlOvernightIndexedSwapFairRate(N521,Trigger)</f>
        <v>2.003382749631261E-2</v>
      </c>
      <c r="Q521" s="547">
        <f t="shared" si="12"/>
        <v>1.135915893967776E-4</v>
      </c>
    </row>
    <row r="522" spans="5:17" x14ac:dyDescent="0.2">
      <c r="E522" s="538"/>
      <c r="F522" s="538"/>
      <c r="G522" s="537"/>
      <c r="I522" s="537"/>
      <c r="J522" s="537"/>
      <c r="L522" s="553">
        <f>_xll.qlCalendarAdvance(Calendar,L521,"1M","f",,Trigger)</f>
        <v>58074</v>
      </c>
      <c r="M522" s="544">
        <f>_xll.qlCalendarAdvance(Calendar,L522,"3M","f",,Trigger)</f>
        <v>58166</v>
      </c>
      <c r="N522" s="546" t="str">
        <f>_xll.qlMakeDatedOIS(,L522,M522,"eonia",,,,,Trigger)</f>
        <v>obj_00ab0#0000</v>
      </c>
      <c r="O522" s="545">
        <f>_xll.qlIndexFixing("euribor6m",_xll.qlInterestRateIndexFixingDate("Euribor6M",L522),TRUE)</f>
        <v>2.0137513516494406E-2</v>
      </c>
      <c r="P522" s="545">
        <f>_xll.qlOvernightIndexedSwapFairRate(N522,Trigger)</f>
        <v>2.0033827496312613E-2</v>
      </c>
      <c r="Q522" s="547">
        <f t="shared" si="12"/>
        <v>1.036860201817924E-4</v>
      </c>
    </row>
    <row r="523" spans="5:17" x14ac:dyDescent="0.2">
      <c r="E523" s="538"/>
      <c r="F523" s="538"/>
      <c r="G523" s="537"/>
      <c r="I523" s="537"/>
      <c r="J523" s="537"/>
      <c r="L523" s="553">
        <f>_xll.qlCalendarAdvance(Calendar,L522,"1M","f",,Trigger)</f>
        <v>58105</v>
      </c>
      <c r="M523" s="544">
        <f>_xll.qlCalendarAdvance(Calendar,L523,"3M","f",,Trigger)</f>
        <v>58195</v>
      </c>
      <c r="N523" s="546" t="str">
        <f>_xll.qlMakeDatedOIS(,L523,M523,"eonia",,,,,Trigger)</f>
        <v>obj_00ab2#0000</v>
      </c>
      <c r="O523" s="545">
        <f>_xll.qlIndexFixing("euribor6m",_xll.qlInterestRateIndexFixingDate("Euribor6M",L523),TRUE)</f>
        <v>2.0127565202329629E-2</v>
      </c>
      <c r="P523" s="545">
        <f>_xll.qlOvernightIndexedSwapFairRate(N523,Trigger)</f>
        <v>2.003271456238398E-2</v>
      </c>
      <c r="Q523" s="547">
        <f t="shared" si="12"/>
        <v>9.4850639945649046E-5</v>
      </c>
    </row>
    <row r="524" spans="5:17" x14ac:dyDescent="0.2">
      <c r="E524" s="538"/>
      <c r="F524" s="538"/>
      <c r="G524" s="537"/>
      <c r="I524" s="537"/>
      <c r="J524" s="537"/>
      <c r="L524" s="553">
        <f>_xll.qlCalendarAdvance(Calendar,L523,"1M","f",,Trigger)</f>
        <v>58134</v>
      </c>
      <c r="M524" s="544">
        <f>_xll.qlCalendarAdvance(Calendar,L524,"3M","f",,Trigger)</f>
        <v>58223</v>
      </c>
      <c r="N524" s="546" t="str">
        <f>_xll.qlMakeDatedOIS(,L524,M524,"eonia",,,,,Trigger)</f>
        <v>obj_00ab4#0000</v>
      </c>
      <c r="O524" s="545">
        <f>_xll.qlIndexFixing("euribor6m",_xll.qlInterestRateIndexFixingDate("Euribor6M",L524),TRUE)</f>
        <v>2.0119474221523204E-2</v>
      </c>
      <c r="P524" s="545">
        <f>_xll.qlOvernightIndexedSwapFairRate(N524,Trigger)</f>
        <v>2.0032158126320837E-2</v>
      </c>
      <c r="Q524" s="547">
        <f t="shared" si="12"/>
        <v>8.73160952023673E-5</v>
      </c>
    </row>
    <row r="525" spans="5:17" x14ac:dyDescent="0.2">
      <c r="E525" s="538"/>
      <c r="F525" s="538"/>
      <c r="G525" s="537"/>
      <c r="I525" s="537"/>
      <c r="J525" s="537"/>
      <c r="L525" s="553">
        <f>_xll.qlCalendarAdvance(Calendar,L524,"1M","f",,Trigger)</f>
        <v>58166</v>
      </c>
      <c r="M525" s="544">
        <f>_xll.qlCalendarAdvance(Calendar,L525,"3M","f",,Trigger)</f>
        <v>58257</v>
      </c>
      <c r="N525" s="546" t="str">
        <f>_xll.qlMakeDatedOIS(,L525,M525,"eonia",,,,,Trigger)</f>
        <v>obj_00ab6#0000</v>
      </c>
      <c r="O525" s="545">
        <f>_xll.qlIndexFixing("euribor6m",_xll.qlInterestRateIndexFixingDate("Euribor6M",L525),TRUE)</f>
        <v>2.0110973113249067E-2</v>
      </c>
      <c r="P525" s="545">
        <f>_xll.qlOvernightIndexedSwapFairRate(N525,Trigger)</f>
        <v>2.0033271019047651E-2</v>
      </c>
      <c r="Q525" s="547">
        <f t="shared" si="12"/>
        <v>7.7702094201416438E-5</v>
      </c>
    </row>
    <row r="526" spans="5:17" x14ac:dyDescent="0.2">
      <c r="E526" s="538"/>
      <c r="F526" s="538"/>
      <c r="G526" s="537"/>
      <c r="I526" s="537"/>
      <c r="J526" s="537"/>
      <c r="L526" s="553">
        <f>_xll.qlCalendarAdvance(Calendar,L525,"1M","f",,Trigger)</f>
        <v>58197</v>
      </c>
      <c r="M526" s="544">
        <f>_xll.qlCalendarAdvance(Calendar,L526,"3M","f",,Trigger)</f>
        <v>58291</v>
      </c>
      <c r="N526" s="546" t="str">
        <f>_xll.qlMakeDatedOIS(,L526,M526,"eonia",,,,,Trigger)</f>
        <v>obj_00ab8#0000</v>
      </c>
      <c r="O526" s="545">
        <f>_xll.qlIndexFixing("euribor6m",_xll.qlInterestRateIndexFixingDate("Euribor6M",L526),TRUE)</f>
        <v>2.0103660038402627E-2</v>
      </c>
      <c r="P526" s="545">
        <f>_xll.qlOvernightIndexedSwapFairRate(N526,Trigger)</f>
        <v>2.0034940512646655E-2</v>
      </c>
      <c r="Q526" s="547">
        <f t="shared" si="12"/>
        <v>6.8719525755971816E-5</v>
      </c>
    </row>
    <row r="527" spans="5:17" x14ac:dyDescent="0.2">
      <c r="E527" s="538"/>
      <c r="F527" s="538"/>
      <c r="G527" s="537"/>
      <c r="I527" s="537"/>
      <c r="J527" s="537"/>
      <c r="L527" s="553">
        <f>_xll.qlCalendarAdvance(Calendar,L526,"1M","f",,Trigger)</f>
        <v>58228</v>
      </c>
      <c r="M527" s="544">
        <f>_xll.qlCalendarAdvance(Calendar,L527,"3M","f",,Trigger)</f>
        <v>58320</v>
      </c>
      <c r="N527" s="546" t="str">
        <f>_xll.qlMakeDatedOIS(,L527,M527,"eonia",,,,,Trigger)</f>
        <v>obj_00aba#0000</v>
      </c>
      <c r="O527" s="545">
        <f>_xll.qlIndexFixing("euribor6m",_xll.qlInterestRateIndexFixingDate("Euribor6M",L527),TRUE)</f>
        <v>2.0095043727916092E-2</v>
      </c>
      <c r="P527" s="545">
        <f>_xll.qlOvernightIndexedSwapFairRate(N527,Trigger)</f>
        <v>2.0033827496312613E-2</v>
      </c>
      <c r="Q527" s="547">
        <f t="shared" si="12"/>
        <v>6.1216231603478805E-5</v>
      </c>
    </row>
    <row r="528" spans="5:17" x14ac:dyDescent="0.2">
      <c r="E528" s="538"/>
      <c r="F528" s="538"/>
      <c r="G528" s="537"/>
      <c r="I528" s="537"/>
      <c r="J528" s="537"/>
      <c r="L528" s="553">
        <f>_xll.qlCalendarAdvance(Calendar,L527,"1M","f",,Trigger)</f>
        <v>58258</v>
      </c>
      <c r="M528" s="544">
        <f>_xll.qlCalendarAdvance(Calendar,L528,"3M","f",,Trigger)</f>
        <v>58350</v>
      </c>
      <c r="N528" s="546" t="str">
        <f>_xll.qlMakeDatedOIS(,L528,M528,"eonia",,,,,Trigger)</f>
        <v>obj_00abc#0000</v>
      </c>
      <c r="O528" s="545">
        <f>_xll.qlIndexFixing("euribor6m",_xll.qlInterestRateIndexFixingDate("Euribor6M",L528),TRUE)</f>
        <v>2.008843318728502E-2</v>
      </c>
      <c r="P528" s="545">
        <f>_xll.qlOvernightIndexedSwapFairRate(N528,Trigger)</f>
        <v>2.003382749631261E-2</v>
      </c>
      <c r="Q528" s="547">
        <f t="shared" si="12"/>
        <v>5.460569097241047E-5</v>
      </c>
    </row>
    <row r="529" spans="5:17" x14ac:dyDescent="0.2">
      <c r="E529" s="538"/>
      <c r="F529" s="538"/>
      <c r="G529" s="537"/>
      <c r="I529" s="537"/>
      <c r="J529" s="537"/>
      <c r="L529" s="553">
        <f>_xll.qlCalendarAdvance(Calendar,L528,"1M","f",,Trigger)</f>
        <v>58291</v>
      </c>
      <c r="M529" s="544">
        <f>_xll.qlCalendarAdvance(Calendar,L529,"3M","f",,Trigger)</f>
        <v>58383</v>
      </c>
      <c r="N529" s="546" t="str">
        <f>_xll.qlMakeDatedOIS(,L529,M529,"eonia",,,,,Trigger)</f>
        <v>obj_00abe#0000</v>
      </c>
      <c r="O529" s="545">
        <f>_xll.qlIndexFixing("euribor6m",_xll.qlInterestRateIndexFixingDate("Euribor6M",L529),TRUE)</f>
        <v>2.0081158503556133E-2</v>
      </c>
      <c r="P529" s="545">
        <f>_xll.qlOvernightIndexedSwapFairRate(N529,Trigger)</f>
        <v>2.003382749631261E-2</v>
      </c>
      <c r="Q529" s="547">
        <f t="shared" si="12"/>
        <v>4.7331007243522905E-5</v>
      </c>
    </row>
    <row r="530" spans="5:17" x14ac:dyDescent="0.2">
      <c r="E530" s="538"/>
      <c r="F530" s="538"/>
      <c r="G530" s="537"/>
      <c r="I530" s="537"/>
      <c r="J530" s="537"/>
      <c r="L530" s="553">
        <f>_xll.qlCalendarAdvance(Calendar,L529,"1M","f",,Trigger)</f>
        <v>58322</v>
      </c>
      <c r="M530" s="544">
        <f>_xll.qlCalendarAdvance(Calendar,L530,"3M","f",,Trigger)</f>
        <v>58413</v>
      </c>
      <c r="N530" s="546" t="str">
        <f>_xll.qlMakeDatedOIS(,L530,M530,"eonia",,,,,Trigger)</f>
        <v>obj_00ac0#0000</v>
      </c>
      <c r="O530" s="545">
        <f>_xll.qlIndexFixing("euribor6m",_xll.qlInterestRateIndexFixingDate("Euribor6M",L530),TRUE)</f>
        <v>2.0073857419732759E-2</v>
      </c>
      <c r="P530" s="545">
        <f>_xll.qlOvernightIndexedSwapFairRate(N530,Trigger)</f>
        <v>2.0033271019048528E-2</v>
      </c>
      <c r="Q530" s="547">
        <f t="shared" si="12"/>
        <v>4.0586400684231028E-5</v>
      </c>
    </row>
    <row r="531" spans="5:17" x14ac:dyDescent="0.2">
      <c r="E531" s="538"/>
      <c r="F531" s="538"/>
      <c r="G531" s="537"/>
      <c r="I531" s="537"/>
      <c r="J531" s="537"/>
      <c r="L531" s="553">
        <f>_xll.qlCalendarAdvance(Calendar,L530,"1M","f",,Trigger)</f>
        <v>58354</v>
      </c>
      <c r="M531" s="544">
        <f>_xll.qlCalendarAdvance(Calendar,L531,"3M","f",,Trigger)</f>
        <v>58446</v>
      </c>
      <c r="N531" s="546" t="str">
        <f>_xll.qlMakeDatedOIS(,L531,M531,"eonia",,,,,Trigger)</f>
        <v>obj_00ac2#0000</v>
      </c>
      <c r="O531" s="545">
        <f>_xll.qlIndexFixing("euribor6m",_xll.qlInterestRateIndexFixingDate("Euribor6M",L531),TRUE)</f>
        <v>2.0068212376658127E-2</v>
      </c>
      <c r="P531" s="545">
        <f>_xll.qlOvernightIndexedSwapFairRate(N531,Trigger)</f>
        <v>2.003382749631348E-2</v>
      </c>
      <c r="Q531" s="547">
        <f t="shared" si="12"/>
        <v>3.438488034464629E-5</v>
      </c>
    </row>
    <row r="532" spans="5:17" x14ac:dyDescent="0.2">
      <c r="E532" s="538"/>
      <c r="F532" s="538"/>
      <c r="G532" s="537"/>
      <c r="I532" s="537"/>
      <c r="J532" s="537"/>
      <c r="L532" s="553">
        <f>_xll.qlCalendarAdvance(Calendar,L531,"1M","f",,Trigger)</f>
        <v>58385</v>
      </c>
      <c r="M532" s="544">
        <f>_xll.qlCalendarAdvance(Calendar,L532,"3M","f",,Trigger)</f>
        <v>58477</v>
      </c>
      <c r="N532" s="546" t="str">
        <f>_xll.qlMakeDatedOIS(,L532,M532,"eonia",,,,,Trigger)</f>
        <v>obj_00ac4#0000</v>
      </c>
      <c r="O532" s="545">
        <f>_xll.qlIndexFixing("euribor6m",_xll.qlInterestRateIndexFixingDate("Euribor6M",L532),TRUE)</f>
        <v>2.006226978809085E-2</v>
      </c>
      <c r="P532" s="545">
        <f>_xll.qlOvernightIndexedSwapFairRate(N532,Trigger)</f>
        <v>2.003382749631261E-2</v>
      </c>
      <c r="Q532" s="547">
        <f t="shared" si="12"/>
        <v>2.8442291778240508E-5</v>
      </c>
    </row>
    <row r="533" spans="5:17" x14ac:dyDescent="0.2">
      <c r="E533" s="538"/>
      <c r="F533" s="538"/>
      <c r="G533" s="537"/>
      <c r="I533" s="537"/>
      <c r="J533" s="537"/>
      <c r="L533" s="553">
        <f>_xll.qlCalendarAdvance(Calendar,L532,"1M","f",,Trigger)</f>
        <v>58417</v>
      </c>
      <c r="M533" s="544">
        <f>_xll.qlCalendarAdvance(Calendar,L533,"3M","f",,Trigger)</f>
        <v>58508</v>
      </c>
      <c r="N533" s="546" t="str">
        <f>_xll.qlMakeDatedOIS(,L533,M533,"eonia",,,,,Trigger)</f>
        <v>obj_00ac6#0000</v>
      </c>
      <c r="O533" s="545">
        <f>_xll.qlIndexFixing("euribor6m",_xll.qlInterestRateIndexFixingDate("Euribor6M",L533),TRUE)</f>
        <v>2.005758199885475E-2</v>
      </c>
      <c r="P533" s="545">
        <f>_xll.qlOvernightIndexedSwapFairRate(N533,Trigger)</f>
        <v>2.0033271019048535E-2</v>
      </c>
      <c r="Q533" s="547">
        <f t="shared" si="12"/>
        <v>2.4310979806214938E-5</v>
      </c>
    </row>
    <row r="534" spans="5:17" x14ac:dyDescent="0.2">
      <c r="E534" s="538"/>
      <c r="F534" s="538"/>
      <c r="G534" s="537"/>
      <c r="I534" s="537"/>
      <c r="J534" s="537"/>
      <c r="L534" s="553">
        <f>_xll.qlCalendarAdvance(Calendar,L533,"1M","f",,Trigger)</f>
        <v>58448</v>
      </c>
      <c r="M534" s="544">
        <f>_xll.qlCalendarAdvance(Calendar,L534,"3M","f",,Trigger)</f>
        <v>58539</v>
      </c>
      <c r="N534" s="546" t="str">
        <f>_xll.qlMakeDatedOIS(,L534,M534,"eonia",,,,,Trigger)</f>
        <v>obj_00ac8#0000</v>
      </c>
      <c r="O534" s="545">
        <f>_xll.qlIndexFixing("euribor6m",_xll.qlInterestRateIndexFixingDate("Euribor6M",L534),TRUE)</f>
        <v>2.0052538891646179E-2</v>
      </c>
      <c r="P534" s="545">
        <f>_xll.qlOvernightIndexedSwapFairRate(N534,Trigger)</f>
        <v>2.0033271019048535E-2</v>
      </c>
      <c r="Q534" s="547">
        <f t="shared" si="12"/>
        <v>1.9267872597643343E-5</v>
      </c>
    </row>
    <row r="535" spans="5:17" x14ac:dyDescent="0.2">
      <c r="E535" s="538"/>
      <c r="F535" s="538"/>
      <c r="G535" s="537"/>
      <c r="I535" s="537"/>
      <c r="J535" s="537"/>
      <c r="L535" s="553">
        <f>_xll.qlCalendarAdvance(Calendar,L534,"1M","f",,Trigger)</f>
        <v>58480</v>
      </c>
      <c r="M535" s="544">
        <f>_xll.qlCalendarAdvance(Calendar,L535,"3M","f",,Trigger)</f>
        <v>58571</v>
      </c>
      <c r="N535" s="546" t="str">
        <f>_xll.qlMakeDatedOIS(,L535,M535,"eonia",,,,,Trigger)</f>
        <v>obj_00aca#0000</v>
      </c>
      <c r="O535" s="545">
        <f>_xll.qlIndexFixing("euribor6m",_xll.qlInterestRateIndexFixingDate("Euribor6M",L535),TRUE)</f>
        <v>2.0048307275367258E-2</v>
      </c>
      <c r="P535" s="545">
        <f>_xll.qlOvernightIndexedSwapFairRate(N535,Trigger)</f>
        <v>2.0033271019047651E-2</v>
      </c>
      <c r="Q535" s="547">
        <f t="shared" si="12"/>
        <v>1.5036256319607422E-5</v>
      </c>
    </row>
    <row r="536" spans="5:17" x14ac:dyDescent="0.2">
      <c r="E536" s="538"/>
      <c r="F536" s="538"/>
      <c r="G536" s="537"/>
      <c r="I536" s="537"/>
      <c r="J536" s="537"/>
      <c r="L536" s="553">
        <f>_xll.qlCalendarAdvance(Calendar,L535,"1M","f",,Trigger)</f>
        <v>58509</v>
      </c>
      <c r="M536" s="544">
        <f>_xll.qlCalendarAdvance(Calendar,L536,"3M","f",,Trigger)</f>
        <v>58601</v>
      </c>
      <c r="N536" s="546" t="str">
        <f>_xll.qlMakeDatedOIS(,L536,M536,"eonia",,,,,Trigger)</f>
        <v>obj_00acc#0000</v>
      </c>
      <c r="O536" s="545">
        <f>_xll.qlIndexFixing("euribor6m",_xll.qlInterestRateIndexFixingDate("Euribor6M",L536),TRUE)</f>
        <v>2.0045901839575227E-2</v>
      </c>
      <c r="P536" s="545">
        <f>_xll.qlOvernightIndexedSwapFairRate(N536,Trigger)</f>
        <v>2.003382749631348E-2</v>
      </c>
      <c r="Q536" s="547">
        <f t="shared" si="12"/>
        <v>1.2074343261746223E-5</v>
      </c>
    </row>
    <row r="537" spans="5:17" x14ac:dyDescent="0.2">
      <c r="E537" s="538"/>
      <c r="F537" s="538"/>
      <c r="G537" s="537"/>
      <c r="I537" s="537"/>
      <c r="J537" s="537"/>
      <c r="L537" s="553">
        <f>_xll.qlCalendarAdvance(Calendar,L536,"1M","f",,Trigger)</f>
        <v>58540</v>
      </c>
      <c r="M537" s="544">
        <f>_xll.qlCalendarAdvance(Calendar,L537,"3M","f",,Trigger)</f>
        <v>58631</v>
      </c>
      <c r="N537" s="546" t="str">
        <f>_xll.qlMakeDatedOIS(,L537,M537,"eonia",,,,,Trigger)</f>
        <v>obj_00ace#0000</v>
      </c>
      <c r="O537" s="545">
        <f>_xll.qlIndexFixing("euribor6m",_xll.qlInterestRateIndexFixingDate("Euribor6M",L537),TRUE)</f>
        <v>2.0043209143157849E-2</v>
      </c>
      <c r="P537" s="545">
        <f>_xll.qlOvernightIndexedSwapFairRate(N537,Trigger)</f>
        <v>2.0033271019048528E-2</v>
      </c>
      <c r="Q537" s="547">
        <f t="shared" si="12"/>
        <v>9.9381241093210448E-6</v>
      </c>
    </row>
    <row r="538" spans="5:17" x14ac:dyDescent="0.2">
      <c r="E538" s="538"/>
      <c r="F538" s="538"/>
      <c r="G538" s="537"/>
      <c r="I538" s="537"/>
      <c r="J538" s="537"/>
      <c r="L538" s="553">
        <f>_xll.qlCalendarAdvance(Calendar,L537,"1M","f",,Trigger)</f>
        <v>58571</v>
      </c>
      <c r="M538" s="544">
        <f>_xll.qlCalendarAdvance(Calendar,L538,"3M","f",,Trigger)</f>
        <v>58663</v>
      </c>
      <c r="N538" s="546" t="str">
        <f>_xll.qlMakeDatedOIS(,L538,M538,"eonia",,,,,Trigger)</f>
        <v>obj_00ad0#0000</v>
      </c>
      <c r="O538" s="545">
        <f>_xll.qlIndexFixing("euribor6m",_xll.qlInterestRateIndexFixingDate("Euribor6M",L538),TRUE)</f>
        <v>2.0039935687392065E-2</v>
      </c>
      <c r="P538" s="545">
        <f>_xll.qlOvernightIndexedSwapFairRate(N538,Trigger)</f>
        <v>2.003382749631261E-2</v>
      </c>
      <c r="Q538" s="547">
        <f t="shared" si="12"/>
        <v>6.1081910794555383E-6</v>
      </c>
    </row>
    <row r="539" spans="5:17" x14ac:dyDescent="0.2">
      <c r="E539" s="538"/>
      <c r="F539" s="538"/>
      <c r="G539" s="537"/>
      <c r="I539" s="537"/>
      <c r="J539" s="537"/>
      <c r="L539" s="553">
        <f>_xll.qlCalendarAdvance(Calendar,L538,"1M","f",,Trigger)</f>
        <v>58602</v>
      </c>
      <c r="M539" s="544">
        <f>_xll.qlCalendarAdvance(Calendar,L539,"3M","f",,Trigger)</f>
        <v>58694</v>
      </c>
      <c r="N539" s="546" t="str">
        <f>_xll.qlMakeDatedOIS(,L539,M539,"eonia",,,,,Trigger)</f>
        <v>obj_00ad2#0000</v>
      </c>
      <c r="O539" s="545">
        <f>_xll.qlIndexFixing("euribor6m",_xll.qlInterestRateIndexFixingDate("Euribor6M",L539),TRUE)</f>
        <v>2.0037097780527938E-2</v>
      </c>
      <c r="P539" s="545">
        <f>_xll.qlOvernightIndexedSwapFairRate(N539,Trigger)</f>
        <v>2.003382749631261E-2</v>
      </c>
      <c r="Q539" s="547">
        <f t="shared" si="12"/>
        <v>3.2702842153280176E-6</v>
      </c>
    </row>
    <row r="540" spans="5:17" x14ac:dyDescent="0.2">
      <c r="E540" s="538"/>
      <c r="F540" s="538"/>
      <c r="G540" s="537"/>
      <c r="I540" s="537"/>
      <c r="J540" s="537"/>
      <c r="L540" s="553">
        <f>_xll.qlCalendarAdvance(Calendar,L539,"1M","f",,Trigger)</f>
        <v>58634</v>
      </c>
      <c r="M540" s="544">
        <f>_xll.qlCalendarAdvance(Calendar,L540,"3M","f",,Trigger)</f>
        <v>58726</v>
      </c>
      <c r="N540" s="546" t="str">
        <f>_xll.qlMakeDatedOIS(,L540,M540,"eonia",,,,,Trigger)</f>
        <v>obj_00ad4#0000</v>
      </c>
      <c r="O540" s="545">
        <f>_xll.qlIndexFixing("euribor6m",_xll.qlInterestRateIndexFixingDate("Euribor6M",L540),TRUE)</f>
        <v>2.0035715445387511E-2</v>
      </c>
      <c r="P540" s="545">
        <f>_xll.qlOvernightIndexedSwapFairRate(N540,Trigger)</f>
        <v>2.003382749631261E-2</v>
      </c>
      <c r="Q540" s="547">
        <f t="shared" si="12"/>
        <v>1.8879490749010297E-6</v>
      </c>
    </row>
    <row r="541" spans="5:17" x14ac:dyDescent="0.2">
      <c r="E541" s="538"/>
      <c r="F541" s="538"/>
      <c r="G541" s="537"/>
      <c r="I541" s="537"/>
      <c r="J541" s="537"/>
      <c r="L541" s="553">
        <f>_xll.qlCalendarAdvance(Calendar,L540,"1M","f",,Trigger)</f>
        <v>58665</v>
      </c>
      <c r="M541" s="544">
        <f>_xll.qlCalendarAdvance(Calendar,L541,"3M","f",,Trigger)</f>
        <v>58757</v>
      </c>
      <c r="N541" s="546" t="str">
        <f>_xll.qlMakeDatedOIS(,L541,M541,"eonia",,,,,Trigger)</f>
        <v>obj_00ad6#0000</v>
      </c>
      <c r="O541" s="545">
        <f>_xll.qlIndexFixing("euribor6m",_xll.qlInterestRateIndexFixingDate("Euribor6M",L541),TRUE)</f>
        <v>2.0035408555494492E-2</v>
      </c>
      <c r="P541" s="545">
        <f>_xll.qlOvernightIndexedSwapFairRate(N541,Trigger)</f>
        <v>2.0033827496312606E-2</v>
      </c>
      <c r="Q541" s="547">
        <f t="shared" si="12"/>
        <v>1.5810591818855857E-6</v>
      </c>
    </row>
    <row r="542" spans="5:17" x14ac:dyDescent="0.2">
      <c r="E542" s="538"/>
      <c r="F542" s="538"/>
      <c r="G542" s="537"/>
      <c r="I542" s="537"/>
      <c r="J542" s="537"/>
      <c r="L542" s="553">
        <f>_xll.qlCalendarAdvance(Calendar,L541,"1M","f",,Trigger)</f>
        <v>58697</v>
      </c>
      <c r="M542" s="544">
        <f>_xll.qlCalendarAdvance(Calendar,L542,"3M","f",,Trigger)</f>
        <v>58788</v>
      </c>
      <c r="N542" s="546" t="str">
        <f>_xll.qlMakeDatedOIS(,L542,M542,"eonia",,,,,Trigger)</f>
        <v>obj_00ad8#0000</v>
      </c>
      <c r="O542" s="545">
        <f>_xll.qlIndexFixing("euribor6m",_xll.qlInterestRateIndexFixingDate("Euribor6M",L542),TRUE)</f>
        <v>2.0032249814605767E-2</v>
      </c>
      <c r="P542" s="545">
        <f>_xll.qlOvernightIndexedSwapFairRate(N542,Trigger)</f>
        <v>2.0033271019048532E-2</v>
      </c>
      <c r="Q542" s="547">
        <f t="shared" si="12"/>
        <v>-1.0212044427651557E-6</v>
      </c>
    </row>
    <row r="543" spans="5:17" x14ac:dyDescent="0.2">
      <c r="E543" s="538"/>
      <c r="F543" s="538"/>
      <c r="G543" s="537"/>
      <c r="I543" s="537"/>
      <c r="J543" s="537"/>
      <c r="L543" s="553">
        <f>_xll.qlCalendarAdvance(Calendar,L542,"1M","f",,Trigger)</f>
        <v>58727</v>
      </c>
      <c r="M543" s="544">
        <f>_xll.qlCalendarAdvance(Calendar,L543,"3M","f",,Trigger)</f>
        <v>58819</v>
      </c>
      <c r="N543" s="546" t="str">
        <f>_xll.qlMakeDatedOIS(,L543,M543,"eonia",,,,,Trigger)</f>
        <v>obj_00ada#0000</v>
      </c>
      <c r="O543" s="545">
        <f>_xll.qlIndexFixing("euribor6m",_xll.qlInterestRateIndexFixingDate("Euribor6M",L543),TRUE)</f>
        <v>2.0031763052147294E-2</v>
      </c>
      <c r="P543" s="545">
        <f>_xll.qlOvernightIndexedSwapFairRate(N543,Trigger)</f>
        <v>2.0033827496312613E-2</v>
      </c>
      <c r="Q543" s="547">
        <f t="shared" si="12"/>
        <v>-2.0644441653186463E-6</v>
      </c>
    </row>
    <row r="544" spans="5:17" x14ac:dyDescent="0.2">
      <c r="E544" s="538"/>
      <c r="F544" s="538"/>
      <c r="G544" s="537"/>
      <c r="I544" s="537"/>
      <c r="J544" s="537"/>
      <c r="L544" s="553">
        <f>_xll.qlCalendarAdvance(Calendar,L543,"1M","f",,Trigger)</f>
        <v>58760</v>
      </c>
      <c r="M544" s="544">
        <f>_xll.qlCalendarAdvance(Calendar,L544,"3M","f",,Trigger)</f>
        <v>58852</v>
      </c>
      <c r="N544" s="546" t="str">
        <f>_xll.qlMakeDatedOIS(,L544,M544,"eonia",,,,,Trigger)</f>
        <v>obj_00adc#0000</v>
      </c>
      <c r="O544" s="545">
        <f>_xll.qlIndexFixing("euribor6m",_xll.qlInterestRateIndexFixingDate("Euribor6M",L544),TRUE)</f>
        <v>2.0031713878866462E-2</v>
      </c>
      <c r="P544" s="545">
        <f>_xll.qlOvernightIndexedSwapFairRate(N544,Trigger)</f>
        <v>2.003382749631261E-2</v>
      </c>
      <c r="Q544" s="547">
        <f t="shared" si="12"/>
        <v>-2.1136174461477975E-6</v>
      </c>
    </row>
    <row r="545" spans="5:17" x14ac:dyDescent="0.2">
      <c r="E545" s="538"/>
      <c r="F545" s="538"/>
      <c r="G545" s="537"/>
      <c r="I545" s="537"/>
      <c r="J545" s="537"/>
      <c r="L545" s="553">
        <f>_xll.qlCalendarAdvance(Calendar,L544,"1M","f",,Trigger)</f>
        <v>58790</v>
      </c>
      <c r="M545" s="544">
        <f>_xll.qlCalendarAdvance(Calendar,L545,"3M","f",,Trigger)</f>
        <v>58880</v>
      </c>
      <c r="N545" s="546" t="str">
        <f>_xll.qlMakeDatedOIS(,L545,M545,"eonia",,,,,Trigger)</f>
        <v>obj_00ade#0000</v>
      </c>
      <c r="O545" s="545">
        <f>_xll.qlIndexFixing("euribor6m",_xll.qlInterestRateIndexFixingDate("Euribor6M",L545),TRUE)</f>
        <v>2.0032111235331995E-2</v>
      </c>
      <c r="P545" s="545">
        <f>_xll.qlOvernightIndexedSwapFairRate(N545,Trigger)</f>
        <v>2.0032714562384868E-2</v>
      </c>
      <c r="Q545" s="547">
        <f t="shared" si="12"/>
        <v>-6.0332705287269306E-7</v>
      </c>
    </row>
    <row r="546" spans="5:17" x14ac:dyDescent="0.2">
      <c r="E546" s="538"/>
      <c r="F546" s="538"/>
      <c r="G546" s="537"/>
      <c r="I546" s="537"/>
      <c r="J546" s="537"/>
      <c r="L546" s="553">
        <f>_xll.qlCalendarAdvance(Calendar,L545,"1M","f",,Trigger)</f>
        <v>58823</v>
      </c>
      <c r="M546" s="544">
        <f>_xll.qlCalendarAdvance(Calendar,L546,"3M","f",,Trigger)</f>
        <v>58914</v>
      </c>
      <c r="N546" s="546" t="str">
        <f>_xll.qlMakeDatedOIS(,L546,M546,"eonia",,,,,Trigger)</f>
        <v>obj_00ae0#0000</v>
      </c>
      <c r="O546" s="545">
        <f>_xll.qlIndexFixing("euribor6m",_xll.qlInterestRateIndexFixingDate("Euribor6M",L546),TRUE)</f>
        <v>2.0033034593144622E-2</v>
      </c>
      <c r="P546" s="545">
        <f>_xll.qlOvernightIndexedSwapFairRate(N546,Trigger)</f>
        <v>2.0033271019048532E-2</v>
      </c>
      <c r="Q546" s="547">
        <f t="shared" si="12"/>
        <v>-2.3642590391004248E-7</v>
      </c>
    </row>
    <row r="547" spans="5:17" x14ac:dyDescent="0.2">
      <c r="E547" s="538"/>
      <c r="F547" s="538"/>
      <c r="G547" s="537"/>
      <c r="I547" s="537"/>
      <c r="J547" s="537"/>
      <c r="L547" s="553">
        <f>_xll.qlCalendarAdvance(Calendar,L546,"1M","f",,Trigger)</f>
        <v>58854</v>
      </c>
      <c r="M547" s="544">
        <f>_xll.qlCalendarAdvance(Calendar,L547,"3M","f",,Trigger)</f>
        <v>58943</v>
      </c>
      <c r="N547" s="546" t="str">
        <f>_xll.qlMakeDatedOIS(,L547,M547,"eonia",,,,,Trigger)</f>
        <v>obj_00ae2#0000</v>
      </c>
      <c r="O547" s="545">
        <f>_xll.qlIndexFixing("euribor6m",_xll.qlInterestRateIndexFixingDate("Euribor6M",L547),TRUE)</f>
        <v>2.0033778337422457E-2</v>
      </c>
      <c r="P547" s="545">
        <f>_xll.qlOvernightIndexedSwapFairRate(N547,Trigger)</f>
        <v>2.0032158126321739E-2</v>
      </c>
      <c r="Q547" s="547">
        <f t="shared" si="12"/>
        <v>1.6202111007175557E-6</v>
      </c>
    </row>
    <row r="548" spans="5:17" x14ac:dyDescent="0.2">
      <c r="E548" s="538"/>
      <c r="F548" s="538"/>
      <c r="G548" s="537"/>
      <c r="I548" s="537"/>
      <c r="J548" s="537"/>
      <c r="L548" s="553">
        <f>_xll.qlCalendarAdvance(Calendar,L547,"1M","f",,Trigger)</f>
        <v>58882</v>
      </c>
      <c r="M548" s="544">
        <f>_xll.qlCalendarAdvance(Calendar,L548,"3M","f",,Trigger)</f>
        <v>58974</v>
      </c>
      <c r="N548" s="546" t="str">
        <f>_xll.qlMakeDatedOIS(,L548,M548,"eonia",,,,,Trigger)</f>
        <v>obj_00ae4#0000</v>
      </c>
      <c r="O548" s="545">
        <f>_xll.qlIndexFixing("euribor6m",_xll.qlInterestRateIndexFixingDate("Euribor6M",L548),TRUE)</f>
        <v>2.0038334174154512E-2</v>
      </c>
      <c r="P548" s="545">
        <f>_xll.qlOvernightIndexedSwapFairRate(N548,Trigger)</f>
        <v>2.003382749631261E-2</v>
      </c>
      <c r="Q548" s="547">
        <f t="shared" si="12"/>
        <v>4.506677841902007E-6</v>
      </c>
    </row>
    <row r="549" spans="5:17" x14ac:dyDescent="0.2">
      <c r="E549" s="538"/>
      <c r="F549" s="538"/>
      <c r="G549" s="537"/>
      <c r="I549" s="537"/>
      <c r="J549" s="537"/>
      <c r="L549" s="553">
        <f>_xll.qlCalendarAdvance(Calendar,L548,"1M","f",,Trigger)</f>
        <v>58914</v>
      </c>
      <c r="M549" s="544">
        <f>_xll.qlCalendarAdvance(Calendar,L549,"3M","f",,Trigger)</f>
        <v>59005</v>
      </c>
      <c r="N549" s="546" t="str">
        <f>_xll.qlMakeDatedOIS(,L549,M549,"eonia",,,,,Trigger)</f>
        <v>obj_00ae6#0000</v>
      </c>
      <c r="O549" s="545">
        <f>_xll.qlIndexFixing("euribor6m",_xll.qlInterestRateIndexFixingDate("Euribor6M",L549),TRUE)</f>
        <v>2.0038822216516039E-2</v>
      </c>
      <c r="P549" s="545">
        <f>_xll.qlOvernightIndexedSwapFairRate(N549,Trigger)</f>
        <v>2.0033271019047654E-2</v>
      </c>
      <c r="Q549" s="547">
        <f t="shared" si="12"/>
        <v>5.5511974683848664E-6</v>
      </c>
    </row>
    <row r="550" spans="5:17" x14ac:dyDescent="0.2">
      <c r="E550" s="538"/>
      <c r="F550" s="538"/>
      <c r="G550" s="537"/>
      <c r="I550" s="537"/>
      <c r="J550" s="537"/>
      <c r="L550" s="553">
        <f>_xll.qlCalendarAdvance(Calendar,L549,"1M","f",,Trigger)</f>
        <v>58944</v>
      </c>
      <c r="M550" s="544">
        <f>_xll.qlCalendarAdvance(Calendar,L550,"3M","f",,Trigger)</f>
        <v>59036</v>
      </c>
      <c r="N550" s="546" t="str">
        <f>_xll.qlMakeDatedOIS(,L550,M550,"eonia",,,,,Trigger)</f>
        <v>obj_00ae8#0000</v>
      </c>
      <c r="O550" s="545">
        <f>_xll.qlIndexFixing("euribor6m",_xll.qlInterestRateIndexFixingDate("Euribor6M",L550),TRUE)</f>
        <v>2.0041997389453749E-2</v>
      </c>
      <c r="P550" s="545">
        <f>_xll.qlOvernightIndexedSwapFairRate(N550,Trigger)</f>
        <v>2.003382749631261E-2</v>
      </c>
      <c r="Q550" s="547">
        <f t="shared" si="12"/>
        <v>8.1698931411397502E-6</v>
      </c>
    </row>
    <row r="551" spans="5:17" x14ac:dyDescent="0.2">
      <c r="E551" s="538"/>
      <c r="F551" s="538"/>
      <c r="G551" s="537"/>
      <c r="I551" s="537"/>
      <c r="J551" s="537"/>
      <c r="L551" s="553">
        <f>_xll.qlCalendarAdvance(Calendar,L550,"1M","f",,Trigger)</f>
        <v>58977</v>
      </c>
      <c r="M551" s="544">
        <f>_xll.qlCalendarAdvance(Calendar,L551,"3M","f",,Trigger)</f>
        <v>59069</v>
      </c>
      <c r="N551" s="546" t="str">
        <f>_xll.qlMakeDatedOIS(,L551,M551,"eonia",,,,,Trigger)</f>
        <v>obj_00aea#0000</v>
      </c>
      <c r="O551" s="545">
        <f>_xll.qlIndexFixing("euribor6m",_xll.qlInterestRateIndexFixingDate("Euribor6M",L551),TRUE)</f>
        <v>2.0044696495511948E-2</v>
      </c>
      <c r="P551" s="545">
        <f>_xll.qlOvernightIndexedSwapFairRate(N551,Trigger)</f>
        <v>2.003382749631348E-2</v>
      </c>
      <c r="Q551" s="547">
        <f t="shared" si="12"/>
        <v>1.0868999198467705E-5</v>
      </c>
    </row>
    <row r="552" spans="5:17" x14ac:dyDescent="0.2">
      <c r="E552" s="538"/>
      <c r="F552" s="538"/>
      <c r="G552" s="537"/>
      <c r="I552" s="537"/>
      <c r="J552" s="537"/>
      <c r="L552" s="553">
        <f>_xll.qlCalendarAdvance(Calendar,L551,"1M","f",,Trigger)</f>
        <v>59007</v>
      </c>
      <c r="M552" s="544">
        <f>_xll.qlCalendarAdvance(Calendar,L552,"3M","f",,Trigger)</f>
        <v>59099</v>
      </c>
      <c r="N552" s="546" t="str">
        <f>_xll.qlMakeDatedOIS(,L552,M552,"eonia",,,,,Trigger)</f>
        <v>obj_00aec#0000</v>
      </c>
      <c r="O552" s="545">
        <f>_xll.qlIndexFixing("euribor6m",_xll.qlInterestRateIndexFixingDate("Euribor6M",L552),TRUE)</f>
        <v>2.0048770962327649E-2</v>
      </c>
      <c r="P552" s="545">
        <f>_xll.qlOvernightIndexedSwapFairRate(N552,Trigger)</f>
        <v>2.0033827496312613E-2</v>
      </c>
      <c r="Q552" s="547">
        <f t="shared" si="12"/>
        <v>1.4943466015035489E-5</v>
      </c>
    </row>
    <row r="553" spans="5:17" x14ac:dyDescent="0.2">
      <c r="E553" s="538"/>
      <c r="F553" s="538"/>
      <c r="G553" s="537"/>
      <c r="I553" s="537"/>
      <c r="J553" s="537"/>
      <c r="L553" s="553">
        <f>_xll.qlCalendarAdvance(Calendar,L552,"1M","f",,Trigger)</f>
        <v>59040</v>
      </c>
      <c r="M553" s="544">
        <f>_xll.qlCalendarAdvance(Calendar,L553,"3M","f",,Trigger)</f>
        <v>59132</v>
      </c>
      <c r="N553" s="546" t="str">
        <f>_xll.qlMakeDatedOIS(,L553,M553,"eonia",,,,,Trigger)</f>
        <v>obj_00aee#0000</v>
      </c>
      <c r="O553" s="545">
        <f>_xll.qlIndexFixing("euribor6m",_xll.qlInterestRateIndexFixingDate("Euribor6M",L553),TRUE)</f>
        <v>2.0053060098838827E-2</v>
      </c>
      <c r="P553" s="545">
        <f>_xll.qlOvernightIndexedSwapFairRate(N553,Trigger)</f>
        <v>2.003382749631261E-2</v>
      </c>
      <c r="Q553" s="547">
        <f t="shared" si="12"/>
        <v>1.9232602526217391E-5</v>
      </c>
    </row>
    <row r="554" spans="5:17" x14ac:dyDescent="0.2">
      <c r="E554" s="538"/>
      <c r="F554" s="538"/>
      <c r="G554" s="537"/>
      <c r="I554" s="537"/>
      <c r="J554" s="537"/>
      <c r="L554" s="553">
        <f>_xll.qlCalendarAdvance(Calendar,L553,"1M","f",,Trigger)</f>
        <v>59071</v>
      </c>
      <c r="M554" s="544">
        <f>_xll.qlCalendarAdvance(Calendar,L554,"3M","f",,Trigger)</f>
        <v>59162</v>
      </c>
      <c r="N554" s="546" t="str">
        <f>_xll.qlMakeDatedOIS(,L554,M554,"eonia",,,,,Trigger)</f>
        <v>obj_00af0#0000</v>
      </c>
      <c r="O554" s="545">
        <f>_xll.qlIndexFixing("euribor6m",_xll.qlInterestRateIndexFixingDate("Euribor6M",L554),TRUE)</f>
        <v>2.0055633844633762E-2</v>
      </c>
      <c r="P554" s="545">
        <f>_xll.qlOvernightIndexedSwapFairRate(N554,Trigger)</f>
        <v>2.0033271019047654E-2</v>
      </c>
      <c r="Q554" s="547">
        <f t="shared" si="12"/>
        <v>2.2362825586107887E-5</v>
      </c>
    </row>
    <row r="555" spans="5:17" x14ac:dyDescent="0.2">
      <c r="E555" s="538"/>
      <c r="F555" s="538"/>
      <c r="G555" s="537"/>
      <c r="I555" s="537"/>
      <c r="J555" s="537"/>
      <c r="L555" s="553">
        <f>_xll.qlCalendarAdvance(Calendar,L554,"1M","f",,Trigger)</f>
        <v>59103</v>
      </c>
      <c r="M555" s="544">
        <f>_xll.qlCalendarAdvance(Calendar,L555,"3M","f",,Trigger)</f>
        <v>59195</v>
      </c>
      <c r="N555" s="546" t="str">
        <f>_xll.qlMakeDatedOIS(,L555,M555,"eonia",,,,,Trigger)</f>
        <v>obj_00af2#0000</v>
      </c>
      <c r="O555" s="545">
        <f>_xll.qlIndexFixing("euribor6m",_xll.qlInterestRateIndexFixingDate("Euribor6M",L555),TRUE)</f>
        <v>2.0061367818947958E-2</v>
      </c>
      <c r="P555" s="545">
        <f>_xll.qlOvernightIndexedSwapFairRate(N555,Trigger)</f>
        <v>2.0033827496313477E-2</v>
      </c>
      <c r="Q555" s="547">
        <f t="shared" si="12"/>
        <v>2.754032263448114E-5</v>
      </c>
    </row>
    <row r="556" spans="5:17" x14ac:dyDescent="0.2">
      <c r="E556" s="538"/>
      <c r="F556" s="538"/>
      <c r="G556" s="537"/>
      <c r="I556" s="537"/>
      <c r="J556" s="537"/>
      <c r="L556" s="553">
        <f>_xll.qlCalendarAdvance(Calendar,L555,"1M","f",,Trigger)</f>
        <v>59134</v>
      </c>
      <c r="M556" s="544">
        <f>_xll.qlCalendarAdvance(Calendar,L556,"3M","f",,Trigger)</f>
        <v>59226</v>
      </c>
      <c r="N556" s="546" t="str">
        <f>_xll.qlMakeDatedOIS(,L556,M556,"eonia",,,,,Trigger)</f>
        <v>obj_00af4#0000</v>
      </c>
      <c r="O556" s="545">
        <f>_xll.qlIndexFixing("euribor6m",_xll.qlInterestRateIndexFixingDate("Euribor6M",L556),TRUE)</f>
        <v>2.0066104763331611E-2</v>
      </c>
      <c r="P556" s="545">
        <f>_xll.qlOvernightIndexedSwapFairRate(N556,Trigger)</f>
        <v>2.0033827496311746E-2</v>
      </c>
      <c r="Q556" s="547">
        <f t="shared" si="12"/>
        <v>3.2277267019865247E-5</v>
      </c>
    </row>
    <row r="557" spans="5:17" x14ac:dyDescent="0.2">
      <c r="E557" s="538"/>
      <c r="F557" s="538"/>
      <c r="G557" s="537"/>
      <c r="I557" s="537"/>
      <c r="J557" s="537"/>
      <c r="L557" s="553">
        <f>_xll.qlCalendarAdvance(Calendar,L556,"1M","f",,Trigger)</f>
        <v>59167</v>
      </c>
      <c r="M557" s="544">
        <f>_xll.qlCalendarAdvance(Calendar,L557,"3M","f",,Trigger)</f>
        <v>59258</v>
      </c>
      <c r="N557" s="546" t="str">
        <f>_xll.qlMakeDatedOIS(,L557,M557,"eonia",,,,,Trigger)</f>
        <v>obj_00af6#0000</v>
      </c>
      <c r="O557" s="545">
        <f>_xll.qlIndexFixing("euribor6m",_xll.qlInterestRateIndexFixingDate("Euribor6M",L557),TRUE)</f>
        <v>2.0072993548364036E-2</v>
      </c>
      <c r="P557" s="545">
        <f>_xll.qlOvernightIndexedSwapFairRate(N557,Trigger)</f>
        <v>2.0033271019048532E-2</v>
      </c>
      <c r="Q557" s="547">
        <f t="shared" si="12"/>
        <v>3.9722529315503602E-5</v>
      </c>
    </row>
    <row r="558" spans="5:17" x14ac:dyDescent="0.2">
      <c r="E558" s="538"/>
      <c r="F558" s="538"/>
      <c r="G558" s="537"/>
      <c r="I558" s="537"/>
      <c r="J558" s="537"/>
      <c r="L558" s="553">
        <f>_xll.qlCalendarAdvance(Calendar,L557,"1M","f",,Trigger)</f>
        <v>59198</v>
      </c>
      <c r="M558" s="544">
        <f>_xll.qlCalendarAdvance(Calendar,L558,"3M","f",,Trigger)</f>
        <v>59288</v>
      </c>
      <c r="N558" s="546" t="str">
        <f>_xll.qlMakeDatedOIS(,L558,M558,"eonia",,,,,Trigger)</f>
        <v>obj_00af8#0000</v>
      </c>
      <c r="O558" s="545">
        <f>_xll.qlIndexFixing("euribor6m",_xll.qlInterestRateIndexFixingDate("Euribor6M",L558),TRUE)</f>
        <v>2.0078642971095576E-2</v>
      </c>
      <c r="P558" s="545">
        <f>_xll.qlOvernightIndexedSwapFairRate(N558,Trigger)</f>
        <v>2.003271456238398E-2</v>
      </c>
      <c r="Q558" s="547">
        <f t="shared" si="12"/>
        <v>4.5928408711596452E-5</v>
      </c>
    </row>
    <row r="559" spans="5:17" x14ac:dyDescent="0.2">
      <c r="E559" s="538"/>
      <c r="F559" s="538"/>
      <c r="G559" s="537"/>
      <c r="I559" s="537"/>
      <c r="J559" s="537"/>
      <c r="L559" s="553">
        <f>_xll.qlCalendarAdvance(Calendar,L558,"1M","f",,Trigger)</f>
        <v>59229</v>
      </c>
      <c r="M559" s="544">
        <f>_xll.qlCalendarAdvance(Calendar,L559,"3M","f",,Trigger)</f>
        <v>59320</v>
      </c>
      <c r="N559" s="546" t="str">
        <f>_xll.qlMakeDatedOIS(,L559,M559,"eonia",,,,,Trigger)</f>
        <v>obj_00afa#0000</v>
      </c>
      <c r="O559" s="545">
        <f>_xll.qlIndexFixing("euribor6m",_xll.qlInterestRateIndexFixingDate("Euribor6M",L559),TRUE)</f>
        <v>2.0086083266007023E-2</v>
      </c>
      <c r="P559" s="545">
        <f>_xll.qlOvernightIndexedSwapFairRate(N559,Trigger)</f>
        <v>2.0033271019048532E-2</v>
      </c>
      <c r="Q559" s="547">
        <f t="shared" si="12"/>
        <v>5.2812246958491155E-5</v>
      </c>
    </row>
    <row r="560" spans="5:17" x14ac:dyDescent="0.2">
      <c r="E560" s="538"/>
      <c r="F560" s="538"/>
      <c r="G560" s="537"/>
      <c r="I560" s="537"/>
      <c r="J560" s="537"/>
      <c r="L560" s="553">
        <f>_xll.qlCalendarAdvance(Calendar,L559,"1M","f",,Trigger)</f>
        <v>59258</v>
      </c>
      <c r="M560" s="544">
        <f>_xll.qlCalendarAdvance(Calendar,L560,"3M","f",,Trigger)</f>
        <v>59350</v>
      </c>
      <c r="N560" s="546" t="str">
        <f>_xll.qlMakeDatedOIS(,L560,M560,"eonia",,,,,Trigger)</f>
        <v>obj_00afc#0000</v>
      </c>
      <c r="O560" s="545">
        <f>_xll.qlIndexFixing("euribor6m",_xll.qlInterestRateIndexFixingDate("Euribor6M",L560),TRUE)</f>
        <v>2.0094194606137889E-2</v>
      </c>
      <c r="P560" s="545">
        <f>_xll.qlOvernightIndexedSwapFairRate(N560,Trigger)</f>
        <v>2.003382749631261E-2</v>
      </c>
      <c r="Q560" s="547">
        <f t="shared" si="12"/>
        <v>6.0367109825279486E-5</v>
      </c>
    </row>
    <row r="561" spans="5:17" x14ac:dyDescent="0.2">
      <c r="E561" s="538"/>
      <c r="F561" s="538"/>
      <c r="G561" s="537"/>
      <c r="I561" s="537"/>
      <c r="J561" s="537"/>
      <c r="L561" s="553">
        <f>_xll.qlCalendarAdvance(Calendar,L560,"1M","f",,Trigger)</f>
        <v>59289</v>
      </c>
      <c r="M561" s="544">
        <f>_xll.qlCalendarAdvance(Calendar,L561,"3M","f",,Trigger)</f>
        <v>59380</v>
      </c>
      <c r="N561" s="546" t="str">
        <f>_xll.qlMakeDatedOIS(,L561,M561,"eonia",,,,,Trigger)</f>
        <v>obj_00afe#0000</v>
      </c>
      <c r="O561" s="545">
        <f>_xll.qlIndexFixing("euribor6m",_xll.qlInterestRateIndexFixingDate("Euribor6M",L561),TRUE)</f>
        <v>2.0103237322785066E-2</v>
      </c>
      <c r="P561" s="545">
        <f>_xll.qlOvernightIndexedSwapFairRate(N561,Trigger)</f>
        <v>2.0033271019048535E-2</v>
      </c>
      <c r="Q561" s="547">
        <f t="shared" si="12"/>
        <v>6.996630373653015E-5</v>
      </c>
    </row>
    <row r="562" spans="5:17" x14ac:dyDescent="0.2">
      <c r="E562" s="538"/>
      <c r="F562" s="538"/>
      <c r="G562" s="537"/>
      <c r="I562" s="537"/>
      <c r="J562" s="537"/>
      <c r="L562" s="553">
        <f>_xll.qlCalendarAdvance(Calendar,L561,"1M","f",,Trigger)</f>
        <v>59320</v>
      </c>
      <c r="M562" s="544">
        <f>_xll.qlCalendarAdvance(Calendar,L562,"3M","f",,Trigger)</f>
        <v>59412</v>
      </c>
      <c r="N562" s="546" t="str">
        <f>_xll.qlMakeDatedOIS(,L562,M562,"eonia",,,,,Trigger)</f>
        <v>obj_00b00#0000</v>
      </c>
      <c r="O562" s="545">
        <f>_xll.qlIndexFixing("euribor6m",_xll.qlInterestRateIndexFixingDate("Euribor6M",L562),TRUE)</f>
        <v>2.0109954568747614E-2</v>
      </c>
      <c r="P562" s="545">
        <f>_xll.qlOvernightIndexedSwapFairRate(N562,Trigger)</f>
        <v>2.0033827496312613E-2</v>
      </c>
      <c r="Q562" s="547">
        <f t="shared" si="12"/>
        <v>7.6127072435001192E-5</v>
      </c>
    </row>
    <row r="563" spans="5:17" x14ac:dyDescent="0.2">
      <c r="E563" s="538"/>
      <c r="F563" s="538"/>
      <c r="G563" s="537"/>
      <c r="I563" s="537"/>
      <c r="J563" s="537"/>
      <c r="L563" s="553">
        <f>_xll.qlCalendarAdvance(Calendar,L562,"1M","f",,Trigger)</f>
        <v>59351</v>
      </c>
      <c r="M563" s="544">
        <f>_xll.qlCalendarAdvance(Calendar,L563,"3M","f",,Trigger)</f>
        <v>59443</v>
      </c>
      <c r="N563" s="546" t="str">
        <f>_xll.qlMakeDatedOIS(,L563,M563,"eonia",,,,,Trigger)</f>
        <v>obj_00b02#0000</v>
      </c>
      <c r="O563" s="545">
        <f>_xll.qlIndexFixing("euribor6m",_xll.qlInterestRateIndexFixingDate("Euribor6M",L563),TRUE)</f>
        <v>2.0117800096698446E-2</v>
      </c>
      <c r="P563" s="545">
        <f>_xll.qlOvernightIndexedSwapFairRate(N563,Trigger)</f>
        <v>2.003382749631261E-2</v>
      </c>
      <c r="Q563" s="547">
        <f t="shared" si="12"/>
        <v>8.3972600385836399E-5</v>
      </c>
    </row>
    <row r="564" spans="5:17" x14ac:dyDescent="0.2">
      <c r="E564" s="538"/>
      <c r="F564" s="538"/>
      <c r="G564" s="537"/>
      <c r="I564" s="537"/>
      <c r="J564" s="537"/>
      <c r="L564" s="553">
        <f>_xll.qlCalendarAdvance(Calendar,L563,"1M","f",,Trigger)</f>
        <v>59383</v>
      </c>
      <c r="M564" s="544">
        <f>_xll.qlCalendarAdvance(Calendar,L564,"3M","f",,Trigger)</f>
        <v>59475</v>
      </c>
      <c r="N564" s="546" t="str">
        <f>_xll.qlMakeDatedOIS(,L564,M564,"eonia",,,,,Trigger)</f>
        <v>obj_00b04#0000</v>
      </c>
      <c r="O564" s="545">
        <f>_xll.qlIndexFixing("euribor6m",_xll.qlInterestRateIndexFixingDate("Euribor6M",L564),TRUE)</f>
        <v>2.0127811058840695E-2</v>
      </c>
      <c r="P564" s="545">
        <f>_xll.qlOvernightIndexedSwapFairRate(N564,Trigger)</f>
        <v>2.003382749631348E-2</v>
      </c>
      <c r="Q564" s="547">
        <f t="shared" si="12"/>
        <v>9.3983562527214654E-5</v>
      </c>
    </row>
    <row r="565" spans="5:17" x14ac:dyDescent="0.2">
      <c r="E565" s="538"/>
      <c r="F565" s="538"/>
      <c r="G565" s="537"/>
      <c r="I565" s="537"/>
      <c r="J565" s="537"/>
      <c r="L565" s="553">
        <f>_xll.qlCalendarAdvance(Calendar,L564,"1M","f",,Trigger)</f>
        <v>59414</v>
      </c>
      <c r="M565" s="544">
        <f>_xll.qlCalendarAdvance(Calendar,L565,"3M","f",,Trigger)</f>
        <v>59505</v>
      </c>
      <c r="N565" s="546" t="str">
        <f>_xll.qlMakeDatedOIS(,L565,M565,"eonia",,,,,Trigger)</f>
        <v>obj_00b06#0000</v>
      </c>
      <c r="O565" s="545">
        <f>_xll.qlIndexFixing("euribor6m",_xll.qlInterestRateIndexFixingDate("Euribor6M",L565),TRUE)</f>
        <v>2.0135105799965875E-2</v>
      </c>
      <c r="P565" s="545">
        <f>_xll.qlOvernightIndexedSwapFairRate(N565,Trigger)</f>
        <v>2.0033271019048532E-2</v>
      </c>
      <c r="Q565" s="547">
        <f t="shared" si="12"/>
        <v>1.0183478091734324E-4</v>
      </c>
    </row>
    <row r="566" spans="5:17" x14ac:dyDescent="0.2">
      <c r="E566" s="538"/>
      <c r="F566" s="538"/>
      <c r="G566" s="537"/>
      <c r="I566" s="537"/>
      <c r="J566" s="537"/>
      <c r="L566" s="553">
        <f>_xll.qlCalendarAdvance(Calendar,L565,"1M","f",,Trigger)</f>
        <v>59446</v>
      </c>
      <c r="M566" s="544">
        <f>_xll.qlCalendarAdvance(Calendar,L566,"3M","f",,Trigger)</f>
        <v>59538</v>
      </c>
      <c r="N566" s="546" t="str">
        <f>_xll.qlMakeDatedOIS(,L566,M566,"eonia",,,,,Trigger)</f>
        <v>obj_00b08#0000</v>
      </c>
      <c r="O566" s="545">
        <f>_xll.qlIndexFixing("euribor6m",_xll.qlInterestRateIndexFixingDate("Euribor6M",L566),TRUE)</f>
        <v>2.0146059349598431E-2</v>
      </c>
      <c r="P566" s="545">
        <f>_xll.qlOvernightIndexedSwapFairRate(N566,Trigger)</f>
        <v>2.003382749631261E-2</v>
      </c>
      <c r="Q566" s="547">
        <f t="shared" si="12"/>
        <v>1.122318532858213E-4</v>
      </c>
    </row>
    <row r="567" spans="5:17" x14ac:dyDescent="0.2">
      <c r="E567" s="538"/>
      <c r="F567" s="538"/>
      <c r="G567" s="537"/>
      <c r="I567" s="537"/>
      <c r="J567" s="537"/>
      <c r="L567" s="553">
        <f>_xll.qlCalendarAdvance(Calendar,L566,"1M","f",,Trigger)</f>
        <v>59477</v>
      </c>
      <c r="M567" s="544">
        <f>_xll.qlCalendarAdvance(Calendar,L567,"3M","f",,Trigger)</f>
        <v>59569</v>
      </c>
      <c r="N567" s="546" t="str">
        <f>_xll.qlMakeDatedOIS(,L567,M567,"eonia",,,,,Trigger)</f>
        <v>obj_00b0a#0000</v>
      </c>
      <c r="O567" s="545">
        <f>_xll.qlIndexFixing("euribor6m",_xll.qlInterestRateIndexFixingDate("Euribor6M",L567),TRUE)</f>
        <v>2.0155685599456061E-2</v>
      </c>
      <c r="P567" s="545">
        <f>_xll.qlOvernightIndexedSwapFairRate(N567,Trigger)</f>
        <v>2.003382749631261E-2</v>
      </c>
      <c r="Q567" s="547">
        <f t="shared" si="12"/>
        <v>1.2185810314345111E-4</v>
      </c>
    </row>
    <row r="568" spans="5:17" x14ac:dyDescent="0.2">
      <c r="E568" s="538"/>
      <c r="F568" s="538"/>
      <c r="G568" s="537"/>
      <c r="I568" s="537"/>
      <c r="J568" s="537"/>
      <c r="L568" s="553">
        <f>_xll.qlCalendarAdvance(Calendar,L567,"1M","f",,Trigger)</f>
        <v>59509</v>
      </c>
      <c r="M568" s="544">
        <f>_xll.qlCalendarAdvance(Calendar,L568,"3M","f",,Trigger)</f>
        <v>59600</v>
      </c>
      <c r="N568" s="546" t="str">
        <f>_xll.qlMakeDatedOIS(,L568,M568,"eonia",,,,,Trigger)</f>
        <v>obj_00b0c#0000</v>
      </c>
      <c r="O568" s="545">
        <f>_xll.qlIndexFixing("euribor6m",_xll.qlInterestRateIndexFixingDate("Euribor6M",L568),TRUE)</f>
        <v>2.0167598262291839E-2</v>
      </c>
      <c r="P568" s="545">
        <f>_xll.qlOvernightIndexedSwapFairRate(N568,Trigger)</f>
        <v>2.0033271019048528E-2</v>
      </c>
      <c r="Q568" s="547">
        <f t="shared" si="12"/>
        <v>1.3432724324331097E-4</v>
      </c>
    </row>
    <row r="569" spans="5:17" x14ac:dyDescent="0.2">
      <c r="E569" s="538"/>
      <c r="F569" s="538"/>
      <c r="G569" s="537"/>
      <c r="I569" s="537"/>
      <c r="J569" s="537"/>
      <c r="L569" s="553">
        <f>_xll.qlCalendarAdvance(Calendar,L568,"1M","f",,Trigger)</f>
        <v>59540</v>
      </c>
      <c r="M569" s="544">
        <f>_xll.qlCalendarAdvance(Calendar,L569,"3M","f",,Trigger)</f>
        <v>59630</v>
      </c>
      <c r="N569" s="546" t="str">
        <f>_xll.qlMakeDatedOIS(,L569,M569,"eonia",,,,,Trigger)</f>
        <v>obj_00b0e#0000</v>
      </c>
      <c r="O569" s="545">
        <f>_xll.qlIndexFixing("euribor6m",_xll.qlInterestRateIndexFixingDate("Euribor6M",L569),TRUE)</f>
        <v>2.0178122291427791E-2</v>
      </c>
      <c r="P569" s="545">
        <f>_xll.qlOvernightIndexedSwapFairRate(N569,Trigger)</f>
        <v>2.0032714562384868E-2</v>
      </c>
      <c r="Q569" s="547">
        <f t="shared" si="12"/>
        <v>1.4540772904292343E-4</v>
      </c>
    </row>
    <row r="570" spans="5:17" x14ac:dyDescent="0.2">
      <c r="E570" s="538"/>
      <c r="F570" s="538"/>
      <c r="G570" s="537"/>
      <c r="I570" s="537"/>
      <c r="J570" s="537"/>
      <c r="L570" s="553">
        <f>_xll.qlCalendarAdvance(Calendar,L569,"1M","f",,Trigger)</f>
        <v>59572</v>
      </c>
      <c r="M570" s="544">
        <f>_xll.qlCalendarAdvance(Calendar,L570,"3M","f",,Trigger)</f>
        <v>59663</v>
      </c>
      <c r="N570" s="546" t="str">
        <f>_xll.qlMakeDatedOIS(,L570,M570,"eonia",,,,,Trigger)</f>
        <v>obj_00b10#0000</v>
      </c>
      <c r="O570" s="545">
        <f>_xll.qlIndexFixing("euribor6m",_xll.qlInterestRateIndexFixingDate("Euribor6M",L570),TRUE)</f>
        <v>2.019099420381398E-2</v>
      </c>
      <c r="P570" s="545">
        <f>_xll.qlOvernightIndexedSwapFairRate(N570,Trigger)</f>
        <v>2.0033271019047654E-2</v>
      </c>
      <c r="Q570" s="547">
        <f t="shared" si="12"/>
        <v>1.5772318476632574E-4</v>
      </c>
    </row>
    <row r="571" spans="5:17" x14ac:dyDescent="0.2">
      <c r="E571" s="538"/>
      <c r="F571" s="538"/>
      <c r="G571" s="537"/>
      <c r="I571" s="537"/>
      <c r="J571" s="537"/>
      <c r="L571" s="553">
        <f>_xll.qlCalendarAdvance(Calendar,L570,"1M","f",,Trigger)</f>
        <v>59600</v>
      </c>
      <c r="M571" s="544">
        <f>_xll.qlCalendarAdvance(Calendar,L571,"3M","f",,Trigger)</f>
        <v>59692</v>
      </c>
      <c r="N571" s="546" t="str">
        <f>_xll.qlMakeDatedOIS(,L571,M571,"eonia",,,,,Trigger)</f>
        <v>obj_00b12#0000</v>
      </c>
      <c r="O571" s="545">
        <f>_xll.qlIndexFixing("euribor6m",_xll.qlInterestRateIndexFixingDate("Euribor6M",L571),TRUE)</f>
        <v>2.0203532123072989E-2</v>
      </c>
      <c r="P571" s="545">
        <f>_xll.qlOvernightIndexedSwapFairRate(N571,Trigger)</f>
        <v>2.0033827496312613E-2</v>
      </c>
      <c r="Q571" s="547">
        <f t="shared" si="12"/>
        <v>1.6970462676037593E-4</v>
      </c>
    </row>
    <row r="572" spans="5:17" x14ac:dyDescent="0.2">
      <c r="E572" s="538"/>
      <c r="F572" s="538"/>
      <c r="G572" s="537"/>
      <c r="I572" s="537"/>
      <c r="J572" s="537"/>
      <c r="L572" s="553">
        <f>_xll.qlCalendarAdvance(Calendar,L571,"1M","f",,Trigger)</f>
        <v>59631</v>
      </c>
      <c r="M572" s="544">
        <f>_xll.qlCalendarAdvance(Calendar,L572,"3M","f",,Trigger)</f>
        <v>59722</v>
      </c>
      <c r="N572" s="546" t="str">
        <f>_xll.qlMakeDatedOIS(,L572,M572,"eonia",,,,,Trigger)</f>
        <v>obj_00b14#0000</v>
      </c>
      <c r="O572" s="545">
        <f>_xll.qlIndexFixing("euribor6m",_xll.qlInterestRateIndexFixingDate("Euribor6M",L572),TRUE)</f>
        <v>2.0215368326732725E-2</v>
      </c>
      <c r="P572" s="545">
        <f>_xll.qlOvernightIndexedSwapFairRate(N572,Trigger)</f>
        <v>2.0033271019048535E-2</v>
      </c>
      <c r="Q572" s="547">
        <f t="shared" si="12"/>
        <v>1.8209730768418975E-4</v>
      </c>
    </row>
    <row r="573" spans="5:17" x14ac:dyDescent="0.2">
      <c r="E573" s="538"/>
      <c r="F573" s="538"/>
      <c r="G573" s="537"/>
      <c r="I573" s="537"/>
      <c r="J573" s="537"/>
      <c r="L573" s="553">
        <f>_xll.qlCalendarAdvance(Calendar,L572,"1M","f",,Trigger)</f>
        <v>59663</v>
      </c>
      <c r="M573" s="544">
        <f>_xll.qlCalendarAdvance(Calendar,L573,"3M","f",,Trigger)</f>
        <v>59755</v>
      </c>
      <c r="N573" s="546" t="str">
        <f>_xll.qlMakeDatedOIS(,L573,M573,"eonia",,,,,Trigger)</f>
        <v>obj_00b16#0000</v>
      </c>
      <c r="O573" s="545">
        <f>_xll.qlIndexFixing("euribor6m",_xll.qlInterestRateIndexFixingDate("Euribor6M",L573),TRUE)</f>
        <v>2.0229642952412533E-2</v>
      </c>
      <c r="P573" s="545">
        <f>_xll.qlOvernightIndexedSwapFairRate(N573,Trigger)</f>
        <v>2.0033827496313474E-2</v>
      </c>
      <c r="Q573" s="547">
        <f t="shared" si="12"/>
        <v>1.9581545609905979E-4</v>
      </c>
    </row>
    <row r="574" spans="5:17" x14ac:dyDescent="0.2">
      <c r="E574" s="538"/>
      <c r="F574" s="538"/>
      <c r="G574" s="537"/>
      <c r="I574" s="537"/>
      <c r="J574" s="537"/>
      <c r="L574" s="553">
        <f>_xll.qlCalendarAdvance(Calendar,L573,"1M","f",,Trigger)</f>
        <v>59694</v>
      </c>
      <c r="M574" s="544">
        <f>_xll.qlCalendarAdvance(Calendar,L574,"3M","f",,Trigger)</f>
        <v>59786</v>
      </c>
      <c r="N574" s="546" t="str">
        <f>_xll.qlMakeDatedOIS(,L574,M574,"eonia",,,,,Trigger)</f>
        <v>obj_00b18#0000</v>
      </c>
      <c r="O574" s="545">
        <f>_xll.qlIndexFixing("euribor6m",_xll.qlInterestRateIndexFixingDate("Euribor6M",L574),TRUE)</f>
        <v>2.0242376858973142E-2</v>
      </c>
      <c r="P574" s="545">
        <f>_xll.qlOvernightIndexedSwapFairRate(N574,Trigger)</f>
        <v>2.003382749631348E-2</v>
      </c>
      <c r="Q574" s="547">
        <f t="shared" si="12"/>
        <v>2.0854936265966156E-4</v>
      </c>
    </row>
    <row r="575" spans="5:17" x14ac:dyDescent="0.2">
      <c r="E575" s="538"/>
      <c r="F575" s="538"/>
      <c r="G575" s="537"/>
      <c r="I575" s="537"/>
      <c r="J575" s="537"/>
      <c r="L575" s="553">
        <f>_xll.qlCalendarAdvance(Calendar,L574,"1M","f",,Trigger)</f>
        <v>59726</v>
      </c>
      <c r="M575" s="544">
        <f>_xll.qlCalendarAdvance(Calendar,L575,"3M","f",,Trigger)</f>
        <v>59818</v>
      </c>
      <c r="N575" s="546" t="str">
        <f>_xll.qlMakeDatedOIS(,L575,M575,"eonia",,,,,Trigger)</f>
        <v>obj_00b1a#0000</v>
      </c>
      <c r="O575" s="545">
        <f>_xll.qlIndexFixing("euribor6m",_xll.qlInterestRateIndexFixingDate("Euribor6M",L575),TRUE)</f>
        <v>2.0257611192056772E-2</v>
      </c>
      <c r="P575" s="545">
        <f>_xll.qlOvernightIndexedSwapFairRate(N575,Trigger)</f>
        <v>2.003382749631261E-2</v>
      </c>
      <c r="Q575" s="547">
        <f t="shared" si="12"/>
        <v>2.237836957441619E-4</v>
      </c>
    </row>
    <row r="576" spans="5:17" x14ac:dyDescent="0.2">
      <c r="E576" s="538"/>
      <c r="F576" s="538"/>
      <c r="G576" s="537"/>
      <c r="I576" s="537"/>
      <c r="J576" s="537"/>
      <c r="L576" s="553">
        <f>_xll.qlCalendarAdvance(Calendar,L575,"1M","f",,Trigger)</f>
        <v>59757</v>
      </c>
      <c r="M576" s="544">
        <f>_xll.qlCalendarAdvance(Calendar,L576,"3M","f",,Trigger)</f>
        <v>59849</v>
      </c>
      <c r="N576" s="546" t="str">
        <f>_xll.qlMakeDatedOIS(,L576,M576,"eonia",,,,,Trigger)</f>
        <v>obj_00b1c#0000</v>
      </c>
      <c r="O576" s="545">
        <f>_xll.qlIndexFixing("euribor6m",_xll.qlInterestRateIndexFixingDate("Euribor6M",L576),TRUE)</f>
        <v>2.0273680782511766E-2</v>
      </c>
      <c r="P576" s="545">
        <f>_xll.qlOvernightIndexedSwapFairRate(N576,Trigger)</f>
        <v>2.0033827496313477E-2</v>
      </c>
      <c r="Q576" s="547">
        <f t="shared" si="12"/>
        <v>2.3985328619828897E-4</v>
      </c>
    </row>
    <row r="577" spans="5:17" x14ac:dyDescent="0.2">
      <c r="E577" s="538"/>
      <c r="F577" s="538"/>
      <c r="G577" s="537"/>
      <c r="I577" s="537"/>
      <c r="J577" s="537"/>
      <c r="L577" s="553">
        <f>_xll.qlCalendarAdvance(Calendar,L576,"1M","f",,Trigger)</f>
        <v>59789</v>
      </c>
      <c r="M577" s="544">
        <f>_xll.qlCalendarAdvance(Calendar,L577,"3M","f",,Trigger)</f>
        <v>59880</v>
      </c>
      <c r="N577" s="546" t="str">
        <f>_xll.qlMakeDatedOIS(,L577,M577,"eonia",,,,,Trigger)</f>
        <v>obj_00b1e#0000</v>
      </c>
      <c r="O577" s="545">
        <f>_xll.qlIndexFixing("euribor6m",_xll.qlInterestRateIndexFixingDate("Euribor6M",L577),TRUE)</f>
        <v>2.0285795469343591E-2</v>
      </c>
      <c r="P577" s="545">
        <f>_xll.qlOvernightIndexedSwapFairRate(N577,Trigger)</f>
        <v>2.0033271019048532E-2</v>
      </c>
      <c r="Q577" s="547">
        <f t="shared" si="12"/>
        <v>2.5252445029505868E-4</v>
      </c>
    </row>
    <row r="578" spans="5:17" x14ac:dyDescent="0.2">
      <c r="L578" s="553">
        <f>_xll.qlCalendarAdvance(Calendar,L577,"1M","f",,Trigger)</f>
        <v>59819</v>
      </c>
      <c r="M578" s="544">
        <f>_xll.qlCalendarAdvance(Calendar,L578,"3M","f",,Trigger)</f>
        <v>59911</v>
      </c>
      <c r="N578" s="546" t="str">
        <f>_xll.qlMakeDatedOIS(,L578,M578,"eonia",,,,,Trigger)</f>
        <v>obj_00b20#0000</v>
      </c>
      <c r="O578" s="545">
        <f>_xll.qlIndexFixing("euribor6m",_xll.qlInterestRateIndexFixingDate("Euribor6M",L578),TRUE)</f>
        <v>2.0301463850359382E-2</v>
      </c>
      <c r="P578" s="545">
        <f>_xll.qlOvernightIndexedSwapFairRate(N578,Trigger)</f>
        <v>2.0033827496312613E-2</v>
      </c>
      <c r="Q578" s="547">
        <f t="shared" si="12"/>
        <v>2.6763635404676925E-4</v>
      </c>
    </row>
    <row r="579" spans="5:17" x14ac:dyDescent="0.2">
      <c r="L579" s="553">
        <f>_xll.qlCalendarAdvance(Calendar,L578,"1M","f",,Trigger)</f>
        <v>59852</v>
      </c>
      <c r="M579" s="544">
        <f>_xll.qlCalendarAdvance(Calendar,L579,"3M","f",,Trigger)</f>
        <v>59944</v>
      </c>
      <c r="N579" s="546" t="str">
        <f>_xll.qlMakeDatedOIS(,L579,M579,"eonia",,,,,Trigger)</f>
        <v>obj_00b22#0000</v>
      </c>
      <c r="O579" s="545">
        <f>_xll.qlIndexFixing("euribor6m",_xll.qlInterestRateIndexFixingDate("Euribor6M",L579),TRUE)</f>
        <v>2.0317445733383538E-2</v>
      </c>
      <c r="P579" s="545">
        <f>_xll.qlOvernightIndexedSwapFairRate(N579,Trigger)</f>
        <v>2.003382749631261E-2</v>
      </c>
      <c r="Q579" s="547">
        <f t="shared" ref="Q579:Q585" si="13">O579-P579</f>
        <v>2.8361823707092823E-4</v>
      </c>
    </row>
    <row r="580" spans="5:17" x14ac:dyDescent="0.2">
      <c r="L580" s="553">
        <f>_xll.qlCalendarAdvance(Calendar,L579,"1M","f",,Trigger)</f>
        <v>59882</v>
      </c>
      <c r="M580" s="544">
        <f>_xll.qlCalendarAdvance(Calendar,L580,"3M","f",,Trigger)</f>
        <v>59973</v>
      </c>
      <c r="N580" s="546" t="str">
        <f>_xll.qlMakeDatedOIS(,L580,M580,"eonia",,,,,Trigger)</f>
        <v>obj_00b24#0000</v>
      </c>
      <c r="O580" s="545">
        <f>_xll.qlIndexFixing("euribor6m",_xll.qlInterestRateIndexFixingDate("Euribor6M",L580),TRUE)</f>
        <v>2.0334015170853967E-2</v>
      </c>
      <c r="P580" s="545">
        <f>_xll.qlOvernightIndexedSwapFairRate(N580,Trigger)</f>
        <v>2.0033271019048528E-2</v>
      </c>
      <c r="Q580" s="547">
        <f t="shared" si="13"/>
        <v>3.0074415180543837E-4</v>
      </c>
    </row>
    <row r="581" spans="5:17" ht="12" thickBot="1" x14ac:dyDescent="0.25">
      <c r="L581" s="554">
        <f>_xll.qlCalendarAdvance(Calendar,L580,"1M","f",,Trigger)</f>
        <v>59915</v>
      </c>
      <c r="M581" s="549">
        <f>_xll.qlCalendarAdvance(Calendar,L581,"3M","f",,Trigger)</f>
        <v>60006</v>
      </c>
      <c r="N581" s="551" t="str">
        <f>_xll.qlMakeDatedOIS(,L581,M581,"eonia",,,,,Trigger)</f>
        <v>obj_00b26#0000</v>
      </c>
      <c r="O581" s="545">
        <f>_xll.qlIndexFixing("euribor6m",_xll.qlInterestRateIndexFixingDate("Euribor6M",L581),TRUE)</f>
        <v>2.0350953444009914E-2</v>
      </c>
      <c r="P581" s="550">
        <f>_xll.qlOvernightIndexedSwapFairRate(N581,Trigger)</f>
        <v>2.0033271019047654E-2</v>
      </c>
      <c r="Q581" s="552">
        <f t="shared" si="13"/>
        <v>3.1768242496225951E-4</v>
      </c>
    </row>
    <row r="582" spans="5:17" x14ac:dyDescent="0.2">
      <c r="L582">
        <f>_xll.qlCalendarAdvance(Calendar,L581,"1M","f",,Trigger)</f>
        <v>59946</v>
      </c>
      <c r="M582">
        <f>_xll.qlCalendarAdvance(Calendar,L582,"3M","f",,Trigger)</f>
        <v>60036</v>
      </c>
      <c r="N582" t="str">
        <f>_xll.qlMakeDatedOIS(,L582,M582,"eonia",,,,,Trigger)</f>
        <v>obj_00b28#0000</v>
      </c>
      <c r="O582">
        <f>_xll.qlIndexFixing("euribor6m",_xll.qlInterestRateIndexFixingDate("Euribor6M",L582),TRUE)</f>
        <v>2.036812325272757E-2</v>
      </c>
      <c r="P582">
        <f>_xll.qlOvernightIndexedSwapFairRate(N582,Trigger)</f>
        <v>2.003271456238398E-2</v>
      </c>
      <c r="Q582">
        <f t="shared" si="13"/>
        <v>3.3540869034359017E-4</v>
      </c>
    </row>
    <row r="583" spans="5:17" x14ac:dyDescent="0.2">
      <c r="L583">
        <f>_xll.qlCalendarAdvance(Calendar,L582,"1M","f",,Trigger)</f>
        <v>59975</v>
      </c>
      <c r="M583">
        <f>_xll.qlCalendarAdvance(Calendar,L583,"3M","f",,Trigger)</f>
        <v>60069</v>
      </c>
      <c r="N583" t="str">
        <f>_xll.qlMakeDatedOIS(,L583,M583,"eonia",,,,,Trigger)</f>
        <v>obj_00b29#0000</v>
      </c>
      <c r="O583">
        <f>_xll.qlIndexFixing("euribor6m",_xll.qlInterestRateIndexFixingDate("Euribor6M",L583),TRUE)</f>
        <v>2.038718525190503E-2</v>
      </c>
      <c r="P583">
        <f>_xll.qlOvernightIndexedSwapFairRate(N583,Trigger)</f>
        <v>2.0034940512647505E-2</v>
      </c>
      <c r="Q583">
        <f t="shared" si="13"/>
        <v>3.5224473925752481E-4</v>
      </c>
    </row>
    <row r="584" spans="5:17" x14ac:dyDescent="0.2">
      <c r="L584">
        <f>_xll.qlCalendarAdvance(Calendar,L583,"1M","f",,Trigger)</f>
        <v>60006</v>
      </c>
      <c r="M584">
        <f>_xll.qlCalendarAdvance(Calendar,L584,"3M","f",,Trigger)</f>
        <v>60097</v>
      </c>
      <c r="N584" t="str">
        <f>_xll.qlMakeDatedOIS(,L584,M584,"eonia",,,,,Trigger)</f>
        <v>obj_00b2a#0000</v>
      </c>
      <c r="O584">
        <f>_xll.qlIndexFixing("euribor6m",_xll.qlInterestRateIndexFixingDate("Euribor6M",L584),TRUE)</f>
        <v>2.0403386238218336E-2</v>
      </c>
      <c r="P584">
        <f>_xll.qlOvernightIndexedSwapFairRate(N584,Trigger)</f>
        <v>2.0033271019048532E-2</v>
      </c>
      <c r="Q584">
        <f t="shared" si="13"/>
        <v>3.7011521916980455E-4</v>
      </c>
    </row>
    <row r="585" spans="5:17" x14ac:dyDescent="0.2">
      <c r="L585">
        <f>_xll.qlCalendarAdvance(Calendar,L584,"1M","f",,Trigger)</f>
        <v>60036</v>
      </c>
      <c r="M585">
        <f>_xll.qlCalendarAdvance(Calendar,L585,"3M","f",,Trigger)</f>
        <v>60128</v>
      </c>
      <c r="N585" t="str">
        <f>_xll.qlMakeDatedOIS(,L585,M585,"eonia",,,,,Trigger)</f>
        <v>obj_00b2d#0000</v>
      </c>
      <c r="O585">
        <f>_xll.qlIndexFixing("euribor6m",_xll.qlInterestRateIndexFixingDate("Euribor6M",L585),TRUE)</f>
        <v>2.0421859400493025E-2</v>
      </c>
      <c r="P585">
        <f>_xll.qlOvernightIndexedSwapFairRate(N585,Trigger)</f>
        <v>2.003382749631348E-2</v>
      </c>
      <c r="Q585">
        <f t="shared" si="13"/>
        <v>3.8803190417954422E-4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58</vt:i4>
      </vt:variant>
    </vt:vector>
  </HeadingPairs>
  <TitlesOfParts>
    <vt:vector size="68" baseType="lpstr">
      <vt:lpstr>General Settings</vt:lpstr>
      <vt:lpstr>SynthDepo</vt:lpstr>
      <vt:lpstr>RateHelpersFra</vt:lpstr>
      <vt:lpstr>Contribution</vt:lpstr>
      <vt:lpstr>SynthFra</vt:lpstr>
      <vt:lpstr>FRACharts</vt:lpstr>
      <vt:lpstr>3M Depo Charts</vt:lpstr>
      <vt:lpstr>6M Depo Charts</vt:lpstr>
      <vt:lpstr>basis 3M</vt:lpstr>
      <vt:lpstr>basis 6M 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'6M Depo Charts'!DayCounter3M</vt:lpstr>
      <vt:lpstr>DayCounter3M</vt:lpstr>
      <vt:lpstr>'6M Depo Charts'!DayCounterOIS</vt:lpstr>
      <vt:lpstr>DayCounterOIS</vt:lpstr>
      <vt:lpstr>'6M Depo Charts'!DayCounterON</vt:lpstr>
      <vt:lpstr>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2014-08-13T18:41:48Z</dcterms:modified>
</cp:coreProperties>
</file>